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I76" i="14"/>
  <c r="I8" i="59" s="1"/>
  <c r="I10" i="59" s="1"/>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<sst xmlns="http://schemas.openxmlformats.org/spreadsheetml/2006/main" count="2366" uniqueCount="865">
  <si>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</si>
  <si>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</si>
  <si>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</si>
  <si>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</si>
  <si>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</si>
  <si>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</si>
  <si>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</si>
  <si>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</si>
  <si>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</si>
  <si>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</si>
  <si>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</si>
  <si>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</si>
  <si>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</si>
  <si>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</si>
  <si>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</si>
  <si>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</si>
  <si>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</si>
  <si>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</si>
  <si>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</si>
  <si>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</si>
  <si>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</si>
  <si>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</si>
  <si>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</si>
  <si>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</si>
  <si>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</si>
  <si>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</si>
  <si>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</si>
  <si>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</si>
  <si>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</si>
  <si>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</si>
  <si>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</si>
  <si>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</si>
  <si>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</si>
  <si>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</si>
  <si>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</si>
  <si>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</si>
  <si>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</si>
  <si>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</si>
  <si>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</si>
  <si>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</si>
  <si>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</si>
  <si>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</si>
  <si>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</si>
  <si>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</si>
  <si>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</si>
  <si>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</si>
  <si>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</si>
  <si>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</si>
  <si>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</si>
  <si>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</si>
  <si>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</si>
  <si>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</si>
  <si>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</si>
  <si>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</si>
  <si>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</si>
  <si>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</si>
  <si>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</si>
  <si>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</si>
  <si>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</si>
  <si>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</si>
  <si>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</si>
  <si>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</si>
  <si>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</si>
  <si>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</si>
  <si>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</si>
  <si>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</si>
  <si>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</si>
  <si>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</si>
  <si>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</si>
  <si>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</si>
  <si>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</si>
  <si>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</si>
  <si>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</si>
  <si>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</si>
  <si>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</si>
  <si>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</si>
  <si>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</si>
  <si>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</si>
  <si>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</si>
  <si>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</si>
  <si>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</si>
  <si>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</si>
  <si>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</si>
  <si>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</si>
  <si>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</si>
  <si>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</si>
  <si>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</si>
  <si>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</si>
  <si>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</si>
  <si>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</si>
  <si>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</si>
  <si>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</si>
  <si>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</si>
  <si>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</si>
  <si>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</si>
  <si>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</si>
  <si>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</si>
  <si>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</si>
  <si>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</si>
  <si>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</si>
  <si>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</si>
  <si>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</si>
  <si>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</si>
  <si>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</si>
  <si>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</si>
  <si>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</si>
  <si>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</si>
  <si>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</si>
  <si>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</si>
  <si>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</si>
  <si>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</si>
  <si>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</si>
  <si>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</si>
  <si>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</si>
  <si>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</si>
  <si>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</si>
  <si>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</si>
  <si>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</si>
  <si>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</si>
  <si>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</si>
  <si>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</si>
  <si>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</si>
  <si>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</si>
  <si>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</si>
  <si>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</si>
  <si>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</si>
  <si>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</si>
  <si>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</si>
  <si>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</si>
  <si>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</si>
  <si>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</si>
  <si>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</si>
  <si>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</si>
  <si>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</si>
  <si>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</si>
  <si>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</si>
  <si>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</si>
  <si>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</si>
  <si>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</si>
  <si>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</si>
  <si>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</si>
  <si>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</si>
  <si>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</si>
  <si>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</si>
  <si>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</si>
  <si>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</si>
  <si>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</si>
  <si>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</si>
  <si>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</si>
  <si>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</si>
  <si>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</si>
  <si>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</si>
  <si>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</si>
  <si>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</si>
  <si>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</si>
  <si>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</si>
  <si>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</si>
  <si>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</si>
  <si>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</si>
  <si>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</si>
  <si>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</si>
  <si>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</si>
  <si>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</si>
  <si>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</si>
  <si>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</si>
  <si>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</si>
  <si>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</si>
  <si>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</si>
  <si>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</si>
  <si>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</si>
  <si>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</si>
  <si>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</si>
  <si>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</si>
  <si>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</si>
  <si>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</si>
  <si>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</si>
  <si>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</si>
  <si>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</si>
  <si>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</si>
  <si>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</si>
  <si>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</si>
  <si>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</si>
  <si>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</si>
  <si>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</si>
  <si>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</si>
  <si>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</si>
  <si>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</si>
  <si>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</si>
  <si>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</si>
  <si>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</si>
  <si>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</si>
  <si>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</si>
  <si>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</si>
  <si>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</si>
  <si>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</si>
  <si>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</si>
  <si>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</si>
  <si>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</si>
  <si>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</si>
  <si>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</si>
  <si>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</si>
  <si>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</si>
  <si>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</si>
  <si>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</si>
  <si>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</si>
  <si>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</si>
  <si>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</si>
  <si>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</si>
  <si>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</si>
  <si>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</si>
  <si>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</si>
  <si>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</si>
  <si>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</si>
  <si>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</si>
  <si>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</si>
  <si>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</si>
  <si>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</si>
  <si>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</si>
  <si>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</si>
  <si>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</si>
  <si>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</si>
  <si>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</si>
  <si>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</si>
  <si>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</si>
  <si>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</si>
  <si>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</si>
  <si>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</si>
  <si>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</si>
  <si>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</si>
  <si>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</si>
  <si>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</si>
  <si>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</si>
  <si>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</si>
  <si>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</si>
  <si>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</si>
  <si>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</si>
  <si>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</si>
  <si>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</si>
  <si>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</si>
  <si>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</si>
  <si>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</si>
  <si>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</si>
  <si>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</si>
  <si>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</si>
  <si>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</si>
  <si>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</si>
  <si>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</si>
  <si>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</si>
  <si>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</si>
  <si>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</si>
  <si>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</si>
  <si>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</si>
  <si>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</si>
  <si>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</si>
  <si>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</si>
  <si>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</si>
  <si>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</si>
  <si>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</si>
  <si>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</si>
  <si>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</si>
  <si>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</si>
  <si>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</si>
  <si>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</si>
  <si>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</si>
  <si>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</si>
  <si>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</si>
  <si>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</si>
  <si>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</si>
  <si>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</si>
  <si>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</si>
  <si>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</si>
  <si>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</si>
  <si>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</si>
  <si>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</si>
  <si>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</si>
  <si>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</si>
  <si>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</si>
  <si>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</si>
  <si>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</si>
  <si>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</si>
  <si>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</si>
  <si>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</si>
  <si>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</si>
  <si>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</si>
  <si>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</si>
  <si>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</si>
  <si>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</si>
  <si>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</si>
  <si>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</si>
  <si>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</si>
  <si>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</si>
  <si>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</si>
  <si>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</si>
  <si>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</si>
  <si>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</si>
  <si>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</si>
  <si>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</si>
  <si>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</si>
  <si>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</si>
  <si>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</si>
  <si>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</si>
  <si>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</si>
  <si>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</si>
  <si>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</si>
  <si>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</si>
  <si>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</si>
  <si>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</si>
  <si>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</si>
  <si>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</si>
  <si>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</si>
  <si>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</si>
  <si>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</si>
  <si>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</si>
  <si>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</si>
  <si>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</si>
  <si>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</si>
  <si>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</si>
  <si>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</si>
  <si>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</si>
  <si>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</si>
  <si>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</si>
  <si>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</si>
  <si>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</si>
  <si>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</si>
  <si>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</si>
  <si>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</si>
  <si>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</si>
  <si>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</si>
  <si>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</si>
  <si>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</si>
  <si>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</si>
  <si>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</si>
  <si>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</si>
  <si>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</si>
  <si>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</si>
  <si>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</si>
  <si>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</si>
  <si>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</si>
  <si>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</si>
  <si>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</si>
  <si>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</si>
  <si>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</si>
  <si>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</si>
  <si>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</si>
  <si>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</si>
  <si>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</si>
  <si>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</si>
  <si>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</si>
  <si>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</si>
  <si>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</si>
  <si>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</si>
  <si>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</si>
  <si>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</si>
  <si>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</si>
  <si>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</si>
  <si>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</si>
  <si>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</si>
  <si>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</si>
  <si>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</si>
  <si>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</si>
  <si>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</si>
  <si>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</si>
  <si>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</si>
  <si>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</si>
  <si>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</si>
  <si>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</si>
  <si>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</si>
  <si>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</si>
  <si>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</si>
  <si>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</si>
  <si>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</si>
  <si>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</si>
  <si>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</si>
  <si>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</si>
  <si>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</si>
  <si>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</si>
  <si>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</si>
  <si>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</si>
  <si>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</si>
  <si>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</si>
  <si>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</si>
  <si>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</si>
  <si>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</si>
  <si>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</si>
  <si>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</si>
  <si>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</si>
  <si>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</si>
  <si>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</si>
  <si>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</si>
  <si>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</si>
  <si>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</si>
  <si>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</si>
  <si>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</si>
  <si>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</si>
  <si>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</si>
  <si>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</si>
  <si>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</si>
  <si>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</si>
  <si>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</si>
  <si>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</si>
  <si>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</si>
  <si>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</si>
  <si>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</si>
  <si>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</si>
  <si>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</si>
  <si>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</si>
  <si>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</si>
  <si>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</si>
  <si>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</si>
  <si>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</si>
  <si>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</si>
  <si>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</si>
  <si>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</si>
  <si>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</si>
  <si>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</si>
  <si>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</si>
  <si>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</si>
  <si>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</si>
  <si>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</si>
  <si>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</si>
  <si>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</si>
  <si>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</si>
  <si>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</si>
  <si>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</si>
  <si>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</si>
  <si>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</si>
  <si>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</si>
  <si>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</si>
  <si>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</si>
  <si>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</si>
  <si>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</si>
  <si>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</si>
  <si>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</si>
  <si>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</si>
  <si>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</si>
  <si>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</si>
  <si>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</si>
  <si>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</si>
  <si>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</si>
  <si>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</si>
  <si>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</si>
  <si>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</si>
  <si>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</si>
  <si>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</si>
  <si>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</si>
  <si>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</si>
  <si>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</si>
  <si>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</si>
  <si>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</si>
  <si>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</si>
  <si>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</si>
  <si>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</si>
  <si>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</si>
  <si>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</si>
  <si>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</si>
  <si>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</si>
  <si>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</si>
  <si>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</si>
  <si>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</si>
  <si>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</si>
  <si>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</si>
  <si>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</si>
  <si>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</si>
  <si>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</si>
  <si>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</si>
  <si>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</si>
  <si>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</si>
  <si>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</si>
  <si>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</si>
  <si>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</si>
  <si>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</si>
  <si>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</si>
  <si>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</si>
  <si>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</si>
  <si>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</si>
  <si>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</si>
  <si>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</si>
  <si>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</si>
  <si>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</si>
  <si>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</si>
  <si>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</si>
  <si>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</si>
  <si>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</si>
  <si>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</si>
  <si>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</si>
  <si>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</si>
  <si>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</si>
  <si>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</si>
  <si>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</si>
  <si>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</si>
  <si>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</si>
  <si>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</si>
  <si>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</si>
  <si>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</si>
  <si>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</si>
  <si>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</si>
  <si>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</si>
  <si>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</si>
  <si>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</si>
  <si>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</si>
  <si>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</si>
  <si>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</si>
  <si>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</si>
  <si>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</si>
  <si>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</si>
  <si>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</si>
  <si>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</si>
  <si>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</si>
  <si>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</si>
  <si>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</si>
  <si>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</si>
  <si>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</si>
  <si>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</si>
  <si>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</si>
  <si>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</si>
  <si>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</si>
  <si>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</si>
  <si>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</si>
  <si>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</si>
  <si>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</si>
  <si>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</si>
  <si>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</si>
  <si>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</si>
  <si>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</si>
  <si>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</si>
  <si>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</si>
  <si>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</si>
  <si>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</si>
  <si>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</si>
  <si>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</si>
  <si>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</si>
  <si>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</si>
  <si>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</si>
  <si>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</si>
  <si>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</si>
  <si>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</si>
  <si>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</si>
  <si>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</si>
  <si>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</si>
  <si>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</si>
  <si>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</si>
  <si>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</si>
  <si>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</si>
  <si>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</si>
  <si>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</si>
  <si>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</si>
  <si>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</si>
  <si>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</si>
  <si>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</si>
  <si>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</si>
  <si>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</si>
  <si>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</si>
  <si>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</si>
  <si>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</si>
  <si>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</si>
  <si>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</si>
  <si>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</si>
  <si>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</si>
  <si>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</si>
  <si>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</si>
  <si>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</si>
  <si>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</si>
  <si>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</si>
  <si>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</si>
  <si>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</si>
  <si>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</si>
  <si>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</si>
  <si>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</si>
  <si>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</si>
  <si>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</si>
  <si>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</si>
  <si>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</si>
  <si>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</si>
  <si>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</si>
  <si>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</si>
  <si>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</si>
  <si>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</si>
  <si>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</si>
  <si>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</si>
  <si>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</si>
  <si>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</si>
  <si>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</si>
  <si>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</si>
  <si>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</si>
  <si>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</si>
  <si>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</si>
  <si>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</si>
  <si>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</si>
  <si>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</si>
  <si>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</si>
  <si>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</si>
  <si>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</si>
  <si>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</si>
  <si>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</si>
  <si>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</si>
  <si>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</si>
  <si>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</si>
  <si>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</si>
  <si>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</si>
  <si>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</si>
  <si>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</si>
  <si>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</si>
  <si>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</si>
  <si>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</si>
  <si>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</si>
  <si>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</si>
  <si>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</si>
  <si>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</si>
  <si>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</si>
  <si>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</si>
  <si>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</si>
  <si>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</si>
  <si>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</si>
  <si>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</si>
  <si>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</si>
  <si>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</si>
  <si>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</si>
  <si>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</si>
  <si>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</si>
  <si>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</si>
  <si>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</si>
  <si>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</si>
  <si>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</si>
  <si>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</si>
  <si>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</si>
  <si>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</si>
  <si>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</si>
  <si>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</si>
  <si>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</si>
  <si>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</si>
  <si>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</si>
  <si>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</si>
  <si>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</si>
  <si>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</si>
  <si>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</si>
  <si>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</si>
  <si>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</si>
  <si>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</si>
  <si>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</si>
  <si>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</si>
  <si>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</si>
  <si>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</si>
  <si>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</si>
  <si>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</si>
  <si>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</si>
  <si>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</si>
  <si>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</si>
  <si>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</si>
  <si>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</si>
  <si>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</si>
  <si>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</si>
  <si>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</si>
  <si>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</si>
  <si>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</si>
  <si>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</si>
  <si>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</si>
  <si>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</si>
  <si>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</si>
  <si>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</si>
  <si>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</si>
  <si>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</si>
  <si>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</si>
  <si>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</si>
  <si>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</si>
  <si>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</si>
  <si>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</si>
  <si>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</si>
  <si>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</si>
  <si>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</si>
  <si>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</si>
  <si>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</si>
  <si>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</si>
  <si>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</si>
  <si>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</si>
  <si>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</si>
  <si>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</si>
  <si>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</si>
  <si>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</si>
  <si>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</si>
  <si>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</si>
  <si>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</si>
  <si>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</si>
  <si>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</si>
  <si>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</si>
  <si>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</si>
  <si>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</si>
  <si>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</si>
  <si>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</si>
  <si>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</si>
  <si>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</si>
  <si>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</si>
  <si>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</si>
  <si>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</si>
  <si>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</si>
  <si>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</si>
  <si>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</si>
  <si>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</si>
  <si>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</si>
  <si>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</si>
  <si>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</si>
  <si>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</si>
  <si>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</si>
  <si>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</si>
  <si>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</si>
  <si>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</si>
  <si>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</si>
  <si>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</si>
  <si>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</si>
  <si>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</si>
  <si>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</si>
  <si>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</si>
  <si>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</si>
  <si>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</si>
  <si>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</si>
  <si>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</si>
  <si>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</si>
  <si>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</si>
  <si>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</si>
  <si>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</si>
  <si>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</si>
  <si>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</si>
  <si>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</si>
  <si>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</si>
  <si>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</si>
  <si>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</si>
  <si>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</si>
  <si>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</si>
  <si>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</si>
  <si>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</si>
  <si>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</si>
  <si>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</si>
  <si>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</si>
  <si>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</si>
  <si>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</si>
  <si>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</si>
  <si>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</si>
  <si>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</si>
  <si>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</si>
  <si>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</si>
  <si>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</si>
  <si>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</si>
  <si>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</si>
  <si>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</si>
  <si>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</si>
  <si>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</si>
  <si>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</si>
  <si>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</si>
  <si>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</si>
  <si>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</si>
  <si>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</si>
  <si>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</si>
  <si>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</si>
  <si>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</si>
  <si>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</si>
  <si>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</si>
  <si>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</si>
  <si>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</si>
  <si>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</si>
  <si>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</si>
  <si>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</si>
  <si>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</si>
  <si>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</si>
  <si>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</si>
  <si>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</si>
  <si>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</si>
  <si>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</si>
  <si>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</si>
  <si>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</si>
  <si>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</si>
  <si>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</si>
  <si>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</si>
  <si>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</si>
  <si>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</si>
  <si>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</si>
  <si>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</si>
  <si>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</si>
  <si>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</si>
  <si>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</si>
  <si>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</si>
  <si>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</si>
  <si>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</si>
  <si>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</si>
  <si>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</si>
  <si>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</si>
  <si>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</si>
  <si>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</si>
  <si>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</si>
  <si>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</si>
  <si>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</si>
  <si>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</si>
  <si>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</si>
  <si>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</si>
  <si>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</si>
  <si>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</si>
  <si>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</si>
  <si>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</si>
  <si>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</si>
  <si>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</si>
  <si>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</si>
  <si>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</si>
  <si>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</si>
  <si>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</si>
  <si>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</si>
  <si>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</si>
  <si>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</si>
  <si>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</si>
  <si>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</si>
  <si>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</si>
  <si>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</si>
  <si>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</si>
  <si>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</si>
  <si>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</si>
  <si>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</si>
  <si>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</si>
  <si>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</si>
  <si>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</si>
  <si>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</si>
  <si>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</si>
  <si>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</si>
  <si>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</si>
  <si>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</si>
  <si>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</si>
  <si>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</si>
  <si>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</si>
  <si>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</si>
  <si>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</si>
  <si>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</si>
  <si>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</si>
  <si>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</si>
  <si>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</si>
  <si>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</si>
  <si>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</si>
  <si>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</si>
  <si>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</si>
  <si>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</si>
  <si>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</si>
  <si>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</si>
  <si>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</si>
  <si>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</si>
  <si>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</si>
  <si>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</si>
  <si>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</si>
  <si>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</si>
  <si>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</si>
  <si>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</si>
  <si>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</si>
  <si>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</si>
  <si>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</si>
  <si>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</si>
  <si>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</si>
  <si>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</si>
  <si>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</si>
  <si>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</si>
  <si>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</si>
  <si>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</si>
  <si>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</si>
  <si>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</si>
  <si>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</si>
  <si>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</si>
  <si>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</si>
  <si>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</si>
  <si>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</si>
  <si>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71070</t>
  </si>
  <si>
    <t>HEUSDEN-ZOLDER</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</si>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</sst>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247617.03252267974</c:v>
                </c:pt>
                <c:pt idx="1">
                  <c:v>106825.28261805917</c:v>
                </c:pt>
                <c:pt idx="2">
                  <c:v>2052.9793119999999</c:v>
                </c:pt>
                <c:pt idx="3">
                  <c:v>643.82178283640724</c:v>
                </c:pt>
                <c:pt idx="4">
                  <c:v>114636.29351915325</c:v>
                </c:pt>
                <c:pt idx="5">
                  <c:v>311836.94937148393</c:v>
                </c:pt>
                <c:pt idx="6">
                  <c:v>3183.1686807172796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247617.03252267974</c:v>
                </c:pt>
                <c:pt idx="1">
                  <c:v>106825.28261805917</c:v>
                </c:pt>
                <c:pt idx="2">
                  <c:v>2052.9793119999999</c:v>
                </c:pt>
                <c:pt idx="3">
                  <c:v>643.82178283640724</c:v>
                </c:pt>
                <c:pt idx="4">
                  <c:v>114636.29351915325</c:v>
                </c:pt>
                <c:pt idx="5">
                  <c:v>311836.94937148393</c:v>
                </c:pt>
                <c:pt idx="6">
                  <c:v>3183.1686807172796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45911.421613733517</c:v>
                </c:pt>
                <c:pt idx="1">
                  <c:v>19640.117910861023</c:v>
                </c:pt>
                <c:pt idx="2">
                  <c:v>328.7309510110955</c:v>
                </c:pt>
                <c:pt idx="3">
                  <c:v>156.44847273416158</c:v>
                </c:pt>
                <c:pt idx="4">
                  <c:v>21674.7599059893</c:v>
                </c:pt>
                <c:pt idx="5">
                  <c:v>77544.463417050996</c:v>
                </c:pt>
                <c:pt idx="6">
                  <c:v>806.15924553744446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45911.421613733517</c:v>
                </c:pt>
                <c:pt idx="1">
                  <c:v>19640.117910861023</c:v>
                </c:pt>
                <c:pt idx="2">
                  <c:v>328.7309510110955</c:v>
                </c:pt>
                <c:pt idx="3">
                  <c:v>156.44847273416158</c:v>
                </c:pt>
                <c:pt idx="4">
                  <c:v>21674.7599059893</c:v>
                </c:pt>
                <c:pt idx="5">
                  <c:v>77544.463417050996</c:v>
                </c:pt>
                <c:pt idx="6">
                  <c:v>806.15924553744446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71070</v>
      </c>
      <c r="B6" s="392"/>
      <c r="C6" s="393"/>
    </row>
    <row r="7" spans="1:7" s="390" customFormat="1" ht="15.75" customHeight="1">
      <c r="A7" s="394" t="str">
        <f>txtMunicipality</f>
        <v>HEUSDEN-ZOLDER</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0.16012384980677072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0.16012384980677072</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13035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832.22</v>
      </c>
      <c r="C14" s="332"/>
      <c r="D14" s="332"/>
      <c r="E14" s="332"/>
      <c r="F14" s="332"/>
    </row>
    <row r="15" spans="1:6">
      <c r="A15" s="1310" t="s">
        <v>183</v>
      </c>
      <c r="B15" s="1311">
        <v>1</v>
      </c>
      <c r="C15" s="332"/>
      <c r="D15" s="332"/>
      <c r="E15" s="332"/>
      <c r="F15" s="332"/>
    </row>
    <row r="16" spans="1:6">
      <c r="A16" s="1310" t="s">
        <v>6</v>
      </c>
      <c r="B16" s="1311">
        <v>39</v>
      </c>
      <c r="C16" s="332"/>
      <c r="D16" s="332"/>
      <c r="E16" s="332"/>
      <c r="F16" s="332"/>
    </row>
    <row r="17" spans="1:6">
      <c r="A17" s="1310" t="s">
        <v>7</v>
      </c>
      <c r="B17" s="1311">
        <v>76</v>
      </c>
      <c r="C17" s="332"/>
      <c r="D17" s="332"/>
      <c r="E17" s="332"/>
      <c r="F17" s="332"/>
    </row>
    <row r="18" spans="1:6">
      <c r="A18" s="1310" t="s">
        <v>8</v>
      </c>
      <c r="B18" s="1311">
        <v>88</v>
      </c>
      <c r="C18" s="332"/>
      <c r="D18" s="332"/>
      <c r="E18" s="332"/>
      <c r="F18" s="332"/>
    </row>
    <row r="19" spans="1:6">
      <c r="A19" s="1310" t="s">
        <v>9</v>
      </c>
      <c r="B19" s="1311">
        <v>87</v>
      </c>
      <c r="C19" s="332"/>
      <c r="D19" s="332"/>
      <c r="E19" s="332"/>
      <c r="F19" s="332"/>
    </row>
    <row r="20" spans="1:6">
      <c r="A20" s="1310" t="s">
        <v>10</v>
      </c>
      <c r="B20" s="1311">
        <v>125</v>
      </c>
      <c r="C20" s="332"/>
      <c r="D20" s="332"/>
      <c r="E20" s="332"/>
      <c r="F20" s="332"/>
    </row>
    <row r="21" spans="1:6">
      <c r="A21" s="1310" t="s">
        <v>11</v>
      </c>
      <c r="B21" s="1311">
        <v>0</v>
      </c>
      <c r="C21" s="332"/>
      <c r="D21" s="332"/>
      <c r="E21" s="332"/>
      <c r="F21" s="332"/>
    </row>
    <row r="22" spans="1:6">
      <c r="A22" s="1310" t="s">
        <v>12</v>
      </c>
      <c r="B22" s="1311">
        <v>1</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37</v>
      </c>
      <c r="C26" s="332"/>
      <c r="D26" s="332"/>
      <c r="E26" s="332"/>
      <c r="F26" s="332"/>
    </row>
    <row r="27" spans="1:6">
      <c r="A27" s="1310" t="s">
        <v>17</v>
      </c>
      <c r="B27" s="1311">
        <v>5</v>
      </c>
      <c r="C27" s="332"/>
      <c r="D27" s="332"/>
      <c r="E27" s="332"/>
      <c r="F27" s="332"/>
    </row>
    <row r="28" spans="1:6" s="43" customFormat="1">
      <c r="A28" s="1312" t="s">
        <v>18</v>
      </c>
      <c r="B28" s="1313">
        <v>9436</v>
      </c>
      <c r="C28" s="338"/>
      <c r="D28" s="338"/>
      <c r="E28" s="338"/>
      <c r="F28" s="338"/>
    </row>
    <row r="29" spans="1:6">
      <c r="A29" s="1312" t="s">
        <v>699</v>
      </c>
      <c r="B29" s="1313">
        <v>177</v>
      </c>
      <c r="C29" s="338"/>
      <c r="D29" s="338"/>
      <c r="E29" s="338"/>
      <c r="F29" s="338"/>
    </row>
    <row r="30" spans="1:6">
      <c r="A30" s="1305" t="s">
        <v>700</v>
      </c>
      <c r="B30" s="1314">
        <v>66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456215.196</v>
      </c>
      <c r="E38" s="1311">
        <v>2</v>
      </c>
      <c r="F38" s="1311">
        <v>37758.311000000002</v>
      </c>
    </row>
    <row r="39" spans="1:6">
      <c r="A39" s="1310" t="s">
        <v>29</v>
      </c>
      <c r="B39" s="1310" t="s">
        <v>30</v>
      </c>
      <c r="C39" s="1311">
        <v>7598</v>
      </c>
      <c r="D39" s="1311">
        <v>112326839.32600001</v>
      </c>
      <c r="E39" s="1311">
        <v>13001</v>
      </c>
      <c r="F39" s="1311">
        <v>40018549.056000099</v>
      </c>
    </row>
    <row r="40" spans="1:6">
      <c r="A40" s="1310" t="s">
        <v>29</v>
      </c>
      <c r="B40" s="1310" t="s">
        <v>28</v>
      </c>
      <c r="C40" s="1311">
        <v>0</v>
      </c>
      <c r="D40" s="1311">
        <v>0</v>
      </c>
      <c r="E40" s="1311">
        <v>0</v>
      </c>
      <c r="F40" s="1311">
        <v>0</v>
      </c>
    </row>
    <row r="41" spans="1:6">
      <c r="A41" s="1310" t="s">
        <v>31</v>
      </c>
      <c r="B41" s="1310" t="s">
        <v>32</v>
      </c>
      <c r="C41" s="1311">
        <v>124</v>
      </c>
      <c r="D41" s="1311">
        <v>30814585.975000001</v>
      </c>
      <c r="E41" s="1311">
        <v>270</v>
      </c>
      <c r="F41" s="1311">
        <v>5435311.6579999998</v>
      </c>
    </row>
    <row r="42" spans="1:6">
      <c r="A42" s="1310" t="s">
        <v>31</v>
      </c>
      <c r="B42" s="1310" t="s">
        <v>33</v>
      </c>
      <c r="C42" s="1311">
        <v>3</v>
      </c>
      <c r="D42" s="1311">
        <v>1855082.246</v>
      </c>
      <c r="E42" s="1311">
        <v>4</v>
      </c>
      <c r="F42" s="1311">
        <v>6416863.8250000002</v>
      </c>
    </row>
    <row r="43" spans="1:6">
      <c r="A43" s="1310" t="s">
        <v>31</v>
      </c>
      <c r="B43" s="1310" t="s">
        <v>34</v>
      </c>
      <c r="C43" s="1311">
        <v>0</v>
      </c>
      <c r="D43" s="1311">
        <v>0</v>
      </c>
      <c r="E43" s="1311">
        <v>0</v>
      </c>
      <c r="F43" s="1311">
        <v>0</v>
      </c>
    </row>
    <row r="44" spans="1:6">
      <c r="A44" s="1310" t="s">
        <v>31</v>
      </c>
      <c r="B44" s="1310" t="s">
        <v>35</v>
      </c>
      <c r="C44" s="1311">
        <v>16</v>
      </c>
      <c r="D44" s="1311">
        <v>12136435.434</v>
      </c>
      <c r="E44" s="1311">
        <v>37</v>
      </c>
      <c r="F44" s="1311">
        <v>3412043.4219999998</v>
      </c>
    </row>
    <row r="45" spans="1:6">
      <c r="A45" s="1310" t="s">
        <v>31</v>
      </c>
      <c r="B45" s="1310" t="s">
        <v>36</v>
      </c>
      <c r="C45" s="1311">
        <v>0</v>
      </c>
      <c r="D45" s="1311">
        <v>0</v>
      </c>
      <c r="E45" s="1311">
        <v>5</v>
      </c>
      <c r="F45" s="1311">
        <v>2229738.1970000002</v>
      </c>
    </row>
    <row r="46" spans="1:6">
      <c r="A46" s="1310" t="s">
        <v>31</v>
      </c>
      <c r="B46" s="1310" t="s">
        <v>37</v>
      </c>
      <c r="C46" s="1311">
        <v>0</v>
      </c>
      <c r="D46" s="1311">
        <v>0</v>
      </c>
      <c r="E46" s="1311">
        <v>0</v>
      </c>
      <c r="F46" s="1311">
        <v>0</v>
      </c>
    </row>
    <row r="47" spans="1:6">
      <c r="A47" s="1310" t="s">
        <v>31</v>
      </c>
      <c r="B47" s="1310" t="s">
        <v>38</v>
      </c>
      <c r="C47" s="1311">
        <v>4</v>
      </c>
      <c r="D47" s="1311">
        <v>69839.187999999995</v>
      </c>
      <c r="E47" s="1311">
        <v>6</v>
      </c>
      <c r="F47" s="1311">
        <v>23872.690999999999</v>
      </c>
    </row>
    <row r="48" spans="1:6">
      <c r="A48" s="1310" t="s">
        <v>31</v>
      </c>
      <c r="B48" s="1310" t="s">
        <v>28</v>
      </c>
      <c r="C48" s="1311">
        <v>5</v>
      </c>
      <c r="D48" s="1311">
        <v>21110484.791999999</v>
      </c>
      <c r="E48" s="1311">
        <v>2</v>
      </c>
      <c r="F48" s="1311">
        <v>14542632</v>
      </c>
    </row>
    <row r="49" spans="1:6">
      <c r="A49" s="1310" t="s">
        <v>31</v>
      </c>
      <c r="B49" s="1310" t="s">
        <v>39</v>
      </c>
      <c r="C49" s="1311">
        <v>0</v>
      </c>
      <c r="D49" s="1311">
        <v>0</v>
      </c>
      <c r="E49" s="1311">
        <v>3</v>
      </c>
      <c r="F49" s="1311">
        <v>23058.976999999999</v>
      </c>
    </row>
    <row r="50" spans="1:6">
      <c r="A50" s="1310" t="s">
        <v>31</v>
      </c>
      <c r="B50" s="1310" t="s">
        <v>40</v>
      </c>
      <c r="C50" s="1311">
        <v>20</v>
      </c>
      <c r="D50" s="1311">
        <v>10802174.528000001</v>
      </c>
      <c r="E50" s="1311">
        <v>26</v>
      </c>
      <c r="F50" s="1311">
        <v>6309406.7609999999</v>
      </c>
    </row>
    <row r="51" spans="1:6">
      <c r="A51" s="1310" t="s">
        <v>41</v>
      </c>
      <c r="B51" s="1310" t="s">
        <v>42</v>
      </c>
      <c r="C51" s="1311">
        <v>0</v>
      </c>
      <c r="D51" s="1311">
        <v>0</v>
      </c>
      <c r="E51" s="1311">
        <v>18</v>
      </c>
      <c r="F51" s="1311">
        <v>125792.106</v>
      </c>
    </row>
    <row r="52" spans="1:6">
      <c r="A52" s="1310" t="s">
        <v>41</v>
      </c>
      <c r="B52" s="1310" t="s">
        <v>28</v>
      </c>
      <c r="C52" s="1311">
        <v>2</v>
      </c>
      <c r="D52" s="1311">
        <v>79954.879000000001</v>
      </c>
      <c r="E52" s="1311">
        <v>0</v>
      </c>
      <c r="F52" s="1311">
        <v>0</v>
      </c>
    </row>
    <row r="53" spans="1:6">
      <c r="A53" s="1310" t="s">
        <v>43</v>
      </c>
      <c r="B53" s="1310" t="s">
        <v>44</v>
      </c>
      <c r="C53" s="1311">
        <v>90</v>
      </c>
      <c r="D53" s="1311">
        <v>2315497.4939999999</v>
      </c>
      <c r="E53" s="1311">
        <v>266</v>
      </c>
      <c r="F53" s="1311">
        <v>6175041.841</v>
      </c>
    </row>
    <row r="54" spans="1:6">
      <c r="A54" s="1310" t="s">
        <v>45</v>
      </c>
      <c r="B54" s="1310" t="s">
        <v>46</v>
      </c>
      <c r="C54" s="1311">
        <v>0</v>
      </c>
      <c r="D54" s="1311">
        <v>0</v>
      </c>
      <c r="E54" s="1311">
        <v>3</v>
      </c>
      <c r="F54" s="1311">
        <v>2052979.3119999999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128</v>
      </c>
      <c r="D57" s="1311">
        <v>14266090.426000001</v>
      </c>
      <c r="E57" s="1311">
        <v>262</v>
      </c>
      <c r="F57" s="1311">
        <v>7618360.9189999998</v>
      </c>
    </row>
    <row r="58" spans="1:6">
      <c r="A58" s="1310" t="s">
        <v>48</v>
      </c>
      <c r="B58" s="1310" t="s">
        <v>50</v>
      </c>
      <c r="C58" s="1311">
        <v>81</v>
      </c>
      <c r="D58" s="1311">
        <v>14205381.966</v>
      </c>
      <c r="E58" s="1311">
        <v>109</v>
      </c>
      <c r="F58" s="1311">
        <v>8998400.7249999996</v>
      </c>
    </row>
    <row r="59" spans="1:6">
      <c r="A59" s="1310" t="s">
        <v>48</v>
      </c>
      <c r="B59" s="1310" t="s">
        <v>51</v>
      </c>
      <c r="C59" s="1311">
        <v>207</v>
      </c>
      <c r="D59" s="1311">
        <v>13176153.082</v>
      </c>
      <c r="E59" s="1311">
        <v>357</v>
      </c>
      <c r="F59" s="1311">
        <v>15292732.777000001</v>
      </c>
    </row>
    <row r="60" spans="1:6">
      <c r="A60" s="1310" t="s">
        <v>48</v>
      </c>
      <c r="B60" s="1310" t="s">
        <v>52</v>
      </c>
      <c r="C60" s="1311">
        <v>119</v>
      </c>
      <c r="D60" s="1311">
        <v>6884292.0029999996</v>
      </c>
      <c r="E60" s="1311">
        <v>148</v>
      </c>
      <c r="F60" s="1311">
        <v>4259861.3420000002</v>
      </c>
    </row>
    <row r="61" spans="1:6">
      <c r="A61" s="1310" t="s">
        <v>48</v>
      </c>
      <c r="B61" s="1310" t="s">
        <v>53</v>
      </c>
      <c r="C61" s="1311">
        <v>239</v>
      </c>
      <c r="D61" s="1311">
        <v>8938749.4440000001</v>
      </c>
      <c r="E61" s="1311">
        <v>472</v>
      </c>
      <c r="F61" s="1311">
        <v>5747300.5489999996</v>
      </c>
    </row>
    <row r="62" spans="1:6">
      <c r="A62" s="1310" t="s">
        <v>48</v>
      </c>
      <c r="B62" s="1310" t="s">
        <v>54</v>
      </c>
      <c r="C62" s="1311">
        <v>15</v>
      </c>
      <c r="D62" s="1311">
        <v>1058741.1299999999</v>
      </c>
      <c r="E62" s="1311">
        <v>34</v>
      </c>
      <c r="F62" s="1311">
        <v>506820.90299999999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1</v>
      </c>
      <c r="F65" s="1311">
        <v>10870.218000000001</v>
      </c>
    </row>
    <row r="66" spans="1:6">
      <c r="A66" s="1310" t="s">
        <v>55</v>
      </c>
      <c r="B66" s="1310" t="s">
        <v>57</v>
      </c>
      <c r="C66" s="1311">
        <v>0</v>
      </c>
      <c r="D66" s="1311">
        <v>0</v>
      </c>
      <c r="E66" s="1311">
        <v>11</v>
      </c>
      <c r="F66" s="1311">
        <v>327830.15100000001</v>
      </c>
    </row>
    <row r="67" spans="1:6">
      <c r="A67" s="1312" t="s">
        <v>55</v>
      </c>
      <c r="B67" s="1312" t="s">
        <v>58</v>
      </c>
      <c r="C67" s="1311">
        <v>0</v>
      </c>
      <c r="D67" s="1311">
        <v>0</v>
      </c>
      <c r="E67" s="1311">
        <v>0</v>
      </c>
      <c r="F67" s="1311">
        <v>0</v>
      </c>
    </row>
    <row r="68" spans="1:6">
      <c r="A68" s="1305" t="s">
        <v>55</v>
      </c>
      <c r="B68" s="1305" t="s">
        <v>59</v>
      </c>
      <c r="C68" s="1314">
        <v>6</v>
      </c>
      <c r="D68" s="1314">
        <v>152137.889</v>
      </c>
      <c r="E68" s="1314">
        <v>17</v>
      </c>
      <c r="F68" s="1314">
        <v>174799.56</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84810538</v>
      </c>
      <c r="E73" s="453"/>
      <c r="F73" s="332"/>
    </row>
    <row r="74" spans="1:6">
      <c r="A74" s="1310" t="s">
        <v>63</v>
      </c>
      <c r="B74" s="1310" t="s">
        <v>648</v>
      </c>
      <c r="C74" s="1324" t="s">
        <v>650</v>
      </c>
      <c r="D74" s="1325">
        <v>2941565.1594101903</v>
      </c>
      <c r="E74" s="453"/>
      <c r="F74" s="332"/>
    </row>
    <row r="75" spans="1:6">
      <c r="A75" s="1310" t="s">
        <v>64</v>
      </c>
      <c r="B75" s="1310" t="s">
        <v>647</v>
      </c>
      <c r="C75" s="1324" t="s">
        <v>651</v>
      </c>
      <c r="D75" s="1325">
        <v>57149724</v>
      </c>
      <c r="E75" s="453"/>
      <c r="F75" s="332"/>
    </row>
    <row r="76" spans="1:6">
      <c r="A76" s="1310" t="s">
        <v>64</v>
      </c>
      <c r="B76" s="1310" t="s">
        <v>648</v>
      </c>
      <c r="C76" s="1324" t="s">
        <v>652</v>
      </c>
      <c r="D76" s="1325">
        <v>745652.15941019054</v>
      </c>
      <c r="E76" s="453"/>
      <c r="F76" s="332"/>
    </row>
    <row r="77" spans="1:6">
      <c r="A77" s="1310" t="s">
        <v>65</v>
      </c>
      <c r="B77" s="1310" t="s">
        <v>647</v>
      </c>
      <c r="C77" s="1324" t="s">
        <v>653</v>
      </c>
      <c r="D77" s="1325">
        <v>172047280</v>
      </c>
      <c r="E77" s="453"/>
      <c r="F77" s="332"/>
    </row>
    <row r="78" spans="1:6">
      <c r="A78" s="1305" t="s">
        <v>65</v>
      </c>
      <c r="B78" s="1305" t="s">
        <v>648</v>
      </c>
      <c r="C78" s="1305" t="s">
        <v>654</v>
      </c>
      <c r="D78" s="1326">
        <v>30563195</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882933.68117961904</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11470.196570750024</v>
      </c>
      <c r="C90" s="332"/>
      <c r="D90" s="332"/>
      <c r="E90" s="332"/>
      <c r="F90" s="332"/>
    </row>
    <row r="91" spans="1:6">
      <c r="A91" s="1310" t="s">
        <v>67</v>
      </c>
      <c r="B91" s="1311">
        <v>12111.958302187722</v>
      </c>
      <c r="C91" s="332"/>
      <c r="D91" s="332"/>
      <c r="E91" s="332"/>
      <c r="F91" s="332"/>
    </row>
    <row r="92" spans="1:6">
      <c r="A92" s="1305" t="s">
        <v>68</v>
      </c>
      <c r="B92" s="1306">
        <v>15398.646028896868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1923</v>
      </c>
      <c r="C97" s="332"/>
      <c r="D97" s="332"/>
      <c r="E97" s="332"/>
      <c r="F97" s="332"/>
    </row>
    <row r="98" spans="1:6">
      <c r="A98" s="1310" t="s">
        <v>71</v>
      </c>
      <c r="B98" s="1311">
        <v>7</v>
      </c>
      <c r="C98" s="332"/>
      <c r="D98" s="332"/>
      <c r="E98" s="332"/>
      <c r="F98" s="332"/>
    </row>
    <row r="99" spans="1:6">
      <c r="A99" s="1310" t="s">
        <v>72</v>
      </c>
      <c r="B99" s="1311">
        <v>53</v>
      </c>
      <c r="C99" s="332"/>
      <c r="D99" s="332"/>
      <c r="E99" s="332"/>
      <c r="F99" s="332"/>
    </row>
    <row r="100" spans="1:6">
      <c r="A100" s="1310" t="s">
        <v>73</v>
      </c>
      <c r="B100" s="1311">
        <v>335</v>
      </c>
      <c r="C100" s="332"/>
      <c r="D100" s="332"/>
      <c r="E100" s="332"/>
      <c r="F100" s="332"/>
    </row>
    <row r="101" spans="1:6">
      <c r="A101" s="1310" t="s">
        <v>74</v>
      </c>
      <c r="B101" s="1311">
        <v>65</v>
      </c>
      <c r="C101" s="332"/>
      <c r="D101" s="332"/>
      <c r="E101" s="332"/>
      <c r="F101" s="332"/>
    </row>
    <row r="102" spans="1:6">
      <c r="A102" s="1310" t="s">
        <v>75</v>
      </c>
      <c r="B102" s="1311">
        <v>118</v>
      </c>
      <c r="C102" s="332"/>
      <c r="D102" s="332"/>
      <c r="E102" s="332"/>
      <c r="F102" s="332"/>
    </row>
    <row r="103" spans="1:6">
      <c r="A103" s="1310" t="s">
        <v>76</v>
      </c>
      <c r="B103" s="1311">
        <v>185</v>
      </c>
      <c r="C103" s="332"/>
      <c r="D103" s="332"/>
      <c r="E103" s="332"/>
      <c r="F103" s="332"/>
    </row>
    <row r="104" spans="1:6">
      <c r="A104" s="1310" t="s">
        <v>77</v>
      </c>
      <c r="B104" s="1311">
        <v>7729</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2</v>
      </c>
      <c r="C122" s="1311">
        <v>0</v>
      </c>
      <c r="D122" s="332"/>
      <c r="E122" s="332"/>
      <c r="F122" s="332"/>
    </row>
    <row r="123" spans="1:6">
      <c r="A123" s="1310" t="s">
        <v>87</v>
      </c>
      <c r="B123" s="1311">
        <v>62</v>
      </c>
      <c r="C123" s="1311">
        <v>128</v>
      </c>
      <c r="D123" s="332"/>
      <c r="E123" s="332"/>
      <c r="F123" s="332"/>
    </row>
    <row r="124" spans="1:6" s="43" customFormat="1">
      <c r="A124" s="1312" t="s">
        <v>88</v>
      </c>
      <c r="B124" s="1333">
        <v>7</v>
      </c>
      <c r="C124" s="1333">
        <v>4</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406</v>
      </c>
      <c r="C129" s="332"/>
      <c r="D129" s="332"/>
      <c r="E129" s="332"/>
      <c r="F129" s="332"/>
    </row>
    <row r="130" spans="1:6">
      <c r="A130" s="1310" t="s">
        <v>294</v>
      </c>
      <c r="B130" s="1311">
        <v>4</v>
      </c>
      <c r="C130" s="332"/>
      <c r="D130" s="332"/>
      <c r="E130" s="332"/>
      <c r="F130" s="332"/>
    </row>
    <row r="131" spans="1:6">
      <c r="A131" s="1310" t="s">
        <v>295</v>
      </c>
      <c r="B131" s="1311">
        <v>9</v>
      </c>
      <c r="C131" s="332"/>
      <c r="D131" s="332"/>
      <c r="E131" s="332"/>
      <c r="F131" s="332"/>
    </row>
    <row r="132" spans="1:6">
      <c r="A132" s="1305" t="s">
        <v>296</v>
      </c>
      <c r="B132" s="1306">
        <v>68</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141512.8415966027</v>
      </c>
      <c r="C3" s="43" t="s">
        <v>169</v>
      </c>
      <c r="D3" s="43"/>
      <c r="E3" s="154"/>
      <c r="F3" s="43"/>
      <c r="G3" s="43"/>
      <c r="H3" s="43"/>
      <c r="I3" s="43"/>
      <c r="J3" s="43"/>
      <c r="K3" s="96"/>
    </row>
    <row r="4" spans="1:11">
      <c r="A4" s="360" t="s">
        <v>170</v>
      </c>
      <c r="B4" s="49">
        <f>IF(ISERROR('SEAP template'!B78+'SEAP template'!C78),0,'SEAP template'!B78+'SEAP template'!C78)</f>
        <v>38980.80090183462</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0.16012384980677072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2052.9793119999999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2052.9793119999999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0.16012384980677072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328.7309510110955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40018.549056000098</v>
      </c>
      <c r="C5" s="17">
        <f>IF(ISERROR('Eigen informatie GS &amp; warmtenet'!B59),0,'Eigen informatie GS &amp; warmtenet'!B59)</f>
        <v>0</v>
      </c>
      <c r="D5" s="30">
        <f>(SUM(HH_hh_gas_kWh,HH_rest_gas_kWh)/1000)*0.903</f>
        <v>101431.13591137801</v>
      </c>
      <c r="E5" s="17">
        <f>B46*B57</f>
        <v>11269.378471134065</v>
      </c>
      <c r="F5" s="17">
        <f>B51*B62</f>
        <v>54370.20867458616</v>
      </c>
      <c r="G5" s="18"/>
      <c r="H5" s="17"/>
      <c r="I5" s="17"/>
      <c r="J5" s="17">
        <f>B50*B61+C50*C61</f>
        <v>0</v>
      </c>
      <c r="K5" s="17"/>
      <c r="L5" s="17"/>
      <c r="M5" s="17"/>
      <c r="N5" s="17">
        <f>B48*B59+C48*C59</f>
        <v>25905.280160210608</v>
      </c>
      <c r="O5" s="17">
        <f>B69*B70*B71</f>
        <v>1067.3695220302232</v>
      </c>
      <c r="P5" s="17">
        <f>B77*B78*B79/1000-B77*B78*B79/1000/B80</f>
        <v>1443.1524251528483</v>
      </c>
    </row>
    <row r="6" spans="1:16">
      <c r="A6" s="16" t="s">
        <v>612</v>
      </c>
      <c r="B6" s="786">
        <f>kWh_PV_kleiner_dan_10kW</f>
        <v>12111.958302187722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52130.507358187824</v>
      </c>
      <c r="C8" s="21">
        <f>C5</f>
        <v>0</v>
      </c>
      <c r="D8" s="21">
        <f>D5</f>
        <v>101431.13591137801</v>
      </c>
      <c r="E8" s="21">
        <f>E5</f>
        <v>11269.378471134065</v>
      </c>
      <c r="F8" s="21">
        <f>F5</f>
        <v>54370.20867458616</v>
      </c>
      <c r="G8" s="21"/>
      <c r="H8" s="21"/>
      <c r="I8" s="21"/>
      <c r="J8" s="21">
        <f>J5</f>
        <v>0</v>
      </c>
      <c r="K8" s="21"/>
      <c r="L8" s="21">
        <f>L5</f>
        <v>0</v>
      </c>
      <c r="M8" s="21">
        <f>M5</f>
        <v>0</v>
      </c>
      <c r="N8" s="21">
        <f>N5</f>
        <v>25905.280160210608</v>
      </c>
      <c r="O8" s="21">
        <f>O5</f>
        <v>1067.3695220302232</v>
      </c>
      <c r="P8" s="21">
        <f>P5</f>
        <v>1443.1524251528483</v>
      </c>
    </row>
    <row r="9" spans="1:16">
      <c r="B9" s="19"/>
      <c r="C9" s="19"/>
      <c r="D9" s="258"/>
      <c r="E9" s="19"/>
      <c r="F9" s="19"/>
      <c r="G9" s="19"/>
      <c r="H9" s="19"/>
      <c r="I9" s="19"/>
      <c r="J9" s="19"/>
      <c r="K9" s="19"/>
      <c r="L9" s="19"/>
      <c r="M9" s="19"/>
      <c r="N9" s="19"/>
      <c r="O9" s="19"/>
      <c r="P9" s="19"/>
    </row>
    <row r="10" spans="1:16">
      <c r="A10" s="24" t="s">
        <v>213</v>
      </c>
      <c r="B10" s="25">
        <f ca="1">'EF ele_warmte'!B12</f>
        <v>0.16012384980677072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8347.3375305732225</v>
      </c>
      <c r="C12" s="23">
        <f ca="1">C10*C8</f>
        <v>0</v>
      </c>
      <c r="D12" s="23">
        <f>D8*D10</f>
        <v>20489.089454098357</v>
      </c>
      <c r="E12" s="23">
        <f>E10*E8</f>
        <v>2558.148912947433</v>
      </c>
      <c r="F12" s="23">
        <f>F10*F8</f>
        <v>14516.845716114505</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1923</v>
      </c>
      <c r="C18" s="166" t="s">
        <v>110</v>
      </c>
      <c r="D18" s="228"/>
      <c r="E18" s="15"/>
    </row>
    <row r="19" spans="1:7">
      <c r="A19" s="171" t="s">
        <v>71</v>
      </c>
      <c r="B19" s="37">
        <f>aantalw2001_ander</f>
        <v>7</v>
      </c>
      <c r="C19" s="166" t="s">
        <v>110</v>
      </c>
      <c r="D19" s="229"/>
      <c r="E19" s="15"/>
    </row>
    <row r="20" spans="1:7">
      <c r="A20" s="171" t="s">
        <v>72</v>
      </c>
      <c r="B20" s="37">
        <f>aantalw2001_propaan</f>
        <v>53</v>
      </c>
      <c r="C20" s="167">
        <f>IF(ISERROR(B20/SUM($B$20,$B$21,$B$22)*100),0,B20/SUM($B$20,$B$21,$B$22)*100)</f>
        <v>11.699779249448124</v>
      </c>
      <c r="D20" s="229"/>
      <c r="E20" s="15"/>
    </row>
    <row r="21" spans="1:7">
      <c r="A21" s="171" t="s">
        <v>73</v>
      </c>
      <c r="B21" s="37">
        <f>aantalw2001_elektriciteit</f>
        <v>335</v>
      </c>
      <c r="C21" s="167">
        <f>IF(ISERROR(B21/SUM($B$20,$B$21,$B$22)*100),0,B21/SUM($B$20,$B$21,$B$22)*100)</f>
        <v>73.951434878587193</v>
      </c>
      <c r="D21" s="229"/>
      <c r="E21" s="15"/>
    </row>
    <row r="22" spans="1:7">
      <c r="A22" s="171" t="s">
        <v>74</v>
      </c>
      <c r="B22" s="37">
        <f>aantalw2001_hout</f>
        <v>65</v>
      </c>
      <c r="C22" s="167">
        <f>IF(ISERROR(B22/SUM($B$20,$B$21,$B$22)*100),0,B22/SUM($B$20,$B$21,$B$22)*100)</f>
        <v>14.348785871964681</v>
      </c>
      <c r="D22" s="229"/>
      <c r="E22" s="15"/>
    </row>
    <row r="23" spans="1:7">
      <c r="A23" s="171" t="s">
        <v>75</v>
      </c>
      <c r="B23" s="37">
        <f>aantalw2001_niet_gespec</f>
        <v>118</v>
      </c>
      <c r="C23" s="166" t="s">
        <v>110</v>
      </c>
      <c r="D23" s="228"/>
      <c r="E23" s="15"/>
    </row>
    <row r="24" spans="1:7">
      <c r="A24" s="171" t="s">
        <v>76</v>
      </c>
      <c r="B24" s="37">
        <f>aantalw2001_steenkool</f>
        <v>185</v>
      </c>
      <c r="C24" s="166" t="s">
        <v>110</v>
      </c>
      <c r="D24" s="229"/>
      <c r="E24" s="15"/>
    </row>
    <row r="25" spans="1:7">
      <c r="A25" s="171" t="s">
        <v>77</v>
      </c>
      <c r="B25" s="37">
        <f>aantalw2001_stookolie</f>
        <v>7729</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13035</v>
      </c>
      <c r="C28" s="36"/>
      <c r="D28" s="228"/>
    </row>
    <row r="29" spans="1:7" s="15" customFormat="1">
      <c r="A29" s="230" t="s">
        <v>839</v>
      </c>
      <c r="B29" s="37">
        <f>SUM(HH_hh_gas_aantal,HH_rest_gas_aantal)</f>
        <v>7598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7598</v>
      </c>
      <c r="C32" s="167">
        <f>IF(ISERROR(B32/SUM($B$32,$B$34,$B$35,$B$36,$B$38,$B$39)*100),0,B32/SUM($B$32,$B$34,$B$35,$B$36,$B$38,$B$39)*100)</f>
        <v>58.908357884943406</v>
      </c>
      <c r="D32" s="233"/>
      <c r="G32" s="15"/>
    </row>
    <row r="33" spans="1:7">
      <c r="A33" s="171" t="s">
        <v>71</v>
      </c>
      <c r="B33" s="34" t="s">
        <v>110</v>
      </c>
      <c r="C33" s="167"/>
      <c r="D33" s="233"/>
      <c r="G33" s="15"/>
    </row>
    <row r="34" spans="1:7">
      <c r="A34" s="171" t="s">
        <v>72</v>
      </c>
      <c r="B34" s="33">
        <f>IF((($B$28-$B$32-$B$39-$B$77-$B$38)*C20/100)&lt;0,0,($B$28-$B$32-$B$39-$B$77-$B$38)*C20/100)</f>
        <v>313.378587196468</v>
      </c>
      <c r="C34" s="167">
        <f>IF(ISERROR(B34/SUM($B$32,$B$34,$B$35,$B$36,$B$38,$B$39)*100),0,B34/SUM($B$32,$B$34,$B$35,$B$36,$B$38,$B$39)*100)</f>
        <v>2.4296680663394943</v>
      </c>
      <c r="D34" s="233"/>
      <c r="G34" s="15"/>
    </row>
    <row r="35" spans="1:7">
      <c r="A35" s="171" t="s">
        <v>73</v>
      </c>
      <c r="B35" s="33">
        <f>IF((($B$28-$B$32-$B$39-$B$77-$B$38)*C21/100)&lt;0,0,($B$28-$B$32-$B$39-$B$77-$B$38)*C21/100)</f>
        <v>1980.7891832229579</v>
      </c>
      <c r="C35" s="167">
        <f>IF(ISERROR(B35/SUM($B$32,$B$34,$B$35,$B$36,$B$38,$B$39)*100),0,B35/SUM($B$32,$B$34,$B$35,$B$36,$B$38,$B$39)*100)</f>
        <v>15.357335891013784</v>
      </c>
      <c r="D35" s="233"/>
      <c r="G35" s="15"/>
    </row>
    <row r="36" spans="1:7">
      <c r="A36" s="171" t="s">
        <v>74</v>
      </c>
      <c r="B36" s="33">
        <f>IF((($B$28-$B$32-$B$39-$B$77-$B$38)*C22/100)&lt;0,0,($B$28-$B$32-$B$39-$B$77-$B$38)*C22/100)</f>
        <v>384.33222958057399</v>
      </c>
      <c r="C36" s="167">
        <f>IF(ISERROR(B36/SUM($B$32,$B$34,$B$35,$B$36,$B$38,$B$39)*100),0,B36/SUM($B$32,$B$34,$B$35,$B$36,$B$38,$B$39)*100)</f>
        <v>2.9797815907937197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2621.5</v>
      </c>
      <c r="C39" s="167">
        <f>IF(ISERROR(B39/SUM($B$32,$B$34,$B$35,$B$36,$B$38,$B$39)*100),0,B39/SUM($B$32,$B$34,$B$35,$B$36,$B$38,$B$39)*100)</f>
        <v>20.324856566909599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7598</v>
      </c>
      <c r="C44" s="34" t="s">
        <v>110</v>
      </c>
      <c r="D44" s="174"/>
    </row>
    <row r="45" spans="1:7">
      <c r="A45" s="171" t="s">
        <v>71</v>
      </c>
      <c r="B45" s="33" t="str">
        <f t="shared" si="0"/>
        <v>-</v>
      </c>
      <c r="C45" s="34" t="s">
        <v>110</v>
      </c>
      <c r="D45" s="174"/>
    </row>
    <row r="46" spans="1:7">
      <c r="A46" s="171" t="s">
        <v>72</v>
      </c>
      <c r="B46" s="33">
        <f t="shared" si="0"/>
        <v>313.378587196468</v>
      </c>
      <c r="C46" s="34" t="s">
        <v>110</v>
      </c>
      <c r="D46" s="174"/>
    </row>
    <row r="47" spans="1:7">
      <c r="A47" s="171" t="s">
        <v>73</v>
      </c>
      <c r="B47" s="33">
        <f t="shared" si="0"/>
        <v>1980.7891832229579</v>
      </c>
      <c r="C47" s="34" t="s">
        <v>110</v>
      </c>
      <c r="D47" s="174"/>
    </row>
    <row r="48" spans="1:7">
      <c r="A48" s="171" t="s">
        <v>74</v>
      </c>
      <c r="B48" s="33">
        <f t="shared" si="0"/>
        <v>384.33222958057399</v>
      </c>
      <c r="C48" s="33">
        <f>B48*10</f>
        <v>3843.3222958057399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2621.5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538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42423.477214999999</v>
      </c>
      <c r="C5" s="17">
        <f>IF(ISERROR('Eigen informatie GS &amp; warmtenet'!B60),0,'Eigen informatie GS &amp; warmtenet'!B60)</f>
        <v>0</v>
      </c>
      <c r="D5" s="30">
        <f>SUM(D6:D12)</f>
        <v>52852.055470053005</v>
      </c>
      <c r="E5" s="17">
        <f>SUM(E6:E12)</f>
        <v>164.23425826102113</v>
      </c>
      <c r="F5" s="17">
        <f>SUM(F6:F12)</f>
        <v>7991.3273458146696</v>
      </c>
      <c r="G5" s="18"/>
      <c r="H5" s="17"/>
      <c r="I5" s="17"/>
      <c r="J5" s="17">
        <f>SUM(J6:J12)</f>
        <v>7.5237561947075857E-2</v>
      </c>
      <c r="K5" s="17"/>
      <c r="L5" s="17"/>
      <c r="M5" s="17"/>
      <c r="N5" s="17">
        <f>SUM(N6:N12)</f>
        <v>2796.593526933726</v>
      </c>
      <c r="O5" s="17">
        <f>B38*B39*B40</f>
        <v>19.589043063364617</v>
      </c>
      <c r="P5" s="17">
        <f>B46*B47*B48/1000-B46*B47*B48/1000/B49</f>
        <v>577.93052137144514</v>
      </c>
      <c r="R5" s="32"/>
    </row>
    <row r="6" spans="1:18">
      <c r="A6" s="32" t="s">
        <v>53</v>
      </c>
      <c r="B6" s="37">
        <f>B26</f>
        <v>5747.3005489999996</v>
      </c>
      <c r="C6" s="33"/>
      <c r="D6" s="37">
        <f>IF(ISERROR(TER_kantoor_gas_kWh/1000),0,TER_kantoor_gas_kWh/1000)*0.903</f>
        <v>8071.6907479320007</v>
      </c>
      <c r="E6" s="33">
        <f>$C$26*'E Balans VL '!I12/100/3.6*1000000</f>
        <v>1.3769166003958626</v>
      </c>
      <c r="F6" s="33">
        <f>$C$26*('E Balans VL '!L12+'E Balans VL '!N12)/100/3.6*1000000</f>
        <v>545.0097606768436</v>
      </c>
      <c r="G6" s="34"/>
      <c r="H6" s="33"/>
      <c r="I6" s="33"/>
      <c r="J6" s="33">
        <f>$C$26*('E Balans VL '!D12+'E Balans VL '!E12)/100/3.6*1000000</f>
        <v>0</v>
      </c>
      <c r="K6" s="33"/>
      <c r="L6" s="33"/>
      <c r="M6" s="33"/>
      <c r="N6" s="33">
        <f>$C$26*'E Balans VL '!Y12/100/3.6*1000000</f>
        <v>2.9193314072665855</v>
      </c>
      <c r="O6" s="33"/>
      <c r="P6" s="33"/>
      <c r="R6" s="32"/>
    </row>
    <row r="7" spans="1:18">
      <c r="A7" s="32" t="s">
        <v>52</v>
      </c>
      <c r="B7" s="37">
        <f t="shared" ref="B7:B12" si="0">B27</f>
        <v>4259.8613420000001</v>
      </c>
      <c r="C7" s="33"/>
      <c r="D7" s="37">
        <f>IF(ISERROR(TER_horeca_gas_kWh/1000),0,TER_horeca_gas_kWh/1000)*0.903</f>
        <v>6216.515678709</v>
      </c>
      <c r="E7" s="33">
        <f>$C$27*'E Balans VL '!I9/100/3.6*1000000</f>
        <v>0</v>
      </c>
      <c r="F7" s="33">
        <f>$C$27*('E Balans VL '!L9+'E Balans VL '!N9)/100/3.6*1000000</f>
        <v>349.29861643353092</v>
      </c>
      <c r="G7" s="34"/>
      <c r="H7" s="33"/>
      <c r="I7" s="33"/>
      <c r="J7" s="33">
        <f>$C$27*('E Balans VL '!D9+'E Balans VL '!E9)/100/3.6*1000000</f>
        <v>0</v>
      </c>
      <c r="K7" s="33"/>
      <c r="L7" s="33"/>
      <c r="M7" s="33"/>
      <c r="N7" s="33">
        <f>$C$27*'E Balans VL '!Y9/100/3.6*1000000</f>
        <v>1.3058186500007591</v>
      </c>
      <c r="O7" s="33"/>
      <c r="P7" s="33"/>
      <c r="R7" s="32"/>
    </row>
    <row r="8" spans="1:18">
      <c r="A8" s="6" t="s">
        <v>51</v>
      </c>
      <c r="B8" s="37">
        <f t="shared" si="0"/>
        <v>15292.732777000001</v>
      </c>
      <c r="C8" s="33"/>
      <c r="D8" s="37">
        <f>IF(ISERROR(TER_handel_gas_kWh/1000),0,TER_handel_gas_kWh/1000)*0.903</f>
        <v>11898.066233046002</v>
      </c>
      <c r="E8" s="33">
        <f>$C$28*'E Balans VL '!I13/100/3.6*1000000</f>
        <v>53.74559742061242</v>
      </c>
      <c r="F8" s="33">
        <f>$C$28*('E Balans VL '!L13+'E Balans VL '!N13)/100/3.6*1000000</f>
        <v>1399.257585910472</v>
      </c>
      <c r="G8" s="34"/>
      <c r="H8" s="33"/>
      <c r="I8" s="33"/>
      <c r="J8" s="33">
        <f>$C$28*('E Balans VL '!D13+'E Balans VL '!E13)/100/3.6*1000000</f>
        <v>0</v>
      </c>
      <c r="K8" s="33"/>
      <c r="L8" s="33"/>
      <c r="M8" s="33"/>
      <c r="N8" s="33">
        <f>$C$28*'E Balans VL '!Y13/100/3.6*1000000</f>
        <v>5.5383694350438395</v>
      </c>
      <c r="O8" s="33"/>
      <c r="P8" s="33"/>
      <c r="R8" s="32"/>
    </row>
    <row r="9" spans="1:18">
      <c r="A9" s="32" t="s">
        <v>50</v>
      </c>
      <c r="B9" s="37">
        <f t="shared" si="0"/>
        <v>8998.4007249999995</v>
      </c>
      <c r="C9" s="33"/>
      <c r="D9" s="37">
        <f>IF(ISERROR(TER_gezond_gas_kWh/1000),0,TER_gezond_gas_kWh/1000)*0.903</f>
        <v>12827.459915298001</v>
      </c>
      <c r="E9" s="33">
        <f>$C$29*'E Balans VL '!I10/100/3.6*1000000</f>
        <v>0</v>
      </c>
      <c r="F9" s="33">
        <f>$C$29*('E Balans VL '!L10+'E Balans VL '!N10)/100/3.6*1000000</f>
        <v>1103.038691717886</v>
      </c>
      <c r="G9" s="34"/>
      <c r="H9" s="33"/>
      <c r="I9" s="33"/>
      <c r="J9" s="33">
        <f>$C$29*('E Balans VL '!D10+'E Balans VL '!E10)/100/3.6*1000000</f>
        <v>0</v>
      </c>
      <c r="K9" s="33"/>
      <c r="L9" s="33"/>
      <c r="M9" s="33"/>
      <c r="N9" s="33">
        <f>$C$29*'E Balans VL '!Y10/100/3.6*1000000</f>
        <v>66.356934767819553</v>
      </c>
      <c r="O9" s="33"/>
      <c r="P9" s="33"/>
      <c r="R9" s="32"/>
    </row>
    <row r="10" spans="1:18">
      <c r="A10" s="32" t="s">
        <v>49</v>
      </c>
      <c r="B10" s="37">
        <f t="shared" si="0"/>
        <v>7618.3609189999997</v>
      </c>
      <c r="C10" s="33"/>
      <c r="D10" s="37">
        <f>IF(ISERROR(TER_ander_gas_kWh/1000),0,TER_ander_gas_kWh/1000)*0.903</f>
        <v>12882.279654678001</v>
      </c>
      <c r="E10" s="33">
        <f>$C$30*'E Balans VL '!I14/100/3.6*1000000</f>
        <v>109.11174424001283</v>
      </c>
      <c r="F10" s="33">
        <f>$C$30*('E Balans VL '!L14+'E Balans VL '!N14)/100/3.6*1000000</f>
        <v>4535.4692920827147</v>
      </c>
      <c r="G10" s="34"/>
      <c r="H10" s="33"/>
      <c r="I10" s="33"/>
      <c r="J10" s="33">
        <f>$C$30*('E Balans VL '!D14+'E Balans VL '!E14)/100/3.6*1000000</f>
        <v>7.5237561947075857E-2</v>
      </c>
      <c r="K10" s="33"/>
      <c r="L10" s="33"/>
      <c r="M10" s="33"/>
      <c r="N10" s="33">
        <f>$C$30*'E Balans VL '!Y14/100/3.6*1000000</f>
        <v>2719.0459232096086</v>
      </c>
      <c r="O10" s="33"/>
      <c r="P10" s="33"/>
      <c r="R10" s="32"/>
    </row>
    <row r="11" spans="1:18">
      <c r="A11" s="32" t="s">
        <v>54</v>
      </c>
      <c r="B11" s="37">
        <f t="shared" si="0"/>
        <v>506.82090299999999</v>
      </c>
      <c r="C11" s="33"/>
      <c r="D11" s="37">
        <f>IF(ISERROR(TER_onderwijs_gas_kWh/1000),0,TER_onderwijs_gas_kWh/1000)*0.903</f>
        <v>956.04324038999994</v>
      </c>
      <c r="E11" s="33">
        <f>$C$31*'E Balans VL '!I11/100/3.6*1000000</f>
        <v>0</v>
      </c>
      <c r="F11" s="33">
        <f>$C$31*('E Balans VL '!L11+'E Balans VL '!N11)/100/3.6*1000000</f>
        <v>59.253398993222675</v>
      </c>
      <c r="G11" s="34"/>
      <c r="H11" s="33"/>
      <c r="I11" s="33"/>
      <c r="J11" s="33">
        <f>$C$31*('E Balans VL '!D11+'E Balans VL '!E11)/100/3.6*1000000</f>
        <v>0</v>
      </c>
      <c r="K11" s="33"/>
      <c r="L11" s="33"/>
      <c r="M11" s="33"/>
      <c r="N11" s="33">
        <f>$C$31*'E Balans VL '!Y11/100/3.6*1000000</f>
        <v>1.4271494639867603</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42423.477214999999</v>
      </c>
      <c r="C16" s="21">
        <f t="shared" ca="1" si="1"/>
        <v>0</v>
      </c>
      <c r="D16" s="21">
        <f t="shared" ca="1" si="1"/>
        <v>52852.055470053005</v>
      </c>
      <c r="E16" s="21">
        <f t="shared" si="1"/>
        <v>164.23425826102113</v>
      </c>
      <c r="F16" s="21">
        <f t="shared" ca="1" si="1"/>
        <v>7991.3273458146696</v>
      </c>
      <c r="G16" s="21">
        <f t="shared" si="1"/>
        <v>0</v>
      </c>
      <c r="H16" s="21">
        <f t="shared" si="1"/>
        <v>0</v>
      </c>
      <c r="I16" s="21">
        <f t="shared" si="1"/>
        <v>0</v>
      </c>
      <c r="J16" s="21">
        <f t="shared" si="1"/>
        <v>7.5237561947075857E-2</v>
      </c>
      <c r="K16" s="21">
        <f t="shared" si="1"/>
        <v>0</v>
      </c>
      <c r="L16" s="21">
        <f t="shared" ca="1" si="1"/>
        <v>0</v>
      </c>
      <c r="M16" s="21">
        <f t="shared" si="1"/>
        <v>0</v>
      </c>
      <c r="N16" s="21">
        <f t="shared" ca="1" si="1"/>
        <v>2796.593526933726</v>
      </c>
      <c r="O16" s="21">
        <f>O5</f>
        <v>19.589043063364617</v>
      </c>
      <c r="P16" s="21">
        <f>P5</f>
        <v>577.93052137144514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0.16012384980677072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6793.0104938556196</v>
      </c>
      <c r="C20" s="23">
        <f t="shared" ref="C20:P20" ca="1" si="2">C16*C18</f>
        <v>0</v>
      </c>
      <c r="D20" s="23">
        <f t="shared" ca="1" si="2"/>
        <v>10676.115204950707</v>
      </c>
      <c r="E20" s="23">
        <f t="shared" si="2"/>
        <v>37.281176625251796</v>
      </c>
      <c r="F20" s="23">
        <f t="shared" ca="1" si="2"/>
        <v>2133.6844013325167</v>
      </c>
      <c r="G20" s="23">
        <f t="shared" si="2"/>
        <v>0</v>
      </c>
      <c r="H20" s="23">
        <f t="shared" si="2"/>
        <v>0</v>
      </c>
      <c r="I20" s="23">
        <f t="shared" si="2"/>
        <v>0</v>
      </c>
      <c r="J20" s="23">
        <f t="shared" si="2"/>
        <v>2.6634096929264852E-2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5747.3005489999996</v>
      </c>
      <c r="C26" s="39">
        <f>IF(ISERROR(B26*3.6/1000000/'E Balans VL '!Z12*100),0,B26*3.6/1000000/'E Balans VL '!Z12*100)</f>
        <v>0.16208909510422592</v>
      </c>
      <c r="D26" s="237" t="s">
        <v>702</v>
      </c>
      <c r="F26" s="6"/>
    </row>
    <row r="27" spans="1:18">
      <c r="A27" s="231" t="s">
        <v>52</v>
      </c>
      <c r="B27" s="33">
        <f>IF(ISERROR(TER_horeca_ele_kWh/1000),0,TER_horeca_ele_kWh/1000)</f>
        <v>4259.8613420000001</v>
      </c>
      <c r="C27" s="39">
        <f>IF(ISERROR(B27*3.6/1000000/'E Balans VL '!Z9*100),0,B27*3.6/1000000/'E Balans VL '!Z9*100)</f>
        <v>0.31581638748766766</v>
      </c>
      <c r="D27" s="237" t="s">
        <v>702</v>
      </c>
      <c r="F27" s="6"/>
    </row>
    <row r="28" spans="1:18">
      <c r="A28" s="171" t="s">
        <v>51</v>
      </c>
      <c r="B28" s="33">
        <f>IF(ISERROR(TER_handel_ele_kWh/1000),0,TER_handel_ele_kWh/1000)</f>
        <v>15292.732777000001</v>
      </c>
      <c r="C28" s="39">
        <f>IF(ISERROR(B28*3.6/1000000/'E Balans VL '!Z13*100),0,B28*3.6/1000000/'E Balans VL '!Z13*100)</f>
        <v>0.45813391416921939</v>
      </c>
      <c r="D28" s="237" t="s">
        <v>702</v>
      </c>
      <c r="F28" s="6"/>
    </row>
    <row r="29" spans="1:18">
      <c r="A29" s="231" t="s">
        <v>50</v>
      </c>
      <c r="B29" s="33">
        <f>IF(ISERROR(TER_gezond_ele_kWh/1000),0,TER_gezond_ele_kWh/1000)</f>
        <v>8998.4007249999995</v>
      </c>
      <c r="C29" s="39">
        <f>IF(ISERROR(B29*3.6/1000000/'E Balans VL '!Z10*100),0,B29*3.6/1000000/'E Balans VL '!Z10*100)</f>
        <v>0.88976539059417414</v>
      </c>
      <c r="D29" s="237" t="s">
        <v>702</v>
      </c>
      <c r="F29" s="6"/>
    </row>
    <row r="30" spans="1:18">
      <c r="A30" s="231" t="s">
        <v>49</v>
      </c>
      <c r="B30" s="33">
        <f>IF(ISERROR(TER_ander_ele_kWh/1000),0,TER_ander_ele_kWh/1000)</f>
        <v>7618.3609189999997</v>
      </c>
      <c r="C30" s="39">
        <f>IF(ISERROR(B30*3.6/1000000/'E Balans VL '!Z14*100),0,B30*3.6/1000000/'E Balans VL '!Z14*100)</f>
        <v>0.30814018544877486</v>
      </c>
      <c r="D30" s="237" t="s">
        <v>702</v>
      </c>
      <c r="F30" s="6"/>
    </row>
    <row r="31" spans="1:18">
      <c r="A31" s="231" t="s">
        <v>54</v>
      </c>
      <c r="B31" s="33">
        <f>IF(ISERROR(TER_onderwijs_ele_kWh/1000),0,TER_onderwijs_ele_kWh/1000)</f>
        <v>506.82090299999999</v>
      </c>
      <c r="C31" s="39">
        <f>IF(ISERROR(B31*3.6/1000000/'E Balans VL '!Z11*100),0,B31*3.6/1000000/'E Balans VL '!Z11*100)</f>
        <v>0.13924586768182937</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4</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38392.927531000001</v>
      </c>
      <c r="C5" s="17">
        <f>IF(ISERROR('Eigen informatie GS &amp; warmtenet'!B61),0,'Eigen informatie GS &amp; warmtenet'!B61)</f>
        <v>0</v>
      </c>
      <c r="D5" s="30">
        <f>SUM(D6:D15)</f>
        <v>69340.107753189004</v>
      </c>
      <c r="E5" s="17">
        <f>SUM(E6:E15)</f>
        <v>795.91229634821696</v>
      </c>
      <c r="F5" s="17">
        <f>SUM(F6:F15)</f>
        <v>4974.4623413486534</v>
      </c>
      <c r="G5" s="18"/>
      <c r="H5" s="17"/>
      <c r="I5" s="17"/>
      <c r="J5" s="17">
        <f>SUM(J6:J15)</f>
        <v>32.715372366968758</v>
      </c>
      <c r="K5" s="17"/>
      <c r="L5" s="17"/>
      <c r="M5" s="17"/>
      <c r="N5" s="17">
        <f>SUM(N6:N15)</f>
        <v>1100.1682249003893</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3412.0434219999997</v>
      </c>
      <c r="C8" s="33"/>
      <c r="D8" s="37">
        <f>IF( ISERROR(IND_metaal_Gas_kWH/1000),0,IND_metaal_Gas_kWH/1000)*0.903</f>
        <v>10959.201196902</v>
      </c>
      <c r="E8" s="33">
        <f>C30*'E Balans VL '!I18/100/3.6*1000000</f>
        <v>17.204118264759902</v>
      </c>
      <c r="F8" s="33">
        <f>C30*'E Balans VL '!L18/100/3.6*1000000+C30*'E Balans VL '!N18/100/3.6*1000000</f>
        <v>233.11777893467564</v>
      </c>
      <c r="G8" s="34"/>
      <c r="H8" s="33"/>
      <c r="I8" s="33"/>
      <c r="J8" s="40">
        <f>C30*'E Balans VL '!D18/100/3.6*1000000+C30*'E Balans VL '!E18/100/3.6*1000000</f>
        <v>3.0250675446563555</v>
      </c>
      <c r="K8" s="33"/>
      <c r="L8" s="33"/>
      <c r="M8" s="33"/>
      <c r="N8" s="33">
        <f>C30*'E Balans VL '!Y18/100/3.6*1000000</f>
        <v>45.346077327244799</v>
      </c>
      <c r="O8" s="33"/>
      <c r="P8" s="33"/>
      <c r="R8" s="32"/>
    </row>
    <row r="9" spans="1:18">
      <c r="A9" s="6" t="s">
        <v>32</v>
      </c>
      <c r="B9" s="37">
        <f t="shared" si="0"/>
        <v>5435.3116579999996</v>
      </c>
      <c r="C9" s="33"/>
      <c r="D9" s="37">
        <f>IF( ISERROR(IND_andere_gas_kWh/1000),0,IND_andere_gas_kWh/1000)*0.903</f>
        <v>27825.571135425002</v>
      </c>
      <c r="E9" s="33">
        <f>C31*'E Balans VL '!I19/100/3.6*1000000</f>
        <v>17.133386945539787</v>
      </c>
      <c r="F9" s="33">
        <f>C31*'E Balans VL '!L19/100/3.6*1000000+C31*'E Balans VL '!N19/100/3.6*1000000</f>
        <v>3327.2691948231768</v>
      </c>
      <c r="G9" s="34"/>
      <c r="H9" s="33"/>
      <c r="I9" s="33"/>
      <c r="J9" s="40">
        <f>C31*'E Balans VL '!D19/100/3.6*1000000+C31*'E Balans VL '!E19/100/3.6*1000000</f>
        <v>0</v>
      </c>
      <c r="K9" s="33"/>
      <c r="L9" s="33"/>
      <c r="M9" s="33"/>
      <c r="N9" s="33">
        <f>C31*'E Balans VL '!Y19/100/3.6*1000000</f>
        <v>227.90999799950893</v>
      </c>
      <c r="O9" s="33"/>
      <c r="P9" s="33"/>
      <c r="R9" s="32"/>
    </row>
    <row r="10" spans="1:18">
      <c r="A10" s="6" t="s">
        <v>40</v>
      </c>
      <c r="B10" s="37">
        <f t="shared" si="0"/>
        <v>6309.4067610000002</v>
      </c>
      <c r="C10" s="33"/>
      <c r="D10" s="37">
        <f>IF( ISERROR(IND_voed_gas_kWh/1000),0,IND_voed_gas_kWh/1000)*0.903</f>
        <v>9754.3635987840007</v>
      </c>
      <c r="E10" s="33">
        <f>C32*'E Balans VL '!I20/100/3.6*1000000</f>
        <v>10.055422423013031</v>
      </c>
      <c r="F10" s="33">
        <f>C32*'E Balans VL '!L20/100/3.6*1000000+C32*'E Balans VL '!N20/100/3.6*1000000</f>
        <v>102.51253257981647</v>
      </c>
      <c r="G10" s="34"/>
      <c r="H10" s="33"/>
      <c r="I10" s="33"/>
      <c r="J10" s="40">
        <f>C32*'E Balans VL '!D20/100/3.6*1000000+C32*'E Balans VL '!E20/100/3.6*1000000</f>
        <v>0</v>
      </c>
      <c r="K10" s="33"/>
      <c r="L10" s="33"/>
      <c r="M10" s="33"/>
      <c r="N10" s="33">
        <f>C32*'E Balans VL '!Y20/100/3.6*1000000</f>
        <v>199.28257703634765</v>
      </c>
      <c r="O10" s="33"/>
      <c r="P10" s="33"/>
      <c r="R10" s="32"/>
    </row>
    <row r="11" spans="1:18">
      <c r="A11" s="6" t="s">
        <v>39</v>
      </c>
      <c r="B11" s="37">
        <f t="shared" si="0"/>
        <v>23.058976999999999</v>
      </c>
      <c r="C11" s="33"/>
      <c r="D11" s="37">
        <f>IF( ISERROR(IND_textiel_gas_kWh/1000),0,IND_textiel_gas_kWh/1000)*0.903</f>
        <v>0</v>
      </c>
      <c r="E11" s="33">
        <f>C33*'E Balans VL '!I21/100/3.6*1000000</f>
        <v>3.3454362091418152E-2</v>
      </c>
      <c r="F11" s="33">
        <f>C33*'E Balans VL '!L21/100/3.6*1000000+C33*'E Balans VL '!N21/100/3.6*1000000</f>
        <v>0.45127899567845342</v>
      </c>
      <c r="G11" s="34"/>
      <c r="H11" s="33"/>
      <c r="I11" s="33"/>
      <c r="J11" s="40">
        <f>C33*'E Balans VL '!D21/100/3.6*1000000+C33*'E Balans VL '!E21/100/3.6*1000000</f>
        <v>0</v>
      </c>
      <c r="K11" s="33"/>
      <c r="L11" s="33"/>
      <c r="M11" s="33"/>
      <c r="N11" s="33">
        <f>C33*'E Balans VL '!Y21/100/3.6*1000000</f>
        <v>1.1233810260989616</v>
      </c>
      <c r="O11" s="33"/>
      <c r="P11" s="33"/>
      <c r="R11" s="32"/>
    </row>
    <row r="12" spans="1:18">
      <c r="A12" s="6" t="s">
        <v>36</v>
      </c>
      <c r="B12" s="37">
        <f t="shared" si="0"/>
        <v>2229.7381970000001</v>
      </c>
      <c r="C12" s="33"/>
      <c r="D12" s="37">
        <f>IF( ISERROR(IND_min_gas_kWh/1000),0,IND_min_gas_kWh/1000)*0.903</f>
        <v>0</v>
      </c>
      <c r="E12" s="33">
        <f>C34*'E Balans VL '!I22/100/3.6*1000000</f>
        <v>9.6486809563980369</v>
      </c>
      <c r="F12" s="33">
        <f>C34*'E Balans VL '!L22/100/3.6*1000000+C34*'E Balans VL '!N22/100/3.6*1000000</f>
        <v>85.134156815726598</v>
      </c>
      <c r="G12" s="34"/>
      <c r="H12" s="33"/>
      <c r="I12" s="33"/>
      <c r="J12" s="40">
        <f>C34*'E Balans VL '!D22/100/3.6*1000000+C34*'E Balans VL '!E22/100/3.6*1000000</f>
        <v>0</v>
      </c>
      <c r="K12" s="33"/>
      <c r="L12" s="33"/>
      <c r="M12" s="33"/>
      <c r="N12" s="33">
        <f>C34*'E Balans VL '!Y22/100/3.6*1000000</f>
        <v>380.3431083756841</v>
      </c>
      <c r="O12" s="33"/>
      <c r="P12" s="33"/>
      <c r="R12" s="32"/>
    </row>
    <row r="13" spans="1:18">
      <c r="A13" s="6" t="s">
        <v>38</v>
      </c>
      <c r="B13" s="37">
        <f t="shared" si="0"/>
        <v>23.872691</v>
      </c>
      <c r="C13" s="33"/>
      <c r="D13" s="37">
        <f>IF( ISERROR(IND_papier_gas_kWh/1000),0,IND_papier_gas_kWh/1000)*0.903</f>
        <v>63.064786763999997</v>
      </c>
      <c r="E13" s="33">
        <f>C35*'E Balans VL '!I23/100/3.6*1000000</f>
        <v>0</v>
      </c>
      <c r="F13" s="33">
        <f>C35*'E Balans VL '!L23/100/3.6*1000000+C35*'E Balans VL '!N23/100/3.6*1000000</f>
        <v>1.0342759792650916E-3</v>
      </c>
      <c r="G13" s="34"/>
      <c r="H13" s="33"/>
      <c r="I13" s="33"/>
      <c r="J13" s="40">
        <f>C35*'E Balans VL '!D23/100/3.6*1000000+C35*'E Balans VL '!E23/100/3.6*1000000</f>
        <v>6.5780649216912299E-4</v>
      </c>
      <c r="K13" s="33"/>
      <c r="L13" s="33"/>
      <c r="M13" s="33"/>
      <c r="N13" s="33">
        <f>C35*'E Balans VL '!Y23/100/3.6*1000000</f>
        <v>0</v>
      </c>
      <c r="O13" s="33"/>
      <c r="P13" s="33"/>
      <c r="R13" s="32"/>
    </row>
    <row r="14" spans="1:18">
      <c r="A14" s="6" t="s">
        <v>33</v>
      </c>
      <c r="B14" s="37">
        <f t="shared" si="0"/>
        <v>6416.8638250000004</v>
      </c>
      <c r="C14" s="33"/>
      <c r="D14" s="37">
        <f>IF( ISERROR(IND_chemie_gas_kWh/1000),0,IND_chemie_gas_kWh/1000)*0.903</f>
        <v>1675.139268138</v>
      </c>
      <c r="E14" s="33">
        <f>C36*'E Balans VL '!I24/100/3.6*1000000</f>
        <v>375.27876426786804</v>
      </c>
      <c r="F14" s="33">
        <f>C36*'E Balans VL '!L24/100/3.6*1000000+C36*'E Balans VL '!N24/100/3.6*1000000</f>
        <v>45.386312039891294</v>
      </c>
      <c r="G14" s="34"/>
      <c r="H14" s="33"/>
      <c r="I14" s="33"/>
      <c r="J14" s="40">
        <f>C36*'E Balans VL '!D24/100/3.6*1000000+C36*'E Balans VL '!E24/100/3.6*1000000</f>
        <v>0</v>
      </c>
      <c r="K14" s="33"/>
      <c r="L14" s="33"/>
      <c r="M14" s="33"/>
      <c r="N14" s="33">
        <f>C36*'E Balans VL '!Y24/100/3.6*1000000</f>
        <v>0.43247181957986697</v>
      </c>
      <c r="O14" s="33"/>
      <c r="P14" s="33"/>
      <c r="R14" s="32"/>
    </row>
    <row r="15" spans="1:18">
      <c r="A15" s="6" t="s">
        <v>269</v>
      </c>
      <c r="B15" s="37">
        <f t="shared" si="0"/>
        <v>14542.632</v>
      </c>
      <c r="C15" s="33"/>
      <c r="D15" s="37">
        <f>IF( ISERROR(IND_rest_gas_kWh/1000),0,IND_rest_gas_kWh/1000)*0.903</f>
        <v>19062.767767175999</v>
      </c>
      <c r="E15" s="33">
        <f>C37*'E Balans VL '!I15/100/3.6*1000000</f>
        <v>366.55846912854673</v>
      </c>
      <c r="F15" s="33">
        <f>C37*'E Balans VL '!L15/100/3.6*1000000+C37*'E Balans VL '!N15/100/3.6*1000000</f>
        <v>1180.5900528837083</v>
      </c>
      <c r="G15" s="34"/>
      <c r="H15" s="33"/>
      <c r="I15" s="33"/>
      <c r="J15" s="40">
        <f>C37*'E Balans VL '!D15/100/3.6*1000000+C37*'E Balans VL '!E15/100/3.6*1000000</f>
        <v>29.689647015820231</v>
      </c>
      <c r="K15" s="33"/>
      <c r="L15" s="33"/>
      <c r="M15" s="33"/>
      <c r="N15" s="33">
        <f>C37*'E Balans VL '!Y15/100/3.6*1000000</f>
        <v>245.73061131592496</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38392.927531000001</v>
      </c>
      <c r="C18" s="21">
        <f>C5+C16</f>
        <v>0</v>
      </c>
      <c r="D18" s="21">
        <f>MAX((D5+D16),0)</f>
        <v>69340.107753189004</v>
      </c>
      <c r="E18" s="21">
        <f>MAX((E5+E16),0)</f>
        <v>795.91229634821696</v>
      </c>
      <c r="F18" s="21">
        <f>MAX((F5+F16),0)</f>
        <v>4974.4623413486534</v>
      </c>
      <c r="G18" s="21"/>
      <c r="H18" s="21"/>
      <c r="I18" s="21"/>
      <c r="J18" s="21">
        <f>MAX((J5+J16),0)</f>
        <v>32.715372366968758</v>
      </c>
      <c r="K18" s="21"/>
      <c r="L18" s="21">
        <f>MAX((L5+L16),0)</f>
        <v>0</v>
      </c>
      <c r="M18" s="21"/>
      <c r="N18" s="21">
        <f>MAX((N5+N16),0)</f>
        <v>1100.1682249003893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0.16012384980677072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6147.6233616160771</v>
      </c>
      <c r="C22" s="23">
        <f ca="1">C18*C20</f>
        <v>0</v>
      </c>
      <c r="D22" s="23">
        <f>D18*D20</f>
        <v>14006.701766144181</v>
      </c>
      <c r="E22" s="23">
        <f>E18*E20</f>
        <v>180.67209127104525</v>
      </c>
      <c r="F22" s="23">
        <f>F18*F20</f>
        <v>1328.1814451400905</v>
      </c>
      <c r="G22" s="23"/>
      <c r="H22" s="23"/>
      <c r="I22" s="23"/>
      <c r="J22" s="23">
        <f>J18*J20</f>
        <v>11.581241817906939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3412.0434219999997</v>
      </c>
      <c r="C30" s="39">
        <f>IF(ISERROR(B30*3.6/1000000/'E Balans VL '!Z18*100),0,B30*3.6/1000000/'E Balans VL '!Z18*100)</f>
        <v>0.16936614557951551</v>
      </c>
      <c r="D30" s="237" t="s">
        <v>702</v>
      </c>
    </row>
    <row r="31" spans="1:18">
      <c r="A31" s="6" t="s">
        <v>32</v>
      </c>
      <c r="B31" s="37">
        <f>IF( ISERROR(IND_ander_ele_kWh/1000),0,IND_ander_ele_kWh/1000)</f>
        <v>5435.3116579999996</v>
      </c>
      <c r="C31" s="39">
        <f>IF(ISERROR(B31*3.6/1000000/'E Balans VL '!Z19*100),0,B31*3.6/1000000/'E Balans VL '!Z19*100)</f>
        <v>0.18341391619720521</v>
      </c>
      <c r="D31" s="237" t="s">
        <v>702</v>
      </c>
    </row>
    <row r="32" spans="1:18">
      <c r="A32" s="171" t="s">
        <v>40</v>
      </c>
      <c r="B32" s="37">
        <f>IF( ISERROR(IND_voed_ele_kWh/1000),0,IND_voed_ele_kWh/1000)</f>
        <v>6309.4067610000002</v>
      </c>
      <c r="C32" s="39">
        <f>IF(ISERROR(B32*3.6/1000000/'E Balans VL '!Z20*100),0,B32*3.6/1000000/'E Balans VL '!Z20*100)</f>
        <v>0.14817208372619836</v>
      </c>
      <c r="D32" s="237" t="s">
        <v>702</v>
      </c>
    </row>
    <row r="33" spans="1:5">
      <c r="A33" s="171" t="s">
        <v>39</v>
      </c>
      <c r="B33" s="37">
        <f>IF( ISERROR(IND_textiel_ele_kWh/1000),0,IND_textiel_ele_kWh/1000)</f>
        <v>23.058976999999999</v>
      </c>
      <c r="C33" s="39">
        <f>IF(ISERROR(B33*3.6/1000000/'E Balans VL '!Z21*100),0,B33*3.6/1000000/'E Balans VL '!Z21*100)</f>
        <v>2.5306934971444706E-3</v>
      </c>
      <c r="D33" s="237" t="s">
        <v>702</v>
      </c>
    </row>
    <row r="34" spans="1:5">
      <c r="A34" s="171" t="s">
        <v>36</v>
      </c>
      <c r="B34" s="37">
        <f>IF( ISERROR(IND_min_ele_kWh/1000),0,IND_min_ele_kWh/1000)</f>
        <v>2229.7381970000001</v>
      </c>
      <c r="C34" s="39">
        <f>IF(ISERROR(B34*3.6/1000000/'E Balans VL '!Z22*100),0,B34*3.6/1000000/'E Balans VL '!Z22*100)</f>
        <v>0.31633464937399741</v>
      </c>
      <c r="D34" s="237" t="s">
        <v>702</v>
      </c>
    </row>
    <row r="35" spans="1:5">
      <c r="A35" s="171" t="s">
        <v>38</v>
      </c>
      <c r="B35" s="37">
        <f>IF( ISERROR(IND_papier_ele_kWh/1000),0,IND_papier_ele_kWh/1000)</f>
        <v>23.872691</v>
      </c>
      <c r="C35" s="39">
        <f>IF(ISERROR(B35*3.6/1000000/'E Balans VL '!Z22*100),0,B35*3.6/1000000/'E Balans VL '!Z22*100)</f>
        <v>3.3868367807751115E-3</v>
      </c>
      <c r="D35" s="237" t="s">
        <v>702</v>
      </c>
    </row>
    <row r="36" spans="1:5">
      <c r="A36" s="171" t="s">
        <v>33</v>
      </c>
      <c r="B36" s="37">
        <f>IF( ISERROR(IND_chemie_ele_kWh/1000),0,IND_chemie_ele_kWh/1000)</f>
        <v>6416.8638250000004</v>
      </c>
      <c r="C36" s="39">
        <f>IF(ISERROR(B36*3.6/1000000/'E Balans VL '!Z24*100),0,B36*3.6/1000000/'E Balans VL '!Z24*100)</f>
        <v>5.859610652945086E-2</v>
      </c>
      <c r="D36" s="237" t="s">
        <v>702</v>
      </c>
    </row>
    <row r="37" spans="1:5">
      <c r="A37" s="171" t="s">
        <v>269</v>
      </c>
      <c r="B37" s="37">
        <f>IF( ISERROR(IND_rest_ele_kWh/1000),0,IND_rest_ele_kWh/1000)</f>
        <v>14542.632</v>
      </c>
      <c r="C37" s="39">
        <f>IF(ISERROR(B37*3.6/1000000/'E Balans VL '!Z15*100),0,B37*3.6/1000000/'E Balans VL '!Z15*100)</f>
        <v>5.4498938103963349E-2</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125.792106</v>
      </c>
      <c r="C5" s="17">
        <f>'Eigen informatie GS &amp; warmtenet'!B62</f>
        <v>0</v>
      </c>
      <c r="D5" s="30">
        <f>IF(ISERROR(SUM(LB_lb_gas_kWh,LB_rest_gas_kWh)/1000),0,SUM(LB_lb_gas_kWh,LB_rest_gas_kWh)/1000)*0.903</f>
        <v>72.199255737000001</v>
      </c>
      <c r="E5" s="17">
        <f>B17*'E Balans VL '!I25/3.6*1000000/100</f>
        <v>4.6911724033443418</v>
      </c>
      <c r="F5" s="17">
        <f>B17*('E Balans VL '!L25/3.6*1000000+'E Balans VL '!N25/3.6*1000000)/100</f>
        <v>408.11819984711741</v>
      </c>
      <c r="G5" s="18"/>
      <c r="H5" s="17"/>
      <c r="I5" s="17"/>
      <c r="J5" s="17">
        <f>('E Balans VL '!D25+'E Balans VL '!E25)/3.6*1000000*landbouw!B17/100</f>
        <v>33.021048848945455</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125.792106</v>
      </c>
      <c r="C8" s="21">
        <f>C5+C6</f>
        <v>0</v>
      </c>
      <c r="D8" s="21">
        <f>MAX((D5+D6),0)</f>
        <v>72.199255737000001</v>
      </c>
      <c r="E8" s="21">
        <f>MAX((E5+E6),0)</f>
        <v>4.6911724033443418</v>
      </c>
      <c r="F8" s="21">
        <f>MAX((F5+F6),0)</f>
        <v>408.11819984711741</v>
      </c>
      <c r="G8" s="21"/>
      <c r="H8" s="21"/>
      <c r="I8" s="21"/>
      <c r="J8" s="21">
        <f>MAX((J5+J6),0)</f>
        <v>33.021048848945455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0.16012384980677072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20.142316288021384</v>
      </c>
      <c r="C12" s="23">
        <f ca="1">C8*C10</f>
        <v>0</v>
      </c>
      <c r="D12" s="23">
        <f>D8*D10</f>
        <v>14.584249658874</v>
      </c>
      <c r="E12" s="23">
        <f>E8*E10</f>
        <v>1.0648961355591657</v>
      </c>
      <c r="F12" s="23">
        <f>F8*F10</f>
        <v>108.96755935918036</v>
      </c>
      <c r="G12" s="23"/>
      <c r="H12" s="23"/>
      <c r="I12" s="23"/>
      <c r="J12" s="23">
        <f>J8*J10</f>
        <v>11.689451292526691</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1.7277217502290592E-2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30.417068106036243</v>
      </c>
      <c r="C26" s="247">
        <f>B26*'GWP N2O_CH4'!B5</f>
        <v>638.75843022676111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3.3115300450347198</v>
      </c>
      <c r="C27" s="247">
        <f>B27*'GWP N2O_CH4'!B5</f>
        <v>69.542130945729113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0.39999370268903872</v>
      </c>
      <c r="C28" s="247">
        <f>B28*'GWP N2O_CH4'!B4</f>
        <v>123.998047833602</v>
      </c>
      <c r="D28" s="50"/>
    </row>
    <row r="29" spans="1:4">
      <c r="A29" s="41" t="s">
        <v>276</v>
      </c>
      <c r="B29" s="247">
        <f>B34*'ha_N2O bodem landbouw'!B4</f>
        <v>5.4025141285856737</v>
      </c>
      <c r="C29" s="247">
        <f>B29*'GWP N2O_CH4'!B4</f>
        <v>1674.7793798615589</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1.2312483984686846E-3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7.636184402934679E-4</v>
      </c>
      <c r="C5" s="440" t="s">
        <v>210</v>
      </c>
      <c r="D5" s="425">
        <f>SUM(D6:D11)</f>
        <v>3.1130841807808954E-3</v>
      </c>
      <c r="E5" s="425">
        <f>SUM(E6:E11)</f>
        <v>1.8718334623732172E-3</v>
      </c>
      <c r="F5" s="438" t="s">
        <v>210</v>
      </c>
      <c r="G5" s="425">
        <f>SUM(G6:G11)</f>
        <v>0.85215958383960322</v>
      </c>
      <c r="H5" s="425">
        <f>SUM(H6:H11)</f>
        <v>0.20264030799714786</v>
      </c>
      <c r="I5" s="440" t="s">
        <v>210</v>
      </c>
      <c r="J5" s="440" t="s">
        <v>210</v>
      </c>
      <c r="K5" s="440" t="s">
        <v>210</v>
      </c>
      <c r="L5" s="440" t="s">
        <v>210</v>
      </c>
      <c r="M5" s="425">
        <f>SUM(M6:M11)</f>
        <v>6.2064589817143634E-2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2.0624629056842809E-4</v>
      </c>
      <c r="C6" s="426"/>
      <c r="D6" s="893">
        <f>vkm_GW_PW*SUMIFS(TableVerdeelsleutelVkm[CNG],TableVerdeelsleutelVkm[Voertuigtype],"Lichte voertuigen")*SUMIFS(TableECFTransport[EnergieConsumptieFactor (PJ per km)],TableECFTransport[Index],CONCATENATE($A6,"_CNG_CNG"))</f>
        <v>7.4489866137864849E-4</v>
      </c>
      <c r="E6" s="893">
        <f>vkm_GW_PW*SUMIFS(TableVerdeelsleutelVkm[LPG],TableVerdeelsleutelVkm[Voertuigtype],"Lichte voertuigen")*SUMIFS(TableECFTransport[EnergieConsumptieFactor (PJ per km)],TableECFTransport[Index],CONCATENATE($A6,"_LPG_LPG"))</f>
        <v>4.0483330189528937E-4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0.12598162923326256</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4.7678988254175242E-2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1.0407452925833624E-2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2.8100196536701847E-2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2.9582602881042854E-7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1.5820850794483973E-3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1.389794105776038E-4</v>
      </c>
      <c r="C8" s="426"/>
      <c r="D8" s="428">
        <f>vkm_NGW_PW*SUMIFS(TableVerdeelsleutelVkm[CNG],TableVerdeelsleutelVkm[Voertuigtype],"Lichte voertuigen")*SUMIFS(TableECFTransport[EnergieConsumptieFactor (PJ per km)],TableECFTransport[Index],CONCATENATE($A8,"_CNG_CNG"))</f>
        <v>8.5084003775512081E-4</v>
      </c>
      <c r="E8" s="428">
        <f>vkm_NGW_PW*SUMIFS(TableVerdeelsleutelVkm[LPG],TableVerdeelsleutelVkm[Voertuigtype],"Lichte voertuigen")*SUMIFS(TableECFTransport[EnergieConsumptieFactor (PJ per km)],TableECFTransport[Index],CONCATENATE($A8,"_LPG_LPG"))</f>
        <v>4.3941278709904612E-4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0.12725405159529765</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5.3630894749536751E-2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1.0892860267371293E-2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8.5861121095837257E-3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1.3128844117732168E-7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4.8341440369223095E-4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4.1839273914743604E-4</v>
      </c>
      <c r="C10" s="426"/>
      <c r="D10" s="428">
        <f>vkm_SW_PW*SUMIFS(TableVerdeelsleutelVkm[CNG],TableVerdeelsleutelVkm[Voertuigtype],"Lichte voertuigen")*SUMIFS(TableECFTransport[EnergieConsumptieFactor (PJ per km)],TableECFTransport[Index],CONCATENATE($A10,"_CNG_CNG"))</f>
        <v>1.5173454816471261E-3</v>
      </c>
      <c r="E10" s="428">
        <f>vkm_SW_PW*SUMIFS(TableVerdeelsleutelVkm[LPG],TableVerdeelsleutelVkm[Voertuigtype],"Lichte voertuigen")*SUMIFS(TableECFTransport[EnergieConsumptieFactor (PJ per km)],TableECFTransport[Index],CONCATENATE($A10,"_LPG_LPG"))</f>
        <v>1.0275873733788818E-3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0.28416994014796521</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0.10132689774339058</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2.3043120649701078E-2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0.27806765421679219</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3.1001355752791462E-6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1.5655656491097011E-2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212.11623341485222</v>
      </c>
      <c r="C14" s="21"/>
      <c r="D14" s="21">
        <f t="shared" ref="D14:M14" si="0">((D5)*10^9/3600)+D12</f>
        <v>864.74560577247098</v>
      </c>
      <c r="E14" s="21">
        <f t="shared" si="0"/>
        <v>519.95373954811589</v>
      </c>
      <c r="F14" s="21"/>
      <c r="G14" s="21">
        <f t="shared" si="0"/>
        <v>236710.99551100089</v>
      </c>
      <c r="H14" s="21">
        <f t="shared" si="0"/>
        <v>56288.97444365218</v>
      </c>
      <c r="I14" s="21"/>
      <c r="J14" s="21"/>
      <c r="K14" s="21"/>
      <c r="L14" s="21"/>
      <c r="M14" s="21">
        <f t="shared" si="0"/>
        <v>17240.163838095454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0.16012384980677072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33.964867900897715</v>
      </c>
      <c r="C18" s="23"/>
      <c r="D18" s="23">
        <f t="shared" ref="D18:M18" si="1">D14*D16</f>
        <v>174.67861236603915</v>
      </c>
      <c r="E18" s="23">
        <f t="shared" si="1"/>
        <v>118.02949887742231</v>
      </c>
      <c r="F18" s="23"/>
      <c r="G18" s="23">
        <f t="shared" si="1"/>
        <v>63201.835801437242</v>
      </c>
      <c r="H18" s="23">
        <f t="shared" si="1"/>
        <v>14015.954636469392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1.0869562861179025E-2</v>
      </c>
      <c r="H50" s="321">
        <f t="shared" si="2"/>
        <v>0</v>
      </c>
      <c r="I50" s="321">
        <f t="shared" si="2"/>
        <v>0</v>
      </c>
      <c r="J50" s="321">
        <f t="shared" si="2"/>
        <v>0</v>
      </c>
      <c r="K50" s="321">
        <f t="shared" si="2"/>
        <v>0</v>
      </c>
      <c r="L50" s="321">
        <f t="shared" si="2"/>
        <v>0</v>
      </c>
      <c r="M50" s="321">
        <f t="shared" si="2"/>
        <v>5.8984438940318088E-4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1.0869562861179025E-2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5.8984438940318088E-4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3019.3230169941739</v>
      </c>
      <c r="H54" s="21">
        <f t="shared" si="3"/>
        <v>0</v>
      </c>
      <c r="I54" s="21">
        <f t="shared" si="3"/>
        <v>0</v>
      </c>
      <c r="J54" s="21">
        <f t="shared" si="3"/>
        <v>0</v>
      </c>
      <c r="K54" s="21">
        <f t="shared" si="3"/>
        <v>0</v>
      </c>
      <c r="L54" s="21">
        <f t="shared" si="3"/>
        <v>0</v>
      </c>
      <c r="M54" s="21">
        <f t="shared" si="3"/>
        <v>163.84566372310582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0.16012384980677072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806.15924553744446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44476.456527000002</v>
      </c>
      <c r="D10" s="689">
        <f ca="1">tertiair!C16</f>
        <v>0</v>
      </c>
      <c r="E10" s="689">
        <f ca="1">tertiair!D16</f>
        <v>52852.055470053005</v>
      </c>
      <c r="F10" s="689">
        <f>tertiair!E16</f>
        <v>164.23425826102113</v>
      </c>
      <c r="G10" s="689">
        <f ca="1">tertiair!F16</f>
        <v>7991.3273458146696</v>
      </c>
      <c r="H10" s="689">
        <f>tertiair!G16</f>
        <v>0</v>
      </c>
      <c r="I10" s="689">
        <f>tertiair!H16</f>
        <v>0</v>
      </c>
      <c r="J10" s="689">
        <f>tertiair!I16</f>
        <v>0</v>
      </c>
      <c r="K10" s="689">
        <f>tertiair!J16</f>
        <v>7.5237561947075857E-2</v>
      </c>
      <c r="L10" s="689">
        <f>tertiair!K16</f>
        <v>0</v>
      </c>
      <c r="M10" s="689">
        <f ca="1">tertiair!L16</f>
        <v>0</v>
      </c>
      <c r="N10" s="689">
        <f>tertiair!M16</f>
        <v>0</v>
      </c>
      <c r="O10" s="689">
        <f ca="1">tertiair!N16</f>
        <v>2796.593526933726</v>
      </c>
      <c r="P10" s="689">
        <f>tertiair!O16</f>
        <v>19.589043063364617</v>
      </c>
      <c r="Q10" s="690">
        <f>tertiair!P16</f>
        <v>577.93052137144514</v>
      </c>
      <c r="R10" s="692">
        <f ca="1">SUM(C10:Q10)</f>
        <v>108878.26193005916</v>
      </c>
      <c r="S10" s="67"/>
    </row>
    <row r="11" spans="1:19" s="451" customFormat="1">
      <c r="A11" s="811" t="s">
        <v>224</v>
      </c>
      <c r="B11" s="816"/>
      <c r="C11" s="689">
        <f>huishoudens!B8</f>
        <v>52130.507358187824</v>
      </c>
      <c r="D11" s="689">
        <f>huishoudens!C8</f>
        <v>0</v>
      </c>
      <c r="E11" s="689">
        <f>huishoudens!D8</f>
        <v>101431.13591137801</v>
      </c>
      <c r="F11" s="689">
        <f>huishoudens!E8</f>
        <v>11269.378471134065</v>
      </c>
      <c r="G11" s="689">
        <f>huishoudens!F8</f>
        <v>54370.20867458616</v>
      </c>
      <c r="H11" s="689">
        <f>huishoudens!G8</f>
        <v>0</v>
      </c>
      <c r="I11" s="689">
        <f>huishoudens!H8</f>
        <v>0</v>
      </c>
      <c r="J11" s="689">
        <f>huishoudens!I8</f>
        <v>0</v>
      </c>
      <c r="K11" s="689">
        <f>huishoudens!J8</f>
        <v>0</v>
      </c>
      <c r="L11" s="689">
        <f>huishoudens!K8</f>
        <v>0</v>
      </c>
      <c r="M11" s="689">
        <f>huishoudens!L8</f>
        <v>0</v>
      </c>
      <c r="N11" s="689">
        <f>huishoudens!M8</f>
        <v>0</v>
      </c>
      <c r="O11" s="689">
        <f>huishoudens!N8</f>
        <v>25905.280160210608</v>
      </c>
      <c r="P11" s="689">
        <f>huishoudens!O8</f>
        <v>1067.3695220302232</v>
      </c>
      <c r="Q11" s="690">
        <f>huishoudens!P8</f>
        <v>1443.1524251528483</v>
      </c>
      <c r="R11" s="692">
        <f>SUM(C11:Q11)</f>
        <v>247617.03252267974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38392.927531000001</v>
      </c>
      <c r="D13" s="689">
        <f>industrie!C18</f>
        <v>0</v>
      </c>
      <c r="E13" s="689">
        <f>industrie!D18</f>
        <v>69340.107753189004</v>
      </c>
      <c r="F13" s="689">
        <f>industrie!E18</f>
        <v>795.91229634821696</v>
      </c>
      <c r="G13" s="689">
        <f>industrie!F18</f>
        <v>4974.4623413486534</v>
      </c>
      <c r="H13" s="689">
        <f>industrie!G18</f>
        <v>0</v>
      </c>
      <c r="I13" s="689">
        <f>industrie!H18</f>
        <v>0</v>
      </c>
      <c r="J13" s="689">
        <f>industrie!I18</f>
        <v>0</v>
      </c>
      <c r="K13" s="689">
        <f>industrie!J18</f>
        <v>32.715372366968758</v>
      </c>
      <c r="L13" s="689">
        <f>industrie!K18</f>
        <v>0</v>
      </c>
      <c r="M13" s="689">
        <f>industrie!L18</f>
        <v>0</v>
      </c>
      <c r="N13" s="689">
        <f>industrie!M18</f>
        <v>0</v>
      </c>
      <c r="O13" s="689">
        <f>industrie!N18</f>
        <v>1100.1682249003893</v>
      </c>
      <c r="P13" s="689">
        <f>industrie!O18</f>
        <v>0</v>
      </c>
      <c r="Q13" s="690">
        <f>industrie!P18</f>
        <v>0</v>
      </c>
      <c r="R13" s="692">
        <f>SUM(C13:Q13)</f>
        <v>114636.29351915325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134999.89141618783</v>
      </c>
      <c r="D16" s="725">
        <f t="shared" ref="D16:R16" ca="1" si="0">SUM(D9:D15)</f>
        <v>0</v>
      </c>
      <c r="E16" s="725">
        <f t="shared" ca="1" si="0"/>
        <v>223623.29913462</v>
      </c>
      <c r="F16" s="725">
        <f t="shared" si="0"/>
        <v>12229.525025743304</v>
      </c>
      <c r="G16" s="725">
        <f t="shared" ca="1" si="0"/>
        <v>67335.998361749487</v>
      </c>
      <c r="H16" s="725">
        <f t="shared" si="0"/>
        <v>0</v>
      </c>
      <c r="I16" s="725">
        <f t="shared" si="0"/>
        <v>0</v>
      </c>
      <c r="J16" s="725">
        <f t="shared" si="0"/>
        <v>0</v>
      </c>
      <c r="K16" s="725">
        <f t="shared" si="0"/>
        <v>32.790609928915835</v>
      </c>
      <c r="L16" s="725">
        <f t="shared" si="0"/>
        <v>0</v>
      </c>
      <c r="M16" s="725">
        <f t="shared" ca="1" si="0"/>
        <v>0</v>
      </c>
      <c r="N16" s="725">
        <f t="shared" si="0"/>
        <v>0</v>
      </c>
      <c r="O16" s="725">
        <f t="shared" ca="1" si="0"/>
        <v>29802.041912044722</v>
      </c>
      <c r="P16" s="725">
        <f t="shared" si="0"/>
        <v>1086.9585650935878</v>
      </c>
      <c r="Q16" s="725">
        <f t="shared" si="0"/>
        <v>2021.0829465242934</v>
      </c>
      <c r="R16" s="725">
        <f t="shared" ca="1" si="0"/>
        <v>471131.58797189215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3019.3230169941739</v>
      </c>
      <c r="I19" s="689">
        <f>transport!H54</f>
        <v>0</v>
      </c>
      <c r="J19" s="689">
        <f>transport!I54</f>
        <v>0</v>
      </c>
      <c r="K19" s="689">
        <f>transport!J54</f>
        <v>0</v>
      </c>
      <c r="L19" s="689">
        <f>transport!K54</f>
        <v>0</v>
      </c>
      <c r="M19" s="689">
        <f>transport!L54</f>
        <v>0</v>
      </c>
      <c r="N19" s="689">
        <f>transport!M54</f>
        <v>163.84566372310582</v>
      </c>
      <c r="O19" s="689">
        <f>transport!N54</f>
        <v>0</v>
      </c>
      <c r="P19" s="689">
        <f>transport!O54</f>
        <v>0</v>
      </c>
      <c r="Q19" s="690">
        <f>transport!P54</f>
        <v>0</v>
      </c>
      <c r="R19" s="692">
        <f>SUM(C19:Q19)</f>
        <v>3183.1686807172796</v>
      </c>
      <c r="S19" s="67"/>
    </row>
    <row r="20" spans="1:19" s="451" customFormat="1">
      <c r="A20" s="811" t="s">
        <v>306</v>
      </c>
      <c r="B20" s="816"/>
      <c r="C20" s="689">
        <f>transport!B14</f>
        <v>212.11623341485222</v>
      </c>
      <c r="D20" s="689">
        <f>transport!C14</f>
        <v>0</v>
      </c>
      <c r="E20" s="689">
        <f>transport!D14</f>
        <v>864.74560577247098</v>
      </c>
      <c r="F20" s="689">
        <f>transport!E14</f>
        <v>519.95373954811589</v>
      </c>
      <c r="G20" s="689">
        <f>transport!F14</f>
        <v>0</v>
      </c>
      <c r="H20" s="689">
        <f>transport!G14</f>
        <v>236710.99551100089</v>
      </c>
      <c r="I20" s="689">
        <f>transport!H14</f>
        <v>56288.97444365218</v>
      </c>
      <c r="J20" s="689">
        <f>transport!I14</f>
        <v>0</v>
      </c>
      <c r="K20" s="689">
        <f>transport!J14</f>
        <v>0</v>
      </c>
      <c r="L20" s="689">
        <f>transport!K14</f>
        <v>0</v>
      </c>
      <c r="M20" s="689">
        <f>transport!L14</f>
        <v>0</v>
      </c>
      <c r="N20" s="689">
        <f>transport!M14</f>
        <v>17240.163838095454</v>
      </c>
      <c r="O20" s="689">
        <f>transport!N14</f>
        <v>0</v>
      </c>
      <c r="P20" s="689">
        <f>transport!O14</f>
        <v>0</v>
      </c>
      <c r="Q20" s="690">
        <f>transport!P14</f>
        <v>0</v>
      </c>
      <c r="R20" s="692">
        <f>SUM(C20:Q20)</f>
        <v>311836.94937148393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212.11623341485222</v>
      </c>
      <c r="D22" s="814">
        <f t="shared" ref="D22:R22" si="1">SUM(D18:D21)</f>
        <v>0</v>
      </c>
      <c r="E22" s="814">
        <f t="shared" si="1"/>
        <v>864.74560577247098</v>
      </c>
      <c r="F22" s="814">
        <f t="shared" si="1"/>
        <v>519.95373954811589</v>
      </c>
      <c r="G22" s="814">
        <f t="shared" si="1"/>
        <v>0</v>
      </c>
      <c r="H22" s="814">
        <f t="shared" si="1"/>
        <v>239730.31852799506</v>
      </c>
      <c r="I22" s="814">
        <f t="shared" si="1"/>
        <v>56288.97444365218</v>
      </c>
      <c r="J22" s="814">
        <f t="shared" si="1"/>
        <v>0</v>
      </c>
      <c r="K22" s="814">
        <f t="shared" si="1"/>
        <v>0</v>
      </c>
      <c r="L22" s="814">
        <f t="shared" si="1"/>
        <v>0</v>
      </c>
      <c r="M22" s="814">
        <f t="shared" si="1"/>
        <v>0</v>
      </c>
      <c r="N22" s="814">
        <f t="shared" si="1"/>
        <v>17404.00950181856</v>
      </c>
      <c r="O22" s="814">
        <f t="shared" si="1"/>
        <v>0</v>
      </c>
      <c r="P22" s="814">
        <f t="shared" si="1"/>
        <v>0</v>
      </c>
      <c r="Q22" s="814">
        <f t="shared" si="1"/>
        <v>0</v>
      </c>
      <c r="R22" s="814">
        <f t="shared" si="1"/>
        <v>315020.11805220123</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125.792106</v>
      </c>
      <c r="D24" s="689">
        <f>+landbouw!C8</f>
        <v>0</v>
      </c>
      <c r="E24" s="689">
        <f>+landbouw!D8</f>
        <v>72.199255737000001</v>
      </c>
      <c r="F24" s="689">
        <f>+landbouw!E8</f>
        <v>4.6911724033443418</v>
      </c>
      <c r="G24" s="689">
        <f>+landbouw!F8</f>
        <v>408.11819984711741</v>
      </c>
      <c r="H24" s="689">
        <f>+landbouw!G8</f>
        <v>0</v>
      </c>
      <c r="I24" s="689">
        <f>+landbouw!H8</f>
        <v>0</v>
      </c>
      <c r="J24" s="689">
        <f>+landbouw!I8</f>
        <v>0</v>
      </c>
      <c r="K24" s="689">
        <f>+landbouw!J8</f>
        <v>33.021048848945455</v>
      </c>
      <c r="L24" s="689">
        <f>+landbouw!K8</f>
        <v>0</v>
      </c>
      <c r="M24" s="689">
        <f>+landbouw!L8</f>
        <v>0</v>
      </c>
      <c r="N24" s="689">
        <f>+landbouw!M8</f>
        <v>0</v>
      </c>
      <c r="O24" s="689">
        <f>+landbouw!N8</f>
        <v>0</v>
      </c>
      <c r="P24" s="689">
        <f>+landbouw!O8</f>
        <v>0</v>
      </c>
      <c r="Q24" s="690">
        <f>+landbouw!P8</f>
        <v>0</v>
      </c>
      <c r="R24" s="692">
        <f>SUM(C24:Q24)</f>
        <v>643.82178283640724</v>
      </c>
      <c r="S24" s="67"/>
    </row>
    <row r="25" spans="1:19" s="451" customFormat="1" ht="15" thickBot="1">
      <c r="A25" s="833" t="s">
        <v>714</v>
      </c>
      <c r="B25" s="947"/>
      <c r="C25" s="948">
        <f>IF(Onbekend_ele_kWh="---",0,Onbekend_ele_kWh)/1000+IF(REST_rest_ele_kWh="---",0,REST_rest_ele_kWh)/1000</f>
        <v>6175.0418410000002</v>
      </c>
      <c r="D25" s="948"/>
      <c r="E25" s="948">
        <f>IF(onbekend_gas_kWh="---",0,onbekend_gas_kWh)/1000+IF(REST_rest_gas_kWh="---",0,REST_rest_gas_kWh)/1000</f>
        <v>2315.4974939999997</v>
      </c>
      <c r="F25" s="948"/>
      <c r="G25" s="948"/>
      <c r="H25" s="948"/>
      <c r="I25" s="948"/>
      <c r="J25" s="948"/>
      <c r="K25" s="948"/>
      <c r="L25" s="948"/>
      <c r="M25" s="948"/>
      <c r="N25" s="948"/>
      <c r="O25" s="948"/>
      <c r="P25" s="948"/>
      <c r="Q25" s="949"/>
      <c r="R25" s="692">
        <f>SUM(C25:Q25)</f>
        <v>8490.5393349999995</v>
      </c>
      <c r="S25" s="67"/>
    </row>
    <row r="26" spans="1:19" s="451" customFormat="1" ht="15.75" thickBot="1">
      <c r="A26" s="697" t="s">
        <v>715</v>
      </c>
      <c r="B26" s="819"/>
      <c r="C26" s="814">
        <f>SUM(C24:C25)</f>
        <v>6300.8339470000001</v>
      </c>
      <c r="D26" s="814">
        <f t="shared" ref="D26:R26" si="2">SUM(D24:D25)</f>
        <v>0</v>
      </c>
      <c r="E26" s="814">
        <f t="shared" si="2"/>
        <v>2387.6967497369997</v>
      </c>
      <c r="F26" s="814">
        <f t="shared" si="2"/>
        <v>4.6911724033443418</v>
      </c>
      <c r="G26" s="814">
        <f t="shared" si="2"/>
        <v>408.11819984711741</v>
      </c>
      <c r="H26" s="814">
        <f t="shared" si="2"/>
        <v>0</v>
      </c>
      <c r="I26" s="814">
        <f t="shared" si="2"/>
        <v>0</v>
      </c>
      <c r="J26" s="814">
        <f t="shared" si="2"/>
        <v>0</v>
      </c>
      <c r="K26" s="814">
        <f t="shared" si="2"/>
        <v>33.021048848945455</v>
      </c>
      <c r="L26" s="814">
        <f t="shared" si="2"/>
        <v>0</v>
      </c>
      <c r="M26" s="814">
        <f t="shared" si="2"/>
        <v>0</v>
      </c>
      <c r="N26" s="814">
        <f t="shared" si="2"/>
        <v>0</v>
      </c>
      <c r="O26" s="814">
        <f t="shared" si="2"/>
        <v>0</v>
      </c>
      <c r="P26" s="814">
        <f t="shared" si="2"/>
        <v>0</v>
      </c>
      <c r="Q26" s="814">
        <f t="shared" si="2"/>
        <v>0</v>
      </c>
      <c r="R26" s="814">
        <f t="shared" si="2"/>
        <v>9134.3611178364063</v>
      </c>
      <c r="S26" s="67"/>
    </row>
    <row r="27" spans="1:19" s="451" customFormat="1" ht="17.25" thickTop="1" thickBot="1">
      <c r="A27" s="698" t="s">
        <v>115</v>
      </c>
      <c r="B27" s="806"/>
      <c r="C27" s="699">
        <f ca="1">C22+C16+C26</f>
        <v>141512.8415966027</v>
      </c>
      <c r="D27" s="699">
        <f t="shared" ref="D27:R27" ca="1" si="3">D22+D16+D26</f>
        <v>0</v>
      </c>
      <c r="E27" s="699">
        <f t="shared" ca="1" si="3"/>
        <v>226875.74149012947</v>
      </c>
      <c r="F27" s="699">
        <f t="shared" si="3"/>
        <v>12754.169937694764</v>
      </c>
      <c r="G27" s="699">
        <f t="shared" ca="1" si="3"/>
        <v>67744.116561596602</v>
      </c>
      <c r="H27" s="699">
        <f t="shared" si="3"/>
        <v>239730.31852799506</v>
      </c>
      <c r="I27" s="699">
        <f t="shared" si="3"/>
        <v>56288.97444365218</v>
      </c>
      <c r="J27" s="699">
        <f t="shared" si="3"/>
        <v>0</v>
      </c>
      <c r="K27" s="699">
        <f t="shared" si="3"/>
        <v>65.811658777861282</v>
      </c>
      <c r="L27" s="699">
        <f t="shared" si="3"/>
        <v>0</v>
      </c>
      <c r="M27" s="699">
        <f t="shared" ca="1" si="3"/>
        <v>0</v>
      </c>
      <c r="N27" s="699">
        <f t="shared" si="3"/>
        <v>17404.00950181856</v>
      </c>
      <c r="O27" s="699">
        <f t="shared" ca="1" si="3"/>
        <v>29802.041912044722</v>
      </c>
      <c r="P27" s="699">
        <f t="shared" si="3"/>
        <v>1086.9585650935878</v>
      </c>
      <c r="Q27" s="699">
        <f t="shared" si="3"/>
        <v>2021.0829465242934</v>
      </c>
      <c r="R27" s="699">
        <f t="shared" ca="1" si="3"/>
        <v>795286.06714192976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7121.741444866715</v>
      </c>
      <c r="D40" s="689">
        <f ca="1">tertiair!C20</f>
        <v>0</v>
      </c>
      <c r="E40" s="689">
        <f ca="1">tertiair!D20</f>
        <v>10676.115204950707</v>
      </c>
      <c r="F40" s="689">
        <f>tertiair!E20</f>
        <v>37.281176625251796</v>
      </c>
      <c r="G40" s="689">
        <f ca="1">tertiair!F20</f>
        <v>2133.6844013325167</v>
      </c>
      <c r="H40" s="689">
        <f>tertiair!G20</f>
        <v>0</v>
      </c>
      <c r="I40" s="689">
        <f>tertiair!H20</f>
        <v>0</v>
      </c>
      <c r="J40" s="689">
        <f>tertiair!I20</f>
        <v>0</v>
      </c>
      <c r="K40" s="689">
        <f>tertiair!J20</f>
        <v>2.6634096929264852E-2</v>
      </c>
      <c r="L40" s="689">
        <f>tertiair!K20</f>
        <v>0</v>
      </c>
      <c r="M40" s="689">
        <f ca="1">tertiair!L20</f>
        <v>0</v>
      </c>
      <c r="N40" s="689">
        <f>tertiair!M20</f>
        <v>0</v>
      </c>
      <c r="O40" s="689">
        <f ca="1">tertiair!N20</f>
        <v>0</v>
      </c>
      <c r="P40" s="689">
        <f>tertiair!O20</f>
        <v>0</v>
      </c>
      <c r="Q40" s="772">
        <f>tertiair!P20</f>
        <v>0</v>
      </c>
      <c r="R40" s="852">
        <f t="shared" ca="1" si="4"/>
        <v>19968.84886187212</v>
      </c>
    </row>
    <row r="41" spans="1:18">
      <c r="A41" s="824" t="s">
        <v>224</v>
      </c>
      <c r="B41" s="831"/>
      <c r="C41" s="689">
        <f ca="1">huishoudens!B12</f>
        <v>8347.3375305732225</v>
      </c>
      <c r="D41" s="689">
        <f ca="1">huishoudens!C12</f>
        <v>0</v>
      </c>
      <c r="E41" s="689">
        <f>huishoudens!D12</f>
        <v>20489.089454098357</v>
      </c>
      <c r="F41" s="689">
        <f>huishoudens!E12</f>
        <v>2558.148912947433</v>
      </c>
      <c r="G41" s="689">
        <f>huishoudens!F12</f>
        <v>14516.845716114505</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45911.421613733517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6147.6233616160771</v>
      </c>
      <c r="D43" s="689">
        <f ca="1">industrie!C22</f>
        <v>0</v>
      </c>
      <c r="E43" s="689">
        <f>industrie!D22</f>
        <v>14006.701766144181</v>
      </c>
      <c r="F43" s="689">
        <f>industrie!E22</f>
        <v>180.67209127104525</v>
      </c>
      <c r="G43" s="689">
        <f>industrie!F22</f>
        <v>1328.1814451400905</v>
      </c>
      <c r="H43" s="689">
        <f>industrie!G22</f>
        <v>0</v>
      </c>
      <c r="I43" s="689">
        <f>industrie!H22</f>
        <v>0</v>
      </c>
      <c r="J43" s="689">
        <f>industrie!I22</f>
        <v>0</v>
      </c>
      <c r="K43" s="689">
        <f>industrie!J22</f>
        <v>11.581241817906939</v>
      </c>
      <c r="L43" s="689">
        <f>industrie!K22</f>
        <v>0</v>
      </c>
      <c r="M43" s="689">
        <f>industrie!L22</f>
        <v>0</v>
      </c>
      <c r="N43" s="689">
        <f>industrie!M22</f>
        <v>0</v>
      </c>
      <c r="O43" s="689">
        <f>industrie!N22</f>
        <v>0</v>
      </c>
      <c r="P43" s="689">
        <f>industrie!O22</f>
        <v>0</v>
      </c>
      <c r="Q43" s="772">
        <f>industrie!P22</f>
        <v>0</v>
      </c>
      <c r="R43" s="851">
        <f t="shared" ca="1" si="4"/>
        <v>21674.7599059893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21616.702337056013</v>
      </c>
      <c r="D46" s="725">
        <f t="shared" ref="D46:Q46" ca="1" si="5">SUM(D39:D45)</f>
        <v>0</v>
      </c>
      <c r="E46" s="725">
        <f t="shared" ca="1" si="5"/>
        <v>45171.906425193243</v>
      </c>
      <c r="F46" s="725">
        <f t="shared" si="5"/>
        <v>2776.1021808437299</v>
      </c>
      <c r="G46" s="725">
        <f t="shared" ca="1" si="5"/>
        <v>17978.711562587112</v>
      </c>
      <c r="H46" s="725">
        <f t="shared" si="5"/>
        <v>0</v>
      </c>
      <c r="I46" s="725">
        <f t="shared" si="5"/>
        <v>0</v>
      </c>
      <c r="J46" s="725">
        <f t="shared" si="5"/>
        <v>0</v>
      </c>
      <c r="K46" s="725">
        <f t="shared" si="5"/>
        <v>11.607875914836203</v>
      </c>
      <c r="L46" s="725">
        <f t="shared" si="5"/>
        <v>0</v>
      </c>
      <c r="M46" s="725">
        <f t="shared" ca="1" si="5"/>
        <v>0</v>
      </c>
      <c r="N46" s="725">
        <f t="shared" si="5"/>
        <v>0</v>
      </c>
      <c r="O46" s="725">
        <f t="shared" ca="1" si="5"/>
        <v>0</v>
      </c>
      <c r="P46" s="725">
        <f t="shared" si="5"/>
        <v>0</v>
      </c>
      <c r="Q46" s="725">
        <f t="shared" si="5"/>
        <v>0</v>
      </c>
      <c r="R46" s="725">
        <f ca="1">SUM(R39:R45)</f>
        <v>87555.03038159493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806.15924553744446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806.15924553744446</v>
      </c>
    </row>
    <row r="50" spans="1:18">
      <c r="A50" s="827" t="s">
        <v>306</v>
      </c>
      <c r="B50" s="837"/>
      <c r="C50" s="695">
        <f ca="1">transport!B18</f>
        <v>33.964867900897715</v>
      </c>
      <c r="D50" s="695">
        <f>transport!C18</f>
        <v>0</v>
      </c>
      <c r="E50" s="695">
        <f>transport!D18</f>
        <v>174.67861236603915</v>
      </c>
      <c r="F50" s="695">
        <f>transport!E18</f>
        <v>118.02949887742231</v>
      </c>
      <c r="G50" s="695">
        <f>transport!F18</f>
        <v>0</v>
      </c>
      <c r="H50" s="695">
        <f>transport!G18</f>
        <v>63201.835801437242</v>
      </c>
      <c r="I50" s="695">
        <f>transport!H18</f>
        <v>14015.954636469392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77544.463417050996</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33.964867900897715</v>
      </c>
      <c r="D52" s="725">
        <f t="shared" ref="D52:Q52" ca="1" si="6">SUM(D48:D51)</f>
        <v>0</v>
      </c>
      <c r="E52" s="725">
        <f t="shared" si="6"/>
        <v>174.67861236603915</v>
      </c>
      <c r="F52" s="725">
        <f t="shared" si="6"/>
        <v>118.02949887742231</v>
      </c>
      <c r="G52" s="725">
        <f t="shared" si="6"/>
        <v>0</v>
      </c>
      <c r="H52" s="725">
        <f t="shared" si="6"/>
        <v>64007.995046974684</v>
      </c>
      <c r="I52" s="725">
        <f t="shared" si="6"/>
        <v>14015.954636469392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78350.622662588445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20.142316288021384</v>
      </c>
      <c r="D54" s="695">
        <f ca="1">+landbouw!C12</f>
        <v>0</v>
      </c>
      <c r="E54" s="695">
        <f>+landbouw!D12</f>
        <v>14.584249658874</v>
      </c>
      <c r="F54" s="695">
        <f>+landbouw!E12</f>
        <v>1.0648961355591657</v>
      </c>
      <c r="G54" s="695">
        <f>+landbouw!F12</f>
        <v>108.96755935918036</v>
      </c>
      <c r="H54" s="695">
        <f>+landbouw!G12</f>
        <v>0</v>
      </c>
      <c r="I54" s="695">
        <f>+landbouw!H12</f>
        <v>0</v>
      </c>
      <c r="J54" s="695">
        <f>+landbouw!I12</f>
        <v>0</v>
      </c>
      <c r="K54" s="695">
        <f>+landbouw!J12</f>
        <v>11.689451292526691</v>
      </c>
      <c r="L54" s="695">
        <f>+landbouw!K12</f>
        <v>0</v>
      </c>
      <c r="M54" s="695">
        <f>+landbouw!L12</f>
        <v>0</v>
      </c>
      <c r="N54" s="695">
        <f>+landbouw!M12</f>
        <v>0</v>
      </c>
      <c r="O54" s="695">
        <f>+landbouw!N12</f>
        <v>0</v>
      </c>
      <c r="P54" s="695">
        <f>+landbouw!O12</f>
        <v>0</v>
      </c>
      <c r="Q54" s="696">
        <f>+landbouw!P12</f>
        <v>0</v>
      </c>
      <c r="R54" s="724">
        <f ca="1">SUM(C54:Q54)</f>
        <v>156.44847273416158</v>
      </c>
    </row>
    <row r="55" spans="1:18" ht="15" thickBot="1">
      <c r="A55" s="827" t="s">
        <v>714</v>
      </c>
      <c r="B55" s="837"/>
      <c r="C55" s="695">
        <f ca="1">C25*'EF ele_warmte'!B12</f>
        <v>988.77147229880893</v>
      </c>
      <c r="D55" s="695"/>
      <c r="E55" s="695">
        <f>E25*EF_CO2_aardgas</f>
        <v>467.73049378799999</v>
      </c>
      <c r="F55" s="695"/>
      <c r="G55" s="695"/>
      <c r="H55" s="695"/>
      <c r="I55" s="695"/>
      <c r="J55" s="695"/>
      <c r="K55" s="695"/>
      <c r="L55" s="695"/>
      <c r="M55" s="695"/>
      <c r="N55" s="695"/>
      <c r="O55" s="695"/>
      <c r="P55" s="695"/>
      <c r="Q55" s="696"/>
      <c r="R55" s="724">
        <f ca="1">SUM(C55:Q55)</f>
        <v>1456.5019660868088</v>
      </c>
    </row>
    <row r="56" spans="1:18" ht="15.75" thickBot="1">
      <c r="A56" s="825" t="s">
        <v>715</v>
      </c>
      <c r="B56" s="838"/>
      <c r="C56" s="725">
        <f ca="1">SUM(C54:C55)</f>
        <v>1008.9137885868303</v>
      </c>
      <c r="D56" s="725">
        <f t="shared" ref="D56:Q56" ca="1" si="7">SUM(D54:D55)</f>
        <v>0</v>
      </c>
      <c r="E56" s="725">
        <f t="shared" si="7"/>
        <v>482.31474344687399</v>
      </c>
      <c r="F56" s="725">
        <f t="shared" si="7"/>
        <v>1.0648961355591657</v>
      </c>
      <c r="G56" s="725">
        <f t="shared" si="7"/>
        <v>108.96755935918036</v>
      </c>
      <c r="H56" s="725">
        <f t="shared" si="7"/>
        <v>0</v>
      </c>
      <c r="I56" s="725">
        <f t="shared" si="7"/>
        <v>0</v>
      </c>
      <c r="J56" s="725">
        <f t="shared" si="7"/>
        <v>0</v>
      </c>
      <c r="K56" s="725">
        <f t="shared" si="7"/>
        <v>11.689451292526691</v>
      </c>
      <c r="L56" s="725">
        <f t="shared" si="7"/>
        <v>0</v>
      </c>
      <c r="M56" s="725">
        <f t="shared" si="7"/>
        <v>0</v>
      </c>
      <c r="N56" s="725">
        <f t="shared" si="7"/>
        <v>0</v>
      </c>
      <c r="O56" s="725">
        <f t="shared" si="7"/>
        <v>0</v>
      </c>
      <c r="P56" s="725">
        <f t="shared" si="7"/>
        <v>0</v>
      </c>
      <c r="Q56" s="726">
        <f t="shared" si="7"/>
        <v>0</v>
      </c>
      <c r="R56" s="727">
        <f ca="1">SUM(R54:R55)</f>
        <v>1612.9504388209705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22659.580993543739</v>
      </c>
      <c r="D61" s="733">
        <f t="shared" ref="D61:Q61" ca="1" si="8">D46+D52+D56</f>
        <v>0</v>
      </c>
      <c r="E61" s="733">
        <f t="shared" ca="1" si="8"/>
        <v>45828.899781006163</v>
      </c>
      <c r="F61" s="733">
        <f t="shared" si="8"/>
        <v>2895.1965758567112</v>
      </c>
      <c r="G61" s="733">
        <f t="shared" ca="1" si="8"/>
        <v>18087.679121946294</v>
      </c>
      <c r="H61" s="733">
        <f t="shared" si="8"/>
        <v>64007.995046974684</v>
      </c>
      <c r="I61" s="733">
        <f t="shared" si="8"/>
        <v>14015.954636469392</v>
      </c>
      <c r="J61" s="733">
        <f t="shared" si="8"/>
        <v>0</v>
      </c>
      <c r="K61" s="733">
        <f t="shared" si="8"/>
        <v>23.297327207362894</v>
      </c>
      <c r="L61" s="733">
        <f t="shared" si="8"/>
        <v>0</v>
      </c>
      <c r="M61" s="733">
        <f t="shared" ca="1" si="8"/>
        <v>0</v>
      </c>
      <c r="N61" s="733">
        <f t="shared" si="8"/>
        <v>0</v>
      </c>
      <c r="O61" s="733">
        <f t="shared" ca="1" si="8"/>
        <v>0</v>
      </c>
      <c r="P61" s="733">
        <f t="shared" si="8"/>
        <v>0</v>
      </c>
      <c r="Q61" s="733">
        <f t="shared" si="8"/>
        <v>0</v>
      </c>
      <c r="R61" s="733">
        <f ca="1">R46+R52+R56</f>
        <v>167518.60348300435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0.16012384980677066</v>
      </c>
      <c r="D63" s="779">
        <f t="shared" ca="1" si="9"/>
        <v>0</v>
      </c>
      <c r="E63" s="973">
        <f t="shared" ca="1" si="9"/>
        <v>0.20200000000000004</v>
      </c>
      <c r="F63" s="779">
        <f t="shared" si="9"/>
        <v>0.22699999999999998</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11470.196570750024</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27510.604331084593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38980.80090183462</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11470.196570750024</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27510.604331084593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38980.80090183462</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52130.507358187824</v>
      </c>
      <c r="C4" s="455">
        <f>huishoudens!C8</f>
        <v>0</v>
      </c>
      <c r="D4" s="455">
        <f>huishoudens!D8</f>
        <v>101431.13591137801</v>
      </c>
      <c r="E4" s="455">
        <f>huishoudens!E8</f>
        <v>11269.378471134065</v>
      </c>
      <c r="F4" s="455">
        <f>huishoudens!F8</f>
        <v>54370.20867458616</v>
      </c>
      <c r="G4" s="455">
        <f>huishoudens!G8</f>
        <v>0</v>
      </c>
      <c r="H4" s="455">
        <f>huishoudens!H8</f>
        <v>0</v>
      </c>
      <c r="I4" s="455">
        <f>huishoudens!I8</f>
        <v>0</v>
      </c>
      <c r="J4" s="455">
        <f>huishoudens!J8</f>
        <v>0</v>
      </c>
      <c r="K4" s="455">
        <f>huishoudens!K8</f>
        <v>0</v>
      </c>
      <c r="L4" s="455">
        <f>huishoudens!L8</f>
        <v>0</v>
      </c>
      <c r="M4" s="455">
        <f>huishoudens!M8</f>
        <v>0</v>
      </c>
      <c r="N4" s="455">
        <f>huishoudens!N8</f>
        <v>25905.280160210608</v>
      </c>
      <c r="O4" s="455">
        <f>huishoudens!O8</f>
        <v>1067.3695220302232</v>
      </c>
      <c r="P4" s="456">
        <f>huishoudens!P8</f>
        <v>1443.1524251528483</v>
      </c>
      <c r="Q4" s="457">
        <f>SUM(B4:P4)</f>
        <v>247617.03252267974</v>
      </c>
    </row>
    <row r="5" spans="1:17">
      <c r="A5" s="454" t="s">
        <v>155</v>
      </c>
      <c r="B5" s="455">
        <f ca="1">tertiair!B16</f>
        <v>42423.477214999999</v>
      </c>
      <c r="C5" s="455">
        <f ca="1">tertiair!C16</f>
        <v>0</v>
      </c>
      <c r="D5" s="455">
        <f ca="1">tertiair!D16</f>
        <v>52852.055470053005</v>
      </c>
      <c r="E5" s="455">
        <f>tertiair!E16</f>
        <v>164.23425826102113</v>
      </c>
      <c r="F5" s="455">
        <f ca="1">tertiair!F16</f>
        <v>7991.3273458146696</v>
      </c>
      <c r="G5" s="455">
        <f>tertiair!G16</f>
        <v>0</v>
      </c>
      <c r="H5" s="455">
        <f>tertiair!H16</f>
        <v>0</v>
      </c>
      <c r="I5" s="455">
        <f>tertiair!I16</f>
        <v>0</v>
      </c>
      <c r="J5" s="455">
        <f>tertiair!J16</f>
        <v>7.5237561947075857E-2</v>
      </c>
      <c r="K5" s="455">
        <f>tertiair!K16</f>
        <v>0</v>
      </c>
      <c r="L5" s="455">
        <f ca="1">tertiair!L16</f>
        <v>0</v>
      </c>
      <c r="M5" s="455">
        <f>tertiair!M16</f>
        <v>0</v>
      </c>
      <c r="N5" s="455">
        <f ca="1">tertiair!N16</f>
        <v>2796.593526933726</v>
      </c>
      <c r="O5" s="455">
        <f>tertiair!O16</f>
        <v>19.589043063364617</v>
      </c>
      <c r="P5" s="456">
        <f>tertiair!P16</f>
        <v>577.93052137144514</v>
      </c>
      <c r="Q5" s="454">
        <f t="shared" ref="Q5:Q14" ca="1" si="0">SUM(B5:P5)</f>
        <v>106825.28261805917</v>
      </c>
    </row>
    <row r="6" spans="1:17">
      <c r="A6" s="454" t="s">
        <v>193</v>
      </c>
      <c r="B6" s="455">
        <f>'openbare verlichting'!B8</f>
        <v>2052.9793119999999</v>
      </c>
      <c r="C6" s="455"/>
      <c r="D6" s="455"/>
      <c r="E6" s="455"/>
      <c r="F6" s="455"/>
      <c r="G6" s="455"/>
      <c r="H6" s="455"/>
      <c r="I6" s="455"/>
      <c r="J6" s="455"/>
      <c r="K6" s="455"/>
      <c r="L6" s="455"/>
      <c r="M6" s="455"/>
      <c r="N6" s="455"/>
      <c r="O6" s="455"/>
      <c r="P6" s="456"/>
      <c r="Q6" s="454">
        <f t="shared" si="0"/>
        <v>2052.9793119999999</v>
      </c>
    </row>
    <row r="7" spans="1:17">
      <c r="A7" s="454" t="s">
        <v>111</v>
      </c>
      <c r="B7" s="455">
        <f>landbouw!B8</f>
        <v>125.792106</v>
      </c>
      <c r="C7" s="455">
        <f>landbouw!C8</f>
        <v>0</v>
      </c>
      <c r="D7" s="455">
        <f>landbouw!D8</f>
        <v>72.199255737000001</v>
      </c>
      <c r="E7" s="455">
        <f>landbouw!E8</f>
        <v>4.6911724033443418</v>
      </c>
      <c r="F7" s="455">
        <f>landbouw!F8</f>
        <v>408.11819984711741</v>
      </c>
      <c r="G7" s="455">
        <f>landbouw!G8</f>
        <v>0</v>
      </c>
      <c r="H7" s="455">
        <f>landbouw!H8</f>
        <v>0</v>
      </c>
      <c r="I7" s="455">
        <f>landbouw!I8</f>
        <v>0</v>
      </c>
      <c r="J7" s="455">
        <f>landbouw!J8</f>
        <v>33.021048848945455</v>
      </c>
      <c r="K7" s="455">
        <f>landbouw!K8</f>
        <v>0</v>
      </c>
      <c r="L7" s="455">
        <f>landbouw!L8</f>
        <v>0</v>
      </c>
      <c r="M7" s="455">
        <f>landbouw!M8</f>
        <v>0</v>
      </c>
      <c r="N7" s="455">
        <f>landbouw!N8</f>
        <v>0</v>
      </c>
      <c r="O7" s="455">
        <f>landbouw!O8</f>
        <v>0</v>
      </c>
      <c r="P7" s="456">
        <f>landbouw!P8</f>
        <v>0</v>
      </c>
      <c r="Q7" s="454">
        <f t="shared" si="0"/>
        <v>643.82178283640724</v>
      </c>
    </row>
    <row r="8" spans="1:17">
      <c r="A8" s="454" t="s">
        <v>626</v>
      </c>
      <c r="B8" s="455">
        <f>industrie!B18</f>
        <v>38392.927531000001</v>
      </c>
      <c r="C8" s="455">
        <f>industrie!C18</f>
        <v>0</v>
      </c>
      <c r="D8" s="455">
        <f>industrie!D18</f>
        <v>69340.107753189004</v>
      </c>
      <c r="E8" s="455">
        <f>industrie!E18</f>
        <v>795.91229634821696</v>
      </c>
      <c r="F8" s="455">
        <f>industrie!F18</f>
        <v>4974.4623413486534</v>
      </c>
      <c r="G8" s="455">
        <f>industrie!G18</f>
        <v>0</v>
      </c>
      <c r="H8" s="455">
        <f>industrie!H18</f>
        <v>0</v>
      </c>
      <c r="I8" s="455">
        <f>industrie!I18</f>
        <v>0</v>
      </c>
      <c r="J8" s="455">
        <f>industrie!J18</f>
        <v>32.715372366968758</v>
      </c>
      <c r="K8" s="455">
        <f>industrie!K18</f>
        <v>0</v>
      </c>
      <c r="L8" s="455">
        <f>industrie!L18</f>
        <v>0</v>
      </c>
      <c r="M8" s="455">
        <f>industrie!M18</f>
        <v>0</v>
      </c>
      <c r="N8" s="455">
        <f>industrie!N18</f>
        <v>1100.1682249003893</v>
      </c>
      <c r="O8" s="455">
        <f>industrie!O18</f>
        <v>0</v>
      </c>
      <c r="P8" s="456">
        <f>industrie!P18</f>
        <v>0</v>
      </c>
      <c r="Q8" s="454">
        <f t="shared" si="0"/>
        <v>114636.29351915325</v>
      </c>
    </row>
    <row r="9" spans="1:17" s="460" customFormat="1">
      <c r="A9" s="458" t="s">
        <v>552</v>
      </c>
      <c r="B9" s="459">
        <f>transport!B14</f>
        <v>212.11623341485222</v>
      </c>
      <c r="C9" s="459">
        <f>transport!C14</f>
        <v>0</v>
      </c>
      <c r="D9" s="459">
        <f>transport!D14</f>
        <v>864.74560577247098</v>
      </c>
      <c r="E9" s="459">
        <f>transport!E14</f>
        <v>519.95373954811589</v>
      </c>
      <c r="F9" s="459">
        <f>transport!F14</f>
        <v>0</v>
      </c>
      <c r="G9" s="459">
        <f>transport!G14</f>
        <v>236710.99551100089</v>
      </c>
      <c r="H9" s="459">
        <f>transport!H14</f>
        <v>56288.97444365218</v>
      </c>
      <c r="I9" s="459">
        <f>transport!I14</f>
        <v>0</v>
      </c>
      <c r="J9" s="459">
        <f>transport!J14</f>
        <v>0</v>
      </c>
      <c r="K9" s="459">
        <f>transport!K14</f>
        <v>0</v>
      </c>
      <c r="L9" s="459">
        <f>transport!L14</f>
        <v>0</v>
      </c>
      <c r="M9" s="459">
        <f>transport!M14</f>
        <v>17240.163838095454</v>
      </c>
      <c r="N9" s="459">
        <f>transport!N14</f>
        <v>0</v>
      </c>
      <c r="O9" s="459">
        <f>transport!O14</f>
        <v>0</v>
      </c>
      <c r="P9" s="459">
        <f>transport!P14</f>
        <v>0</v>
      </c>
      <c r="Q9" s="458">
        <f>SUM(B9:P9)</f>
        <v>311836.94937148393</v>
      </c>
    </row>
    <row r="10" spans="1:17">
      <c r="A10" s="454" t="s">
        <v>542</v>
      </c>
      <c r="B10" s="455">
        <f>transport!B54</f>
        <v>0</v>
      </c>
      <c r="C10" s="455">
        <f>transport!C54</f>
        <v>0</v>
      </c>
      <c r="D10" s="455">
        <f>transport!D54</f>
        <v>0</v>
      </c>
      <c r="E10" s="455">
        <f>transport!E54</f>
        <v>0</v>
      </c>
      <c r="F10" s="455">
        <f>transport!F54</f>
        <v>0</v>
      </c>
      <c r="G10" s="455">
        <f>transport!G54</f>
        <v>3019.3230169941739</v>
      </c>
      <c r="H10" s="455">
        <f>transport!H54</f>
        <v>0</v>
      </c>
      <c r="I10" s="455">
        <f>transport!I54</f>
        <v>0</v>
      </c>
      <c r="J10" s="455">
        <f>transport!J54</f>
        <v>0</v>
      </c>
      <c r="K10" s="455">
        <f>transport!K54</f>
        <v>0</v>
      </c>
      <c r="L10" s="455">
        <f>transport!L54</f>
        <v>0</v>
      </c>
      <c r="M10" s="455">
        <f>transport!M54</f>
        <v>163.84566372310582</v>
      </c>
      <c r="N10" s="455">
        <f>transport!N54</f>
        <v>0</v>
      </c>
      <c r="O10" s="455">
        <f>transport!O54</f>
        <v>0</v>
      </c>
      <c r="P10" s="456">
        <f>transport!P54</f>
        <v>0</v>
      </c>
      <c r="Q10" s="454">
        <f t="shared" si="0"/>
        <v>3183.1686807172796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6175.0418410000002</v>
      </c>
      <c r="C14" s="462"/>
      <c r="D14" s="462">
        <f>'SEAP template'!E25</f>
        <v>2315.4974939999997</v>
      </c>
      <c r="E14" s="462"/>
      <c r="F14" s="462"/>
      <c r="G14" s="462"/>
      <c r="H14" s="462"/>
      <c r="I14" s="462"/>
      <c r="J14" s="462"/>
      <c r="K14" s="462"/>
      <c r="L14" s="462"/>
      <c r="M14" s="462"/>
      <c r="N14" s="462"/>
      <c r="O14" s="462"/>
      <c r="P14" s="463"/>
      <c r="Q14" s="454">
        <f t="shared" si="0"/>
        <v>8490.5393349999995</v>
      </c>
    </row>
    <row r="15" spans="1:17" s="466" customFormat="1">
      <c r="A15" s="464" t="s">
        <v>546</v>
      </c>
      <c r="B15" s="465">
        <f ca="1">SUM(B4:B14)</f>
        <v>141512.84159660267</v>
      </c>
      <c r="C15" s="465">
        <f t="shared" ref="C15:Q15" ca="1" si="1">SUM(C4:C14)</f>
        <v>0</v>
      </c>
      <c r="D15" s="465">
        <f t="shared" ca="1" si="1"/>
        <v>226875.7414901295</v>
      </c>
      <c r="E15" s="465">
        <f t="shared" si="1"/>
        <v>12754.169937694764</v>
      </c>
      <c r="F15" s="465">
        <f t="shared" ca="1" si="1"/>
        <v>67744.116561596602</v>
      </c>
      <c r="G15" s="465">
        <f t="shared" si="1"/>
        <v>239730.31852799506</v>
      </c>
      <c r="H15" s="465">
        <f t="shared" si="1"/>
        <v>56288.97444365218</v>
      </c>
      <c r="I15" s="465">
        <f t="shared" si="1"/>
        <v>0</v>
      </c>
      <c r="J15" s="465">
        <f t="shared" si="1"/>
        <v>65.811658777861282</v>
      </c>
      <c r="K15" s="465">
        <f t="shared" si="1"/>
        <v>0</v>
      </c>
      <c r="L15" s="465">
        <f t="shared" ca="1" si="1"/>
        <v>0</v>
      </c>
      <c r="M15" s="465">
        <f t="shared" si="1"/>
        <v>17404.00950181856</v>
      </c>
      <c r="N15" s="465">
        <f t="shared" ca="1" si="1"/>
        <v>29802.041912044722</v>
      </c>
      <c r="O15" s="465">
        <f t="shared" si="1"/>
        <v>1086.9585650935878</v>
      </c>
      <c r="P15" s="465">
        <f t="shared" si="1"/>
        <v>2021.0829465242934</v>
      </c>
      <c r="Q15" s="465">
        <f t="shared" ca="1" si="1"/>
        <v>795286.06714192976</v>
      </c>
    </row>
    <row r="17" spans="1:17">
      <c r="A17" s="467" t="s">
        <v>547</v>
      </c>
      <c r="B17" s="784">
        <f ca="1">huishoudens!B10</f>
        <v>0.16012384980677072</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8347.3375305732225</v>
      </c>
      <c r="C22" s="455">
        <f t="shared" ref="C22:C32" ca="1" si="3">C4*$C$17</f>
        <v>0</v>
      </c>
      <c r="D22" s="455">
        <f t="shared" ref="D22:D32" si="4">D4*$D$17</f>
        <v>20489.089454098357</v>
      </c>
      <c r="E22" s="455">
        <f t="shared" ref="E22:E32" si="5">E4*$E$17</f>
        <v>2558.148912947433</v>
      </c>
      <c r="F22" s="455">
        <f t="shared" ref="F22:F32" si="6">F4*$F$17</f>
        <v>14516.845716114505</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45911.421613733517</v>
      </c>
    </row>
    <row r="23" spans="1:17">
      <c r="A23" s="454" t="s">
        <v>155</v>
      </c>
      <c r="B23" s="455">
        <f t="shared" ca="1" si="2"/>
        <v>6793.0104938556196</v>
      </c>
      <c r="C23" s="455">
        <f t="shared" ca="1" si="3"/>
        <v>0</v>
      </c>
      <c r="D23" s="455">
        <f t="shared" ca="1" si="4"/>
        <v>10676.115204950707</v>
      </c>
      <c r="E23" s="455">
        <f t="shared" si="5"/>
        <v>37.281176625251796</v>
      </c>
      <c r="F23" s="455">
        <f t="shared" ca="1" si="6"/>
        <v>2133.6844013325167</v>
      </c>
      <c r="G23" s="455">
        <f t="shared" si="7"/>
        <v>0</v>
      </c>
      <c r="H23" s="455">
        <f t="shared" si="8"/>
        <v>0</v>
      </c>
      <c r="I23" s="455">
        <f t="shared" si="9"/>
        <v>0</v>
      </c>
      <c r="J23" s="455">
        <f t="shared" si="10"/>
        <v>2.6634096929264852E-2</v>
      </c>
      <c r="K23" s="455">
        <f t="shared" si="11"/>
        <v>0</v>
      </c>
      <c r="L23" s="455">
        <f t="shared" ca="1" si="12"/>
        <v>0</v>
      </c>
      <c r="M23" s="455">
        <f t="shared" si="13"/>
        <v>0</v>
      </c>
      <c r="N23" s="455">
        <f t="shared" ca="1" si="14"/>
        <v>0</v>
      </c>
      <c r="O23" s="455">
        <f t="shared" si="15"/>
        <v>0</v>
      </c>
      <c r="P23" s="456">
        <f t="shared" si="16"/>
        <v>0</v>
      </c>
      <c r="Q23" s="454">
        <f t="shared" ref="Q23:Q31" ca="1" si="17">SUM(B23:P23)</f>
        <v>19640.117910861023</v>
      </c>
    </row>
    <row r="24" spans="1:17">
      <c r="A24" s="454" t="s">
        <v>193</v>
      </c>
      <c r="B24" s="455">
        <f t="shared" ca="1" si="2"/>
        <v>328.7309510110955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328.7309510110955</v>
      </c>
    </row>
    <row r="25" spans="1:17">
      <c r="A25" s="454" t="s">
        <v>111</v>
      </c>
      <c r="B25" s="455">
        <f t="shared" ca="1" si="2"/>
        <v>20.142316288021384</v>
      </c>
      <c r="C25" s="455">
        <f t="shared" ca="1" si="3"/>
        <v>0</v>
      </c>
      <c r="D25" s="455">
        <f t="shared" si="4"/>
        <v>14.584249658874</v>
      </c>
      <c r="E25" s="455">
        <f t="shared" si="5"/>
        <v>1.0648961355591657</v>
      </c>
      <c r="F25" s="455">
        <f t="shared" si="6"/>
        <v>108.96755935918036</v>
      </c>
      <c r="G25" s="455">
        <f t="shared" si="7"/>
        <v>0</v>
      </c>
      <c r="H25" s="455">
        <f t="shared" si="8"/>
        <v>0</v>
      </c>
      <c r="I25" s="455">
        <f t="shared" si="9"/>
        <v>0</v>
      </c>
      <c r="J25" s="455">
        <f t="shared" si="10"/>
        <v>11.689451292526691</v>
      </c>
      <c r="K25" s="455">
        <f t="shared" si="11"/>
        <v>0</v>
      </c>
      <c r="L25" s="455">
        <f t="shared" si="12"/>
        <v>0</v>
      </c>
      <c r="M25" s="455">
        <f t="shared" si="13"/>
        <v>0</v>
      </c>
      <c r="N25" s="455">
        <f t="shared" si="14"/>
        <v>0</v>
      </c>
      <c r="O25" s="455">
        <f t="shared" si="15"/>
        <v>0</v>
      </c>
      <c r="P25" s="456">
        <f t="shared" si="16"/>
        <v>0</v>
      </c>
      <c r="Q25" s="454">
        <f t="shared" ca="1" si="17"/>
        <v>156.44847273416158</v>
      </c>
    </row>
    <row r="26" spans="1:17">
      <c r="A26" s="454" t="s">
        <v>626</v>
      </c>
      <c r="B26" s="455">
        <f t="shared" ca="1" si="2"/>
        <v>6147.6233616160771</v>
      </c>
      <c r="C26" s="455">
        <f t="shared" ca="1" si="3"/>
        <v>0</v>
      </c>
      <c r="D26" s="455">
        <f t="shared" si="4"/>
        <v>14006.701766144181</v>
      </c>
      <c r="E26" s="455">
        <f t="shared" si="5"/>
        <v>180.67209127104525</v>
      </c>
      <c r="F26" s="455">
        <f t="shared" si="6"/>
        <v>1328.1814451400905</v>
      </c>
      <c r="G26" s="455">
        <f t="shared" si="7"/>
        <v>0</v>
      </c>
      <c r="H26" s="455">
        <f t="shared" si="8"/>
        <v>0</v>
      </c>
      <c r="I26" s="455">
        <f t="shared" si="9"/>
        <v>0</v>
      </c>
      <c r="J26" s="455">
        <f t="shared" si="10"/>
        <v>11.581241817906939</v>
      </c>
      <c r="K26" s="455">
        <f t="shared" si="11"/>
        <v>0</v>
      </c>
      <c r="L26" s="455">
        <f t="shared" si="12"/>
        <v>0</v>
      </c>
      <c r="M26" s="455">
        <f t="shared" si="13"/>
        <v>0</v>
      </c>
      <c r="N26" s="455">
        <f t="shared" si="14"/>
        <v>0</v>
      </c>
      <c r="O26" s="455">
        <f t="shared" si="15"/>
        <v>0</v>
      </c>
      <c r="P26" s="456">
        <f t="shared" si="16"/>
        <v>0</v>
      </c>
      <c r="Q26" s="454">
        <f t="shared" ca="1" si="17"/>
        <v>21674.7599059893</v>
      </c>
    </row>
    <row r="27" spans="1:17" s="460" customFormat="1">
      <c r="A27" s="458" t="s">
        <v>552</v>
      </c>
      <c r="B27" s="778">
        <f t="shared" ca="1" si="2"/>
        <v>33.964867900897715</v>
      </c>
      <c r="C27" s="459">
        <f t="shared" ca="1" si="3"/>
        <v>0</v>
      </c>
      <c r="D27" s="459">
        <f t="shared" si="4"/>
        <v>174.67861236603915</v>
      </c>
      <c r="E27" s="459">
        <f t="shared" si="5"/>
        <v>118.02949887742231</v>
      </c>
      <c r="F27" s="459">
        <f t="shared" si="6"/>
        <v>0</v>
      </c>
      <c r="G27" s="459">
        <f t="shared" si="7"/>
        <v>63201.835801437242</v>
      </c>
      <c r="H27" s="459">
        <f t="shared" si="8"/>
        <v>14015.954636469392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77544.463417050996</v>
      </c>
    </row>
    <row r="28" spans="1:17" ht="16.5" customHeight="1">
      <c r="A28" s="454" t="s">
        <v>542</v>
      </c>
      <c r="B28" s="455">
        <f t="shared" ca="1" si="2"/>
        <v>0</v>
      </c>
      <c r="C28" s="455">
        <f t="shared" ca="1" si="3"/>
        <v>0</v>
      </c>
      <c r="D28" s="455">
        <f t="shared" si="4"/>
        <v>0</v>
      </c>
      <c r="E28" s="455">
        <f t="shared" si="5"/>
        <v>0</v>
      </c>
      <c r="F28" s="455">
        <f t="shared" si="6"/>
        <v>0</v>
      </c>
      <c r="G28" s="455">
        <f t="shared" si="7"/>
        <v>806.15924553744446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806.15924553744446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988.77147229880893</v>
      </c>
      <c r="C32" s="455">
        <f t="shared" ca="1" si="3"/>
        <v>0</v>
      </c>
      <c r="D32" s="455">
        <f t="shared" si="4"/>
        <v>467.73049378799999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1456.5019660868088</v>
      </c>
    </row>
    <row r="33" spans="1:17" s="466" customFormat="1">
      <c r="A33" s="464" t="s">
        <v>546</v>
      </c>
      <c r="B33" s="465">
        <f ca="1">SUM(B22:B32)</f>
        <v>22659.580993543743</v>
      </c>
      <c r="C33" s="465">
        <f t="shared" ref="C33:Q33" ca="1" si="19">SUM(C22:C32)</f>
        <v>0</v>
      </c>
      <c r="D33" s="465">
        <f t="shared" ca="1" si="19"/>
        <v>45828.899781006163</v>
      </c>
      <c r="E33" s="465">
        <f t="shared" si="19"/>
        <v>2895.1965758567112</v>
      </c>
      <c r="F33" s="465">
        <f t="shared" ca="1" si="19"/>
        <v>18087.679121946294</v>
      </c>
      <c r="G33" s="465">
        <f t="shared" si="19"/>
        <v>64007.995046974684</v>
      </c>
      <c r="H33" s="465">
        <f t="shared" si="19"/>
        <v>14015.954636469392</v>
      </c>
      <c r="I33" s="465">
        <f t="shared" si="19"/>
        <v>0</v>
      </c>
      <c r="J33" s="465">
        <f t="shared" si="19"/>
        <v>23.297327207362894</v>
      </c>
      <c r="K33" s="465">
        <f t="shared" si="19"/>
        <v>0</v>
      </c>
      <c r="L33" s="465">
        <f t="shared" ca="1" si="19"/>
        <v>0</v>
      </c>
      <c r="M33" s="465">
        <f t="shared" si="19"/>
        <v>0</v>
      </c>
      <c r="N33" s="465">
        <f t="shared" ca="1" si="19"/>
        <v>0</v>
      </c>
      <c r="O33" s="465">
        <f t="shared" si="19"/>
        <v>0</v>
      </c>
      <c r="P33" s="465">
        <f t="shared" si="19"/>
        <v>0</v>
      </c>
      <c r="Q33" s="465">
        <f t="shared" ca="1" si="19"/>
        <v>167518.60348300435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11470.196570750024</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27510.604331084593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38980.80090183462</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0.16012384980677072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0.16012384980677072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2020-06-20T15:26:28Z</dcterms:modified>
</cp:coreProperties>
</file>