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<sst xmlns="http://schemas.openxmlformats.org/spreadsheetml/2006/main" count="2375" uniqueCount="871">
  <si>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</si>
  <si>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</si>
  <si>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</si>
  <si>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</si>
  <si>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</si>
  <si>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</si>
  <si>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</si>
  <si>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</si>
  <si>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</si>
  <si>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</si>
  <si>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</si>
  <si>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</si>
  <si>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</si>
  <si>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</si>
  <si>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</si>
  <si>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</si>
  <si>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</si>
  <si>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</si>
  <si>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</si>
  <si>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</si>
  <si>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</si>
  <si>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</si>
  <si>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</si>
  <si>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</si>
  <si>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</si>
  <si>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</si>
  <si>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</si>
  <si>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</si>
  <si>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</si>
  <si>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</si>
  <si>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</si>
  <si>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</si>
  <si>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</si>
  <si>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</si>
  <si>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</si>
  <si>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</si>
  <si>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</si>
  <si>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</si>
  <si>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</si>
  <si>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</si>
  <si>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</si>
  <si>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</si>
  <si>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</si>
  <si>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</si>
  <si>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</si>
  <si>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</si>
  <si>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</si>
  <si>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</si>
  <si>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</si>
  <si>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</si>
  <si>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</si>
  <si>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</si>
  <si>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</si>
  <si>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</si>
  <si>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</si>
  <si>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</si>
  <si>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</si>
  <si>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</si>
  <si>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</si>
  <si>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</si>
  <si>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</si>
  <si>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</si>
  <si>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</si>
  <si>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</si>
  <si>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</si>
  <si>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</si>
  <si>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</si>
  <si>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</si>
  <si>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</si>
  <si>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</si>
  <si>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</si>
  <si>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</si>
  <si>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</si>
  <si>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</si>
  <si>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</si>
  <si>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</si>
  <si>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</si>
  <si>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</si>
  <si>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</si>
  <si>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</si>
  <si>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</si>
  <si>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</si>
  <si>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</si>
  <si>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</si>
  <si>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</si>
  <si>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</si>
  <si>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</si>
  <si>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</si>
  <si>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</si>
  <si>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</si>
  <si>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</si>
  <si>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</si>
  <si>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</si>
  <si>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</si>
  <si>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</si>
  <si>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</si>
  <si>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</si>
  <si>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</si>
  <si>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</si>
  <si>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</si>
  <si>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</si>
  <si>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</si>
  <si>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</si>
  <si>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</si>
  <si>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</si>
  <si>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</si>
  <si>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</si>
  <si>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</si>
  <si>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</si>
  <si>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</si>
  <si>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</si>
  <si>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</si>
  <si>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</si>
  <si>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</si>
  <si>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</si>
  <si>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</si>
  <si>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</si>
  <si>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</si>
  <si>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</si>
  <si>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</si>
  <si>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</si>
  <si>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</si>
  <si>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</si>
  <si>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</si>
  <si>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</si>
  <si>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</si>
  <si>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</si>
  <si>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</si>
  <si>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</si>
  <si>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</si>
  <si>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</si>
  <si>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</si>
  <si>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</si>
  <si>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</si>
  <si>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</si>
  <si>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</si>
  <si>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</si>
  <si>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</si>
  <si>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</si>
  <si>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</si>
  <si>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</si>
  <si>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</si>
  <si>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</si>
  <si>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</si>
  <si>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</si>
  <si>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</si>
  <si>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</si>
  <si>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</si>
  <si>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</si>
  <si>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</si>
  <si>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</si>
  <si>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</si>
  <si>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</si>
  <si>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</si>
  <si>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</si>
  <si>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</si>
  <si>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</si>
  <si>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</si>
  <si>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</si>
  <si>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</si>
  <si>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</si>
  <si>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</si>
  <si>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</si>
  <si>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</si>
  <si>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</si>
  <si>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</si>
  <si>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</si>
  <si>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</si>
  <si>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</si>
  <si>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</si>
  <si>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</si>
  <si>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</si>
  <si>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</si>
  <si>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</si>
  <si>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</si>
  <si>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</si>
  <si>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</si>
  <si>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</si>
  <si>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</si>
  <si>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</si>
  <si>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</si>
  <si>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</si>
  <si>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</si>
  <si>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</si>
  <si>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</si>
  <si>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</si>
  <si>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</si>
  <si>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</si>
  <si>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</si>
  <si>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</si>
  <si>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</si>
  <si>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</si>
  <si>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</si>
  <si>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</si>
  <si>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</si>
  <si>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</si>
  <si>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</si>
  <si>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</si>
  <si>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</si>
  <si>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</si>
  <si>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</si>
  <si>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</si>
  <si>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</si>
  <si>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</si>
  <si>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</si>
  <si>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</si>
  <si>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</si>
  <si>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</si>
  <si>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</si>
  <si>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</si>
  <si>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</si>
  <si>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</si>
  <si>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</si>
  <si>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</si>
  <si>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</si>
  <si>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</si>
  <si>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</si>
  <si>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</si>
  <si>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</si>
  <si>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</si>
  <si>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</si>
  <si>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</si>
  <si>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</si>
  <si>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</si>
  <si>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</si>
  <si>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</si>
  <si>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</si>
  <si>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</si>
  <si>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</si>
  <si>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</si>
  <si>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</si>
  <si>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</si>
  <si>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</si>
  <si>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</si>
  <si>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</si>
  <si>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</si>
  <si>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</si>
  <si>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</si>
  <si>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</si>
  <si>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</si>
  <si>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</si>
  <si>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</si>
  <si>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</si>
  <si>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</si>
  <si>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</si>
  <si>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</si>
  <si>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</si>
  <si>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</si>
  <si>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</si>
  <si>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</si>
  <si>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</si>
  <si>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</si>
  <si>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</si>
  <si>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</si>
  <si>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</si>
  <si>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</si>
  <si>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</si>
  <si>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</si>
  <si>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</si>
  <si>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</si>
  <si>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</si>
  <si>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</si>
  <si>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</si>
  <si>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</si>
  <si>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</si>
  <si>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</si>
  <si>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</si>
  <si>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</si>
  <si>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</si>
  <si>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</si>
  <si>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</si>
  <si>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</si>
  <si>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</si>
  <si>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</si>
  <si>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</si>
  <si>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</si>
  <si>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</si>
  <si>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</si>
  <si>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</si>
  <si>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</si>
  <si>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</si>
  <si>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</si>
  <si>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</si>
  <si>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</si>
  <si>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</si>
  <si>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</si>
  <si>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</si>
  <si>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</si>
  <si>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</si>
  <si>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</si>
  <si>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</si>
  <si>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</si>
  <si>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</si>
  <si>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</si>
  <si>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</si>
  <si>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</si>
  <si>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</si>
  <si>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</si>
  <si>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</si>
  <si>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</si>
  <si>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</si>
  <si>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</si>
  <si>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</si>
  <si>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</si>
  <si>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</si>
  <si>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</si>
  <si>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</si>
  <si>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</si>
  <si>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</si>
  <si>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</si>
  <si>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</si>
  <si>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</si>
  <si>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</si>
  <si>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</si>
  <si>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</si>
  <si>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</si>
  <si>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</si>
  <si>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</si>
  <si>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</si>
  <si>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</si>
  <si>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</si>
  <si>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</si>
  <si>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</si>
  <si>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</si>
  <si>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</si>
  <si>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</si>
  <si>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</si>
  <si>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</si>
  <si>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</si>
  <si>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</si>
  <si>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</si>
  <si>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</si>
  <si>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</si>
  <si>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</si>
  <si>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</si>
  <si>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</si>
  <si>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</si>
  <si>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</si>
  <si>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</si>
  <si>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</si>
  <si>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</si>
  <si>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</si>
  <si>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</si>
  <si>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</si>
  <si>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</si>
  <si>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</si>
  <si>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</si>
  <si>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</si>
  <si>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</si>
  <si>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</si>
  <si>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</si>
  <si>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</si>
  <si>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</si>
  <si>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</si>
  <si>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</si>
  <si>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</si>
  <si>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</si>
  <si>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</si>
  <si>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</si>
  <si>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</si>
  <si>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</si>
  <si>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</si>
  <si>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</si>
  <si>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</si>
  <si>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</si>
  <si>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</si>
  <si>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</si>
  <si>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</si>
  <si>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</si>
  <si>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</si>
  <si>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</si>
  <si>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</si>
  <si>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</si>
  <si>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</si>
  <si>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</si>
  <si>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</si>
  <si>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</si>
  <si>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</si>
  <si>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</si>
  <si>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</si>
  <si>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</si>
  <si>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</si>
  <si>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</si>
  <si>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</si>
  <si>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</si>
  <si>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</si>
  <si>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</si>
  <si>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</si>
  <si>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</si>
  <si>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</si>
  <si>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</si>
  <si>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</si>
  <si>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</si>
  <si>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</si>
  <si>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</si>
  <si>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</si>
  <si>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</si>
  <si>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</si>
  <si>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</si>
  <si>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</si>
  <si>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</si>
  <si>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</si>
  <si>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</si>
  <si>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</si>
  <si>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</si>
  <si>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</si>
  <si>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</si>
  <si>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</si>
  <si>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</si>
  <si>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</si>
  <si>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</si>
  <si>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</si>
  <si>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</si>
  <si>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</si>
  <si>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</si>
  <si>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</si>
  <si>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</si>
  <si>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</si>
  <si>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</si>
  <si>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</si>
  <si>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</si>
  <si>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</si>
  <si>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</si>
  <si>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</si>
  <si>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</si>
  <si>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</si>
  <si>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</si>
  <si>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</si>
  <si>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</si>
  <si>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</si>
  <si>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</si>
  <si>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</si>
  <si>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</si>
  <si>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</si>
  <si>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</si>
  <si>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</si>
  <si>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</si>
  <si>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</si>
  <si>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</si>
  <si>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</si>
  <si>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</si>
  <si>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</si>
  <si>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</si>
  <si>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</si>
  <si>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</si>
  <si>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</si>
  <si>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</si>
  <si>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</si>
  <si>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</si>
  <si>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</si>
  <si>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</si>
  <si>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</si>
  <si>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</si>
  <si>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</si>
  <si>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</si>
  <si>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</si>
  <si>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</si>
  <si>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</si>
  <si>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</si>
  <si>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</si>
  <si>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</si>
  <si>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</si>
  <si>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</si>
  <si>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</si>
  <si>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</si>
  <si>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</si>
  <si>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</si>
  <si>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</si>
  <si>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</si>
  <si>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</si>
  <si>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</si>
  <si>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</si>
  <si>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</si>
  <si>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</si>
  <si>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</si>
  <si>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</si>
  <si>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</si>
  <si>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</si>
  <si>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</si>
  <si>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</si>
  <si>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</si>
  <si>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</si>
  <si>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</si>
  <si>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</si>
  <si>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</si>
  <si>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</si>
  <si>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</si>
  <si>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</si>
  <si>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</si>
  <si>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</si>
  <si>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</si>
  <si>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</si>
  <si>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</si>
  <si>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</si>
  <si>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</si>
  <si>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</si>
  <si>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</si>
  <si>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</si>
  <si>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</si>
  <si>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</si>
  <si>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</si>
  <si>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</si>
  <si>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</si>
  <si>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</si>
  <si>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</si>
  <si>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</si>
  <si>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</si>
  <si>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</si>
  <si>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</si>
  <si>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</si>
  <si>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</si>
  <si>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</si>
  <si>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</si>
  <si>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</si>
  <si>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</si>
  <si>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</si>
  <si>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</si>
  <si>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</si>
  <si>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</si>
  <si>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</si>
  <si>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</si>
  <si>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</si>
  <si>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</si>
  <si>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</si>
  <si>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</si>
  <si>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</si>
  <si>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</si>
  <si>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</si>
  <si>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</si>
  <si>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</si>
  <si>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</si>
  <si>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</si>
  <si>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</si>
  <si>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</si>
  <si>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</si>
  <si>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</si>
  <si>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</si>
  <si>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</si>
  <si>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</si>
  <si>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</si>
  <si>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</si>
  <si>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</si>
  <si>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</si>
  <si>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</si>
  <si>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</si>
  <si>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</si>
  <si>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</si>
  <si>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</si>
  <si>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</si>
  <si>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</si>
  <si>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</si>
  <si>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</si>
  <si>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</si>
  <si>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</si>
  <si>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</si>
  <si>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</si>
  <si>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</si>
  <si>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</si>
  <si>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</si>
  <si>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</si>
  <si>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</si>
  <si>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</si>
  <si>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</si>
  <si>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</si>
  <si>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</si>
  <si>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</si>
  <si>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</si>
  <si>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</si>
  <si>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</si>
  <si>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</si>
  <si>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</si>
  <si>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</si>
  <si>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</si>
  <si>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</si>
  <si>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</si>
  <si>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</si>
  <si>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</si>
  <si>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</si>
  <si>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</si>
  <si>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</si>
  <si>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</si>
  <si>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</si>
  <si>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</si>
  <si>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</si>
  <si>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</si>
  <si>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</si>
  <si>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</si>
  <si>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</si>
  <si>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</si>
  <si>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</si>
  <si>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</si>
  <si>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</si>
  <si>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</si>
  <si>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</si>
  <si>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</si>
  <si>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</si>
  <si>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</si>
  <si>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</si>
  <si>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</si>
  <si>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</si>
  <si>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</si>
  <si>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</si>
  <si>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</si>
  <si>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</si>
  <si>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</si>
  <si>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</si>
  <si>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</si>
  <si>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</si>
  <si>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</si>
  <si>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</si>
  <si>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</si>
  <si>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</si>
  <si>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</si>
  <si>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</si>
  <si>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</si>
  <si>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</si>
  <si>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</si>
  <si>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</si>
  <si>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</si>
  <si>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</si>
  <si>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</si>
  <si>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</si>
  <si>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</si>
  <si>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</si>
  <si>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</si>
  <si>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</si>
  <si>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</si>
  <si>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</si>
  <si>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</si>
  <si>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</si>
  <si>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</si>
  <si>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</si>
  <si>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</si>
  <si>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</si>
  <si>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</si>
  <si>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</si>
  <si>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</si>
  <si>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</si>
  <si>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</si>
  <si>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</si>
  <si>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</si>
  <si>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</si>
  <si>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</si>
  <si>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</si>
  <si>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</si>
  <si>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</si>
  <si>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</si>
  <si>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</si>
  <si>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</si>
  <si>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</si>
  <si>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</si>
  <si>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</si>
  <si>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</si>
  <si>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</si>
  <si>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</si>
  <si>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</si>
  <si>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</si>
  <si>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</si>
  <si>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</si>
  <si>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</si>
  <si>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</si>
  <si>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</si>
  <si>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</si>
  <si>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</si>
  <si>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</si>
  <si>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</si>
  <si>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</si>
  <si>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</si>
  <si>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</si>
  <si>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</si>
  <si>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</si>
  <si>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</si>
  <si>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</si>
  <si>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</si>
  <si>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</si>
  <si>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</si>
  <si>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</si>
  <si>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</si>
  <si>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</si>
  <si>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</si>
  <si>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</si>
  <si>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</si>
  <si>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</si>
  <si>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</si>
  <si>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</si>
  <si>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</si>
  <si>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</si>
  <si>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</si>
  <si>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</si>
  <si>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</si>
  <si>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</si>
  <si>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</si>
  <si>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</si>
  <si>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</si>
  <si>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</si>
  <si>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</si>
  <si>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</si>
  <si>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</si>
  <si>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</si>
  <si>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</si>
  <si>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</si>
  <si>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</si>
  <si>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</si>
  <si>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</si>
  <si>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</si>
  <si>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</si>
  <si>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</si>
  <si>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</si>
  <si>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</si>
  <si>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</si>
  <si>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</si>
  <si>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</si>
  <si>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</si>
  <si>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</si>
  <si>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</si>
  <si>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</si>
  <si>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</si>
  <si>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</si>
  <si>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</si>
  <si>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</si>
  <si>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</si>
  <si>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</si>
  <si>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</si>
  <si>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</si>
  <si>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</si>
  <si>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</si>
  <si>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</si>
  <si>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</si>
  <si>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</si>
  <si>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</si>
  <si>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</si>
  <si>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</si>
  <si>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</si>
  <si>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</si>
  <si>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</si>
  <si>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</si>
  <si>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</si>
  <si>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</si>
  <si>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</si>
  <si>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</si>
  <si>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</si>
  <si>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</si>
  <si>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</si>
  <si>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</si>
  <si>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</si>
  <si>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</si>
  <si>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</si>
  <si>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</si>
  <si>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</si>
  <si>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</si>
  <si>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</si>
  <si>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</si>
  <si>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</si>
  <si>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</si>
  <si>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</si>
  <si>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</si>
  <si>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</si>
  <si>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</si>
  <si>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</si>
  <si>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</si>
  <si>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</si>
  <si>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</si>
  <si>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</si>
  <si>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</si>
  <si>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</si>
  <si>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</si>
  <si>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</si>
  <si>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</si>
  <si>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</si>
  <si>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</si>
  <si>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</si>
  <si>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</si>
  <si>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</si>
  <si>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</si>
  <si>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</si>
  <si>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</si>
  <si>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</si>
  <si>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</si>
  <si>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</si>
  <si>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</si>
  <si>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</si>
  <si>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</si>
  <si>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</si>
  <si>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</si>
  <si>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</si>
  <si>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</si>
  <si>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</si>
  <si>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</si>
  <si>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</si>
  <si>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</si>
  <si>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</si>
  <si>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</si>
  <si>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</si>
  <si>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</si>
  <si>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</si>
  <si>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</si>
  <si>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</si>
  <si>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</si>
  <si>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</si>
  <si>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</si>
  <si>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</si>
  <si>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</si>
  <si>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</si>
  <si>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</si>
  <si>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</si>
  <si>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</si>
  <si>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</si>
  <si>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</si>
  <si>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</si>
  <si>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</si>
  <si>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</si>
  <si>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</si>
  <si>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</si>
  <si>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</si>
  <si>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</si>
  <si>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</si>
  <si>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</si>
  <si>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</si>
  <si>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</si>
  <si>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</si>
  <si>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</si>
  <si>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</si>
  <si>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</si>
  <si>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</si>
  <si>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</si>
  <si>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</si>
  <si>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</si>
  <si>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</si>
  <si>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</si>
  <si>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</si>
  <si>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</si>
  <si>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</si>
  <si>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</si>
  <si>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</si>
  <si>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</si>
  <si>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</si>
  <si>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</si>
  <si>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</si>
  <si>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</si>
  <si>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</si>
  <si>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</si>
  <si>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</si>
  <si>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</si>
  <si>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</si>
  <si>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</si>
  <si>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</si>
  <si>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</si>
  <si>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</si>
  <si>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</si>
  <si>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</si>
  <si>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</si>
  <si>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</si>
  <si>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</si>
  <si>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</si>
  <si>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</si>
  <si>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</si>
  <si>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</si>
  <si>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</si>
  <si>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</si>
  <si>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</si>
  <si>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</si>
  <si>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</si>
  <si>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71024</t>
  </si>
  <si>
    <t>HERK-DE-STAD</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</si>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</sst>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106360.06389777585</c:v>
                </c:pt>
                <c:pt idx="1">
                  <c:v>28302.288788206333</c:v>
                </c:pt>
                <c:pt idx="2">
                  <c:v>907.66975100000002</c:v>
                </c:pt>
                <c:pt idx="3">
                  <c:v>12329.078596030331</c:v>
                </c:pt>
                <c:pt idx="4">
                  <c:v>7104.1800344694057</c:v>
                </c:pt>
                <c:pt idx="5">
                  <c:v>94044.871547112052</c:v>
                </c:pt>
                <c:pt idx="6">
                  <c:v>1045.6602109207643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106360.06389777585</c:v>
                </c:pt>
                <c:pt idx="1">
                  <c:v>28302.288788206333</c:v>
                </c:pt>
                <c:pt idx="2">
                  <c:v>907.66975100000002</c:v>
                </c:pt>
                <c:pt idx="3">
                  <c:v>12329.078596030331</c:v>
                </c:pt>
                <c:pt idx="4">
                  <c:v>7104.1800344694057</c:v>
                </c:pt>
                <c:pt idx="5">
                  <c:v>94044.871547112052</c:v>
                </c:pt>
                <c:pt idx="6">
                  <c:v>1045.6602109207643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20221.751302505945</c:v>
                </c:pt>
                <c:pt idx="1">
                  <c:v>5428.0748975201805</c:v>
                </c:pt>
                <c:pt idx="2">
                  <c:v>162.11033321127653</c:v>
                </c:pt>
                <c:pt idx="3">
                  <c:v>3068.8014588709061</c:v>
                </c:pt>
                <c:pt idx="4">
                  <c:v>1328.043949006875</c:v>
                </c:pt>
                <c:pt idx="5">
                  <c:v>23362.907683562429</c:v>
                </c:pt>
                <c:pt idx="6">
                  <c:v>264.82060213486955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20221.751302505945</c:v>
                </c:pt>
                <c:pt idx="1">
                  <c:v>5428.0748975201805</c:v>
                </c:pt>
                <c:pt idx="2">
                  <c:v>162.11033321127653</c:v>
                </c:pt>
                <c:pt idx="3">
                  <c:v>3068.8014588709061</c:v>
                </c:pt>
                <c:pt idx="4">
                  <c:v>1328.043949006875</c:v>
                </c:pt>
                <c:pt idx="5">
                  <c:v>23362.907683562429</c:v>
                </c:pt>
                <c:pt idx="6">
                  <c:v>264.82060213486955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71024</v>
      </c>
      <c r="B6" s="392"/>
      <c r="C6" s="393"/>
    </row>
    <row r="7" spans="1:7" s="390" customFormat="1" ht="15.75" customHeight="1">
      <c r="A7" s="394" t="str">
        <f>txtMunicipality</f>
        <v>HERK-DE-STAD</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0.17860056813910122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0.17860056813910122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5229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2361.25</v>
      </c>
      <c r="C14" s="332"/>
      <c r="D14" s="332"/>
      <c r="E14" s="332"/>
      <c r="F14" s="332"/>
    </row>
    <row r="15" spans="1:6">
      <c r="A15" s="1310" t="s">
        <v>183</v>
      </c>
      <c r="B15" s="1311">
        <v>640</v>
      </c>
      <c r="C15" s="332"/>
      <c r="D15" s="332"/>
      <c r="E15" s="332"/>
      <c r="F15" s="332"/>
    </row>
    <row r="16" spans="1:6">
      <c r="A16" s="1310" t="s">
        <v>6</v>
      </c>
      <c r="B16" s="1311">
        <v>355</v>
      </c>
      <c r="C16" s="332"/>
      <c r="D16" s="332"/>
      <c r="E16" s="332"/>
      <c r="F16" s="332"/>
    </row>
    <row r="17" spans="1:6">
      <c r="A17" s="1310" t="s">
        <v>7</v>
      </c>
      <c r="B17" s="1311">
        <v>518</v>
      </c>
      <c r="C17" s="332"/>
      <c r="D17" s="332"/>
      <c r="E17" s="332"/>
      <c r="F17" s="332"/>
    </row>
    <row r="18" spans="1:6">
      <c r="A18" s="1310" t="s">
        <v>8</v>
      </c>
      <c r="B18" s="1311">
        <v>623</v>
      </c>
      <c r="C18" s="332"/>
      <c r="D18" s="332"/>
      <c r="E18" s="332"/>
      <c r="F18" s="332"/>
    </row>
    <row r="19" spans="1:6">
      <c r="A19" s="1310" t="s">
        <v>9</v>
      </c>
      <c r="B19" s="1311">
        <v>491</v>
      </c>
      <c r="C19" s="332"/>
      <c r="D19" s="332"/>
      <c r="E19" s="332"/>
      <c r="F19" s="332"/>
    </row>
    <row r="20" spans="1:6">
      <c r="A20" s="1310" t="s">
        <v>10</v>
      </c>
      <c r="B20" s="1311">
        <v>348</v>
      </c>
      <c r="C20" s="332"/>
      <c r="D20" s="332"/>
      <c r="E20" s="332"/>
      <c r="F20" s="332"/>
    </row>
    <row r="21" spans="1:6">
      <c r="A21" s="1310" t="s">
        <v>11</v>
      </c>
      <c r="B21" s="1311">
        <v>125</v>
      </c>
      <c r="C21" s="332"/>
      <c r="D21" s="332"/>
      <c r="E21" s="332"/>
      <c r="F21" s="332"/>
    </row>
    <row r="22" spans="1:6">
      <c r="A22" s="1310" t="s">
        <v>12</v>
      </c>
      <c r="B22" s="1311">
        <v>2811</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632</v>
      </c>
      <c r="C26" s="332"/>
      <c r="D26" s="332"/>
      <c r="E26" s="332"/>
      <c r="F26" s="332"/>
    </row>
    <row r="27" spans="1:6">
      <c r="A27" s="1310" t="s">
        <v>17</v>
      </c>
      <c r="B27" s="1311">
        <v>0</v>
      </c>
      <c r="C27" s="332"/>
      <c r="D27" s="332"/>
      <c r="E27" s="332"/>
      <c r="F27" s="332"/>
    </row>
    <row r="28" spans="1:6" s="43" customFormat="1">
      <c r="A28" s="1312" t="s">
        <v>18</v>
      </c>
      <c r="B28" s="1313">
        <v>71084</v>
      </c>
      <c r="C28" s="338"/>
      <c r="D28" s="338"/>
      <c r="E28" s="338"/>
      <c r="F28" s="338"/>
    </row>
    <row r="29" spans="1:6">
      <c r="A29" s="1312" t="s">
        <v>699</v>
      </c>
      <c r="B29" s="1313">
        <v>137</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436165.462</v>
      </c>
    </row>
    <row r="39" spans="1:6">
      <c r="A39" s="1310" t="s">
        <v>29</v>
      </c>
      <c r="B39" s="1310" t="s">
        <v>30</v>
      </c>
      <c r="C39" s="1311">
        <v>2526</v>
      </c>
      <c r="D39" s="1311">
        <v>39289978.544999897</v>
      </c>
      <c r="E39" s="1311">
        <v>5131</v>
      </c>
      <c r="F39" s="1311">
        <v>17276154.311999999</v>
      </c>
    </row>
    <row r="40" spans="1:6">
      <c r="A40" s="1310" t="s">
        <v>29</v>
      </c>
      <c r="B40" s="1310" t="s">
        <v>28</v>
      </c>
      <c r="C40" s="1311">
        <v>0</v>
      </c>
      <c r="D40" s="1311">
        <v>0</v>
      </c>
      <c r="E40" s="1311">
        <v>0</v>
      </c>
      <c r="F40" s="1311">
        <v>0</v>
      </c>
    </row>
    <row r="41" spans="1:6">
      <c r="A41" s="1310" t="s">
        <v>31</v>
      </c>
      <c r="B41" s="1310" t="s">
        <v>32</v>
      </c>
      <c r="C41" s="1311">
        <v>47</v>
      </c>
      <c r="D41" s="1311">
        <v>882551.21</v>
      </c>
      <c r="E41" s="1311">
        <v>131</v>
      </c>
      <c r="F41" s="1311">
        <v>1186176.9890000001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160789.41500000001</v>
      </c>
      <c r="E44" s="1311">
        <v>22</v>
      </c>
      <c r="F44" s="1311">
        <v>937798.39899999998</v>
      </c>
    </row>
    <row r="45" spans="1:6">
      <c r="A45" s="1310" t="s">
        <v>31</v>
      </c>
      <c r="B45" s="1310" t="s">
        <v>36</v>
      </c>
      <c r="C45" s="1311">
        <v>3</v>
      </c>
      <c r="D45" s="1311">
        <v>50882.588000000003</v>
      </c>
      <c r="E45" s="1311">
        <v>7</v>
      </c>
      <c r="F45" s="1311">
        <v>912148.41599999997</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41132.832000000002</v>
      </c>
    </row>
    <row r="48" spans="1:6">
      <c r="A48" s="1310" t="s">
        <v>31</v>
      </c>
      <c r="B48" s="1310" t="s">
        <v>28</v>
      </c>
      <c r="C48" s="1311">
        <v>3</v>
      </c>
      <c r="D48" s="1311">
        <v>76743.013999999996</v>
      </c>
      <c r="E48" s="1311">
        <v>3</v>
      </c>
      <c r="F48" s="1311">
        <v>50995.749000000003</v>
      </c>
    </row>
    <row r="49" spans="1:6">
      <c r="A49" s="1310" t="s">
        <v>31</v>
      </c>
      <c r="B49" s="1310" t="s">
        <v>39</v>
      </c>
      <c r="C49" s="1311">
        <v>0</v>
      </c>
      <c r="D49" s="1311">
        <v>0</v>
      </c>
      <c r="E49" s="1311">
        <v>0</v>
      </c>
      <c r="F49" s="1311">
        <v>0</v>
      </c>
    </row>
    <row r="50" spans="1:6">
      <c r="A50" s="1310" t="s">
        <v>31</v>
      </c>
      <c r="B50" s="1310" t="s">
        <v>40</v>
      </c>
      <c r="C50" s="1311">
        <v>7</v>
      </c>
      <c r="D50" s="1311">
        <v>272196.95799999998</v>
      </c>
      <c r="E50" s="1311">
        <v>13</v>
      </c>
      <c r="F50" s="1311">
        <v>1534448.7350000001</v>
      </c>
    </row>
    <row r="51" spans="1:6">
      <c r="A51" s="1310" t="s">
        <v>41</v>
      </c>
      <c r="B51" s="1310" t="s">
        <v>42</v>
      </c>
      <c r="C51" s="1311">
        <v>11</v>
      </c>
      <c r="D51" s="1311">
        <v>906684.32299999997</v>
      </c>
      <c r="E51" s="1311">
        <v>94</v>
      </c>
      <c r="F51" s="1311">
        <v>2532983.1740000001</v>
      </c>
    </row>
    <row r="52" spans="1:6">
      <c r="A52" s="1310" t="s">
        <v>41</v>
      </c>
      <c r="B52" s="1310" t="s">
        <v>28</v>
      </c>
      <c r="C52" s="1311">
        <v>0</v>
      </c>
      <c r="D52" s="1311">
        <v>0</v>
      </c>
      <c r="E52" s="1311">
        <v>0</v>
      </c>
      <c r="F52" s="1311">
        <v>0</v>
      </c>
    </row>
    <row r="53" spans="1:6">
      <c r="A53" s="1310" t="s">
        <v>43</v>
      </c>
      <c r="B53" s="1310" t="s">
        <v>44</v>
      </c>
      <c r="C53" s="1311">
        <v>34</v>
      </c>
      <c r="D53" s="1311">
        <v>893910.12600000005</v>
      </c>
      <c r="E53" s="1311">
        <v>116</v>
      </c>
      <c r="F53" s="1311">
        <v>450821.49699999997</v>
      </c>
    </row>
    <row r="54" spans="1:6">
      <c r="A54" s="1310" t="s">
        <v>45</v>
      </c>
      <c r="B54" s="1310" t="s">
        <v>46</v>
      </c>
      <c r="C54" s="1311">
        <v>0</v>
      </c>
      <c r="D54" s="1311">
        <v>0</v>
      </c>
      <c r="E54" s="1311">
        <v>3</v>
      </c>
      <c r="F54" s="1311">
        <v>907669.75100000005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24</v>
      </c>
      <c r="D57" s="1311">
        <v>829711.35600000003</v>
      </c>
      <c r="E57" s="1311">
        <v>63</v>
      </c>
      <c r="F57" s="1311">
        <v>923640.12600000005</v>
      </c>
    </row>
    <row r="58" spans="1:6">
      <c r="A58" s="1310" t="s">
        <v>48</v>
      </c>
      <c r="B58" s="1310" t="s">
        <v>50</v>
      </c>
      <c r="C58" s="1311">
        <v>26</v>
      </c>
      <c r="D58" s="1311">
        <v>2576483.7140000002</v>
      </c>
      <c r="E58" s="1311">
        <v>43</v>
      </c>
      <c r="F58" s="1311">
        <v>1305442.358</v>
      </c>
    </row>
    <row r="59" spans="1:6">
      <c r="A59" s="1310" t="s">
        <v>48</v>
      </c>
      <c r="B59" s="1310" t="s">
        <v>51</v>
      </c>
      <c r="C59" s="1311">
        <v>85</v>
      </c>
      <c r="D59" s="1311">
        <v>2840605.673</v>
      </c>
      <c r="E59" s="1311">
        <v>182</v>
      </c>
      <c r="F59" s="1311">
        <v>5876082.2290000003</v>
      </c>
    </row>
    <row r="60" spans="1:6">
      <c r="A60" s="1310" t="s">
        <v>48</v>
      </c>
      <c r="B60" s="1310" t="s">
        <v>52</v>
      </c>
      <c r="C60" s="1311">
        <v>43</v>
      </c>
      <c r="D60" s="1311">
        <v>4746251.38</v>
      </c>
      <c r="E60" s="1311">
        <v>54</v>
      </c>
      <c r="F60" s="1311">
        <v>1885681.4310000001</v>
      </c>
    </row>
    <row r="61" spans="1:6">
      <c r="A61" s="1310" t="s">
        <v>48</v>
      </c>
      <c r="B61" s="1310" t="s">
        <v>53</v>
      </c>
      <c r="C61" s="1311">
        <v>99</v>
      </c>
      <c r="D61" s="1311">
        <v>3392810.7170000002</v>
      </c>
      <c r="E61" s="1311">
        <v>225</v>
      </c>
      <c r="F61" s="1311">
        <v>3042557.1970000002</v>
      </c>
    </row>
    <row r="62" spans="1:6">
      <c r="A62" s="1310" t="s">
        <v>48</v>
      </c>
      <c r="B62" s="1310" t="s">
        <v>54</v>
      </c>
      <c r="C62" s="1311">
        <v>0</v>
      </c>
      <c r="D62" s="1311">
        <v>0</v>
      </c>
      <c r="E62" s="1311">
        <v>7</v>
      </c>
      <c r="F62" s="1311">
        <v>72564.811000000002</v>
      </c>
    </row>
    <row r="63" spans="1:6">
      <c r="A63" s="1310" t="s">
        <v>48</v>
      </c>
      <c r="B63" s="1310" t="s">
        <v>28</v>
      </c>
      <c r="C63" s="1311">
        <v>1</v>
      </c>
      <c r="D63" s="1311">
        <v>9508.9009999999998</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55575.194000000003</v>
      </c>
      <c r="E65" s="1311">
        <v>0</v>
      </c>
      <c r="F65" s="1311">
        <v>0</v>
      </c>
    </row>
    <row r="66" spans="1:6">
      <c r="A66" s="1310" t="s">
        <v>55</v>
      </c>
      <c r="B66" s="1310" t="s">
        <v>57</v>
      </c>
      <c r="C66" s="1311">
        <v>0</v>
      </c>
      <c r="D66" s="1311">
        <v>0</v>
      </c>
      <c r="E66" s="1311">
        <v>9</v>
      </c>
      <c r="F66" s="1311">
        <v>283221.33</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24861.692999999999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73554597</v>
      </c>
      <c r="E73" s="453"/>
      <c r="F73" s="332"/>
    </row>
    <row r="74" spans="1:6">
      <c r="A74" s="1310" t="s">
        <v>63</v>
      </c>
      <c r="B74" s="1310" t="s">
        <v>648</v>
      </c>
      <c r="C74" s="1324" t="s">
        <v>650</v>
      </c>
      <c r="D74" s="1325">
        <v>8127328.6269226791</v>
      </c>
      <c r="E74" s="453"/>
      <c r="F74" s="332"/>
    </row>
    <row r="75" spans="1:6">
      <c r="A75" s="1310" t="s">
        <v>64</v>
      </c>
      <c r="B75" s="1310" t="s">
        <v>647</v>
      </c>
      <c r="C75" s="1324" t="s">
        <v>651</v>
      </c>
      <c r="D75" s="1325">
        <v>25222796</v>
      </c>
      <c r="E75" s="453"/>
      <c r="F75" s="332"/>
    </row>
    <row r="76" spans="1:6">
      <c r="A76" s="1310" t="s">
        <v>64</v>
      </c>
      <c r="B76" s="1310" t="s">
        <v>648</v>
      </c>
      <c r="C76" s="1324" t="s">
        <v>652</v>
      </c>
      <c r="D76" s="1325">
        <v>860352.62692267902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290040.74615464202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5504.4333785230729</v>
      </c>
      <c r="C91" s="332"/>
      <c r="D91" s="332"/>
      <c r="E91" s="332"/>
      <c r="F91" s="332"/>
    </row>
    <row r="92" spans="1:6">
      <c r="A92" s="1305" t="s">
        <v>68</v>
      </c>
      <c r="B92" s="1306">
        <v>3034.4393931871195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593</v>
      </c>
      <c r="C97" s="332"/>
      <c r="D97" s="332"/>
      <c r="E97" s="332"/>
      <c r="F97" s="332"/>
    </row>
    <row r="98" spans="1:6">
      <c r="A98" s="1310" t="s">
        <v>71</v>
      </c>
      <c r="B98" s="1311">
        <v>3</v>
      </c>
      <c r="C98" s="332"/>
      <c r="D98" s="332"/>
      <c r="E98" s="332"/>
      <c r="F98" s="332"/>
    </row>
    <row r="99" spans="1:6">
      <c r="A99" s="1310" t="s">
        <v>72</v>
      </c>
      <c r="B99" s="1311">
        <v>14</v>
      </c>
      <c r="C99" s="332"/>
      <c r="D99" s="332"/>
      <c r="E99" s="332"/>
      <c r="F99" s="332"/>
    </row>
    <row r="100" spans="1:6">
      <c r="A100" s="1310" t="s">
        <v>73</v>
      </c>
      <c r="B100" s="1311">
        <v>235</v>
      </c>
      <c r="C100" s="332"/>
      <c r="D100" s="332"/>
      <c r="E100" s="332"/>
      <c r="F100" s="332"/>
    </row>
    <row r="101" spans="1:6">
      <c r="A101" s="1310" t="s">
        <v>74</v>
      </c>
      <c r="B101" s="1311">
        <v>54</v>
      </c>
      <c r="C101" s="332"/>
      <c r="D101" s="332"/>
      <c r="E101" s="332"/>
      <c r="F101" s="332"/>
    </row>
    <row r="102" spans="1:6">
      <c r="A102" s="1310" t="s">
        <v>75</v>
      </c>
      <c r="B102" s="1311">
        <v>46</v>
      </c>
      <c r="C102" s="332"/>
      <c r="D102" s="332"/>
      <c r="E102" s="332"/>
      <c r="F102" s="332"/>
    </row>
    <row r="103" spans="1:6">
      <c r="A103" s="1310" t="s">
        <v>76</v>
      </c>
      <c r="B103" s="1311">
        <v>114</v>
      </c>
      <c r="C103" s="332"/>
      <c r="D103" s="332"/>
      <c r="E103" s="332"/>
      <c r="F103" s="332"/>
    </row>
    <row r="104" spans="1:6">
      <c r="A104" s="1310" t="s">
        <v>77</v>
      </c>
      <c r="B104" s="1311">
        <v>3288</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25</v>
      </c>
      <c r="C123" s="1311">
        <v>24</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172</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36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44507.456815435486</v>
      </c>
      <c r="C3" s="43" t="s">
        <v>169</v>
      </c>
      <c r="D3" s="43"/>
      <c r="E3" s="154"/>
      <c r="F3" s="43"/>
      <c r="G3" s="43"/>
      <c r="H3" s="43"/>
      <c r="I3" s="43"/>
      <c r="J3" s="43"/>
      <c r="K3" s="96"/>
    </row>
    <row r="4" spans="1:11">
      <c r="A4" s="360" t="s">
        <v>170</v>
      </c>
      <c r="B4" s="49">
        <f>IF(ISERROR('SEAP template'!B78+'SEAP template'!C78),0,'SEAP template'!B78+'SEAP template'!C78)</f>
        <v>8538.872771710192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0.17860056813910122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907.66975100000002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907.66975100000002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0.17860056813910122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162.11033321127653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17276.154311999999</v>
      </c>
      <c r="C5" s="17">
        <f>IF(ISERROR('Eigen informatie GS &amp; warmtenet'!B59),0,'Eigen informatie GS &amp; warmtenet'!B59)</f>
        <v>0</v>
      </c>
      <c r="D5" s="30">
        <f>(SUM(HH_hh_gas_kWh,HH_rest_gas_kWh)/1000)*0.903</f>
        <v>35478.85062613491</v>
      </c>
      <c r="E5" s="17">
        <f>B46*B57</f>
        <v>1817.2482758623239</v>
      </c>
      <c r="F5" s="17">
        <f>B51*B62</f>
        <v>32111.918402007152</v>
      </c>
      <c r="G5" s="18"/>
      <c r="H5" s="17"/>
      <c r="I5" s="17"/>
      <c r="J5" s="17">
        <f>B50*B61+C50*C61</f>
        <v>0</v>
      </c>
      <c r="K5" s="17"/>
      <c r="L5" s="17"/>
      <c r="M5" s="17"/>
      <c r="N5" s="17">
        <f>B48*B59+C48*C59</f>
        <v>13138.047616260363</v>
      </c>
      <c r="O5" s="17">
        <f>B69*B70*B71</f>
        <v>390.83976921924528</v>
      </c>
      <c r="P5" s="17">
        <f>B77*B78*B79/1000-B77*B78*B79/1000/B80</f>
        <v>642.57151776878641</v>
      </c>
    </row>
    <row r="6" spans="1:16">
      <c r="A6" s="16" t="s">
        <v>612</v>
      </c>
      <c r="B6" s="786">
        <f>kWh_PV_kleiner_dan_10kW</f>
        <v>5504.4333785230729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22780.587690523073</v>
      </c>
      <c r="C8" s="21">
        <f>C5</f>
        <v>0</v>
      </c>
      <c r="D8" s="21">
        <f>D5</f>
        <v>35478.85062613491</v>
      </c>
      <c r="E8" s="21">
        <f>E5</f>
        <v>1817.2482758623239</v>
      </c>
      <c r="F8" s="21">
        <f>F5</f>
        <v>32111.918402007152</v>
      </c>
      <c r="G8" s="21"/>
      <c r="H8" s="21"/>
      <c r="I8" s="21"/>
      <c r="J8" s="21">
        <f>J5</f>
        <v>0</v>
      </c>
      <c r="K8" s="21"/>
      <c r="L8" s="21">
        <f>L5</f>
        <v>0</v>
      </c>
      <c r="M8" s="21">
        <f>M5</f>
        <v>0</v>
      </c>
      <c r="N8" s="21">
        <f>N5</f>
        <v>13138.047616260363</v>
      </c>
      <c r="O8" s="21">
        <f>O5</f>
        <v>390.83976921924528</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0.17860056813910122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4068.6259040700365</v>
      </c>
      <c r="C12" s="23">
        <f ca="1">C10*C8</f>
        <v>0</v>
      </c>
      <c r="D12" s="23">
        <f>D8*D10</f>
        <v>7166.7278264792521</v>
      </c>
      <c r="E12" s="23">
        <f>E10*E8</f>
        <v>412.51535862074752</v>
      </c>
      <c r="F12" s="23">
        <f>F10*F8</f>
        <v>8573.8822133359099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5229</v>
      </c>
      <c r="C28" s="36"/>
      <c r="D28" s="228"/>
    </row>
    <row r="29" spans="1:7" s="15" customFormat="1">
      <c r="A29" s="230" t="s">
        <v>839</v>
      </c>
      <c r="B29" s="37">
        <f>SUM(HH_hh_gas_aantal,HH_rest_gas_aantal)</f>
        <v>2526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2526</v>
      </c>
      <c r="C32" s="167">
        <f>IF(ISERROR(B32/SUM($B$32,$B$34,$B$35,$B$36,$B$38,$B$39)*100),0,B32/SUM($B$32,$B$34,$B$35,$B$36,$B$38,$B$39)*100)</f>
        <v>48.877708978328172</v>
      </c>
      <c r="D32" s="233"/>
      <c r="G32" s="15"/>
    </row>
    <row r="33" spans="1:7">
      <c r="A33" s="171" t="s">
        <v>71</v>
      </c>
      <c r="B33" s="34" t="s">
        <v>110</v>
      </c>
      <c r="C33" s="167"/>
      <c r="D33" s="233"/>
      <c r="G33" s="15"/>
    </row>
    <row r="34" spans="1:7">
      <c r="A34" s="171" t="s">
        <v>72</v>
      </c>
      <c r="B34" s="33">
        <f>IF((($B$28-$B$32-$B$39-$B$77-$B$38)*C20/100)&lt;0,0,($B$28-$B$32-$B$39-$B$77-$B$38)*C20/100)</f>
        <v>50.533993399339934</v>
      </c>
      <c r="C34" s="167">
        <f>IF(ISERROR(B34/SUM($B$32,$B$34,$B$35,$B$36,$B$38,$B$39)*100),0,B34/SUM($B$32,$B$34,$B$35,$B$36,$B$38,$B$39)*100)</f>
        <v>0.97782494967763034</v>
      </c>
      <c r="D34" s="233"/>
      <c r="G34" s="15"/>
    </row>
    <row r="35" spans="1:7">
      <c r="A35" s="171" t="s">
        <v>73</v>
      </c>
      <c r="B35" s="33">
        <f>IF((($B$28-$B$32-$B$39-$B$77-$B$38)*C21/100)&lt;0,0,($B$28-$B$32-$B$39-$B$77-$B$38)*C21/100)</f>
        <v>848.24917491749159</v>
      </c>
      <c r="C35" s="167">
        <f>IF(ISERROR(B35/SUM($B$32,$B$34,$B$35,$B$36,$B$38,$B$39)*100),0,B35/SUM($B$32,$B$34,$B$35,$B$36,$B$38,$B$39)*100)</f>
        <v>16.413490226731646</v>
      </c>
      <c r="D35" s="233"/>
      <c r="G35" s="15"/>
    </row>
    <row r="36" spans="1:7">
      <c r="A36" s="171" t="s">
        <v>74</v>
      </c>
      <c r="B36" s="33">
        <f>IF((($B$28-$B$32-$B$39-$B$77-$B$38)*C22/100)&lt;0,0,($B$28-$B$32-$B$39-$B$77-$B$38)*C22/100)</f>
        <v>194.91683168316831</v>
      </c>
      <c r="C36" s="167">
        <f>IF(ISERROR(B36/SUM($B$32,$B$34,$B$35,$B$36,$B$38,$B$39)*100),0,B36/SUM($B$32,$B$34,$B$35,$B$36,$B$38,$B$39)*100)</f>
        <v>3.7716105201851451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1548.3</v>
      </c>
      <c r="C39" s="167">
        <f>IF(ISERROR(B39/SUM($B$32,$B$34,$B$35,$B$36,$B$38,$B$39)*100),0,B39/SUM($B$32,$B$34,$B$35,$B$36,$B$38,$B$39)*100)</f>
        <v>29.959365325077396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2526</v>
      </c>
      <c r="C44" s="34" t="s">
        <v>110</v>
      </c>
      <c r="D44" s="174"/>
    </row>
    <row r="45" spans="1:7">
      <c r="A45" s="171" t="s">
        <v>71</v>
      </c>
      <c r="B45" s="33" t="str">
        <f t="shared" si="0"/>
        <v>-</v>
      </c>
      <c r="C45" s="34" t="s">
        <v>110</v>
      </c>
      <c r="D45" s="174"/>
    </row>
    <row r="46" spans="1:7">
      <c r="A46" s="171" t="s">
        <v>72</v>
      </c>
      <c r="B46" s="33">
        <f t="shared" si="0"/>
        <v>50.533993399339934</v>
      </c>
      <c r="C46" s="34" t="s">
        <v>110</v>
      </c>
      <c r="D46" s="174"/>
    </row>
    <row r="47" spans="1:7">
      <c r="A47" s="171" t="s">
        <v>73</v>
      </c>
      <c r="B47" s="33">
        <f t="shared" si="0"/>
        <v>848.24917491749159</v>
      </c>
      <c r="C47" s="34" t="s">
        <v>110</v>
      </c>
      <c r="D47" s="174"/>
    </row>
    <row r="48" spans="1:7">
      <c r="A48" s="171" t="s">
        <v>74</v>
      </c>
      <c r="B48" s="33">
        <f t="shared" si="0"/>
        <v>194.91683168316831</v>
      </c>
      <c r="C48" s="33">
        <f>B48*10</f>
        <v>1949.1683168316831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1548.3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13105.968152000001</v>
      </c>
      <c r="C5" s="17">
        <f>IF(ISERROR('Eigen informatie GS &amp; warmtenet'!B60),0,'Eigen informatie GS &amp; warmtenet'!B60)</f>
        <v>0</v>
      </c>
      <c r="D5" s="30">
        <f>SUM(D6:D12)</f>
        <v>12999.020682123</v>
      </c>
      <c r="E5" s="17">
        <f>SUM(E6:E12)</f>
        <v>34.608707167575417</v>
      </c>
      <c r="F5" s="17">
        <f>SUM(F6:F12)</f>
        <v>1699.1758657715632</v>
      </c>
      <c r="G5" s="18"/>
      <c r="H5" s="17"/>
      <c r="I5" s="17"/>
      <c r="J5" s="17">
        <f>SUM(J6:J12)</f>
        <v>9.1217037280837653E-3</v>
      </c>
      <c r="K5" s="17"/>
      <c r="L5" s="17"/>
      <c r="M5" s="17"/>
      <c r="N5" s="17">
        <f>SUM(N6:N12)</f>
        <v>343.73620052995028</v>
      </c>
      <c r="O5" s="17">
        <f>B38*B39*B40</f>
        <v>14.691782297523464</v>
      </c>
      <c r="P5" s="17">
        <f>B46*B47*B48/1000-B46*B47*B48/1000/B49</f>
        <v>105.07827661299004</v>
      </c>
      <c r="R5" s="32"/>
    </row>
    <row r="6" spans="1:18">
      <c r="A6" s="32" t="s">
        <v>53</v>
      </c>
      <c r="B6" s="37">
        <f>B26</f>
        <v>3042.5571970000001</v>
      </c>
      <c r="C6" s="33"/>
      <c r="D6" s="37">
        <f>IF(ISERROR(TER_kantoor_gas_kWh/1000),0,TER_kantoor_gas_kWh/1000)*0.903</f>
        <v>3063.7080774510005</v>
      </c>
      <c r="E6" s="33">
        <f>$C$26*'E Balans VL '!I12/100/3.6*1000000</f>
        <v>0.72892438397573089</v>
      </c>
      <c r="F6" s="33">
        <f>$C$26*('E Balans VL '!L12+'E Balans VL '!N12)/100/3.6*1000000</f>
        <v>288.52212541261667</v>
      </c>
      <c r="G6" s="34"/>
      <c r="H6" s="33"/>
      <c r="I6" s="33"/>
      <c r="J6" s="33">
        <f>$C$26*('E Balans VL '!D12+'E Balans VL '!E12)/100/3.6*1000000</f>
        <v>0</v>
      </c>
      <c r="K6" s="33"/>
      <c r="L6" s="33"/>
      <c r="M6" s="33"/>
      <c r="N6" s="33">
        <f>$C$26*'E Balans VL '!Y12/100/3.6*1000000</f>
        <v>1.5454616837730111</v>
      </c>
      <c r="O6" s="33"/>
      <c r="P6" s="33"/>
      <c r="R6" s="32"/>
    </row>
    <row r="7" spans="1:18">
      <c r="A7" s="32" t="s">
        <v>52</v>
      </c>
      <c r="B7" s="37">
        <f t="shared" ref="B7:B12" si="0">B27</f>
        <v>1885.6814310000002</v>
      </c>
      <c r="C7" s="33"/>
      <c r="D7" s="37">
        <f>IF(ISERROR(TER_horeca_gas_kWh/1000),0,TER_horeca_gas_kWh/1000)*0.903</f>
        <v>4285.8649961399997</v>
      </c>
      <c r="E7" s="33">
        <f>$C$27*'E Balans VL '!I9/100/3.6*1000000</f>
        <v>0</v>
      </c>
      <c r="F7" s="33">
        <f>$C$27*('E Balans VL '!L9+'E Balans VL '!N9)/100/3.6*1000000</f>
        <v>154.62144469084004</v>
      </c>
      <c r="G7" s="34"/>
      <c r="H7" s="33"/>
      <c r="I7" s="33"/>
      <c r="J7" s="33">
        <f>$C$27*('E Balans VL '!D9+'E Balans VL '!E9)/100/3.6*1000000</f>
        <v>0</v>
      </c>
      <c r="K7" s="33"/>
      <c r="L7" s="33"/>
      <c r="M7" s="33"/>
      <c r="N7" s="33">
        <f>$C$27*'E Balans VL '!Y9/100/3.6*1000000</f>
        <v>0.57803711972555549</v>
      </c>
      <c r="O7" s="33"/>
      <c r="P7" s="33"/>
      <c r="R7" s="32"/>
    </row>
    <row r="8" spans="1:18">
      <c r="A8" s="6" t="s">
        <v>51</v>
      </c>
      <c r="B8" s="37">
        <f t="shared" si="0"/>
        <v>5876.0822290000006</v>
      </c>
      <c r="C8" s="33"/>
      <c r="D8" s="37">
        <f>IF(ISERROR(TER_handel_gas_kWh/1000),0,TER_handel_gas_kWh/1000)*0.903</f>
        <v>2565.0669227190001</v>
      </c>
      <c r="E8" s="33">
        <f>$C$28*'E Balans VL '!I13/100/3.6*1000000</f>
        <v>20.651217443963112</v>
      </c>
      <c r="F8" s="33">
        <f>$C$28*('E Balans VL '!L13+'E Balans VL '!N13)/100/3.6*1000000</f>
        <v>537.65097149463952</v>
      </c>
      <c r="G8" s="34"/>
      <c r="H8" s="33"/>
      <c r="I8" s="33"/>
      <c r="J8" s="33">
        <f>$C$28*('E Balans VL '!D13+'E Balans VL '!E13)/100/3.6*1000000</f>
        <v>0</v>
      </c>
      <c r="K8" s="33"/>
      <c r="L8" s="33"/>
      <c r="M8" s="33"/>
      <c r="N8" s="33">
        <f>$C$28*'E Balans VL '!Y13/100/3.6*1000000</f>
        <v>2.1280640085363514</v>
      </c>
      <c r="O8" s="33"/>
      <c r="P8" s="33"/>
      <c r="R8" s="32"/>
    </row>
    <row r="9" spans="1:18">
      <c r="A9" s="32" t="s">
        <v>50</v>
      </c>
      <c r="B9" s="37">
        <f t="shared" si="0"/>
        <v>1305.442358</v>
      </c>
      <c r="C9" s="33"/>
      <c r="D9" s="37">
        <f>IF(ISERROR(TER_gezond_gas_kWh/1000),0,TER_gezond_gas_kWh/1000)*0.903</f>
        <v>2326.5647937419999</v>
      </c>
      <c r="E9" s="33">
        <f>$C$29*'E Balans VL '!I10/100/3.6*1000000</f>
        <v>0</v>
      </c>
      <c r="F9" s="33">
        <f>$C$29*('E Balans VL '!L10+'E Balans VL '!N10)/100/3.6*1000000</f>
        <v>160.02326132029785</v>
      </c>
      <c r="G9" s="34"/>
      <c r="H9" s="33"/>
      <c r="I9" s="33"/>
      <c r="J9" s="33">
        <f>$C$29*('E Balans VL '!D10+'E Balans VL '!E10)/100/3.6*1000000</f>
        <v>0</v>
      </c>
      <c r="K9" s="33"/>
      <c r="L9" s="33"/>
      <c r="M9" s="33"/>
      <c r="N9" s="33">
        <f>$C$29*'E Balans VL '!Y10/100/3.6*1000000</f>
        <v>9.6267276864305877</v>
      </c>
      <c r="O9" s="33"/>
      <c r="P9" s="33"/>
      <c r="R9" s="32"/>
    </row>
    <row r="10" spans="1:18">
      <c r="A10" s="32" t="s">
        <v>49</v>
      </c>
      <c r="B10" s="37">
        <f t="shared" si="0"/>
        <v>923.64012600000001</v>
      </c>
      <c r="C10" s="33"/>
      <c r="D10" s="37">
        <f>IF(ISERROR(TER_ander_gas_kWh/1000),0,TER_ander_gas_kWh/1000)*0.903</f>
        <v>749.229354468</v>
      </c>
      <c r="E10" s="33">
        <f>$C$30*'E Balans VL '!I14/100/3.6*1000000</f>
        <v>13.228565339636571</v>
      </c>
      <c r="F10" s="33">
        <f>$C$30*('E Balans VL '!L14+'E Balans VL '!N14)/100/3.6*1000000</f>
        <v>549.87437231554577</v>
      </c>
      <c r="G10" s="34"/>
      <c r="H10" s="33"/>
      <c r="I10" s="33"/>
      <c r="J10" s="33">
        <f>$C$30*('E Balans VL '!D14+'E Balans VL '!E14)/100/3.6*1000000</f>
        <v>9.1217037280837653E-3</v>
      </c>
      <c r="K10" s="33"/>
      <c r="L10" s="33"/>
      <c r="M10" s="33"/>
      <c r="N10" s="33">
        <f>$C$30*'E Balans VL '!Y14/100/3.6*1000000</f>
        <v>329.65357585641436</v>
      </c>
      <c r="O10" s="33"/>
      <c r="P10" s="33"/>
      <c r="R10" s="32"/>
    </row>
    <row r="11" spans="1:18">
      <c r="A11" s="32" t="s">
        <v>54</v>
      </c>
      <c r="B11" s="37">
        <f t="shared" si="0"/>
        <v>72.564811000000006</v>
      </c>
      <c r="C11" s="33"/>
      <c r="D11" s="37">
        <f>IF(ISERROR(TER_onderwijs_gas_kWh/1000),0,TER_onderwijs_gas_kWh/1000)*0.903</f>
        <v>0</v>
      </c>
      <c r="E11" s="33">
        <f>$C$31*'E Balans VL '!I11/100/3.6*1000000</f>
        <v>0</v>
      </c>
      <c r="F11" s="33">
        <f>$C$31*('E Balans VL '!L11+'E Balans VL '!N11)/100/3.6*1000000</f>
        <v>8.4836905376232981</v>
      </c>
      <c r="G11" s="34"/>
      <c r="H11" s="33"/>
      <c r="I11" s="33"/>
      <c r="J11" s="33">
        <f>$C$31*('E Balans VL '!D11+'E Balans VL '!E11)/100/3.6*1000000</f>
        <v>0</v>
      </c>
      <c r="K11" s="33"/>
      <c r="L11" s="33"/>
      <c r="M11" s="33"/>
      <c r="N11" s="33">
        <f>$C$31*'E Balans VL '!Y11/100/3.6*1000000</f>
        <v>0.20433417507042048</v>
      </c>
      <c r="O11" s="33"/>
      <c r="P11" s="33"/>
      <c r="R11" s="32"/>
    </row>
    <row r="12" spans="1:18">
      <c r="A12" s="32" t="s">
        <v>259</v>
      </c>
      <c r="B12" s="37">
        <f t="shared" si="0"/>
        <v>0</v>
      </c>
      <c r="C12" s="33"/>
      <c r="D12" s="37">
        <f>IF(ISERROR(TER_rest_gas_kWh/1000),0,TER_rest_gas_kWh/1000)*0.903</f>
        <v>8.586537603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13105.968152000001</v>
      </c>
      <c r="C16" s="21">
        <f t="shared" ca="1" si="1"/>
        <v>0</v>
      </c>
      <c r="D16" s="21">
        <f t="shared" ca="1" si="1"/>
        <v>12999.020682123</v>
      </c>
      <c r="E16" s="21">
        <f t="shared" si="1"/>
        <v>34.608707167575417</v>
      </c>
      <c r="F16" s="21">
        <f t="shared" ca="1" si="1"/>
        <v>1699.1758657715632</v>
      </c>
      <c r="G16" s="21">
        <f t="shared" si="1"/>
        <v>0</v>
      </c>
      <c r="H16" s="21">
        <f t="shared" si="1"/>
        <v>0</v>
      </c>
      <c r="I16" s="21">
        <f t="shared" si="1"/>
        <v>0</v>
      </c>
      <c r="J16" s="21">
        <f t="shared" si="1"/>
        <v>9.1217037280837653E-3</v>
      </c>
      <c r="K16" s="21">
        <f t="shared" si="1"/>
        <v>0</v>
      </c>
      <c r="L16" s="21">
        <f t="shared" ca="1" si="1"/>
        <v>0</v>
      </c>
      <c r="M16" s="21">
        <f t="shared" si="1"/>
        <v>0</v>
      </c>
      <c r="N16" s="21">
        <f t="shared" ca="1" si="1"/>
        <v>343.73620052995028</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0.17860056813910122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2340.7333579601668</v>
      </c>
      <c r="C20" s="23">
        <f t="shared" ref="C20:P20" ca="1" si="2">C16*C18</f>
        <v>0</v>
      </c>
      <c r="D20" s="23">
        <f t="shared" ca="1" si="2"/>
        <v>2625.8021777888462</v>
      </c>
      <c r="E20" s="23">
        <f t="shared" si="2"/>
        <v>7.8561765270396204</v>
      </c>
      <c r="F20" s="23">
        <f t="shared" ca="1" si="2"/>
        <v>453.6799561610074</v>
      </c>
      <c r="G20" s="23">
        <f t="shared" si="2"/>
        <v>0</v>
      </c>
      <c r="H20" s="23">
        <f t="shared" si="2"/>
        <v>0</v>
      </c>
      <c r="I20" s="23">
        <f t="shared" si="2"/>
        <v>0</v>
      </c>
      <c r="J20" s="23">
        <f t="shared" si="2"/>
        <v>3.2290831197416526E-3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3042.5571970000001</v>
      </c>
      <c r="C26" s="39">
        <f>IF(ISERROR(B26*3.6/1000000/'E Balans VL '!Z12*100),0,B26*3.6/1000000/'E Balans VL '!Z12*100)</f>
        <v>8.5808170054790037E-2</v>
      </c>
      <c r="D26" s="237" t="s">
        <v>702</v>
      </c>
      <c r="F26" s="6"/>
    </row>
    <row r="27" spans="1:18">
      <c r="A27" s="231" t="s">
        <v>52</v>
      </c>
      <c r="B27" s="33">
        <f>IF(ISERROR(TER_horeca_ele_kWh/1000),0,TER_horeca_ele_kWh/1000)</f>
        <v>1885.6814310000002</v>
      </c>
      <c r="C27" s="39">
        <f>IF(ISERROR(B27*3.6/1000000/'E Balans VL '!Z9*100),0,B27*3.6/1000000/'E Balans VL '!Z9*100)</f>
        <v>0.13980011312091098</v>
      </c>
      <c r="D27" s="237" t="s">
        <v>702</v>
      </c>
      <c r="F27" s="6"/>
    </row>
    <row r="28" spans="1:18">
      <c r="A28" s="171" t="s">
        <v>51</v>
      </c>
      <c r="B28" s="33">
        <f>IF(ISERROR(TER_handel_ele_kWh/1000),0,TER_handel_ele_kWh/1000)</f>
        <v>5876.0822290000006</v>
      </c>
      <c r="C28" s="39">
        <f>IF(ISERROR(B28*3.6/1000000/'E Balans VL '!Z13*100),0,B28*3.6/1000000/'E Balans VL '!Z13*100)</f>
        <v>0.17603345267372558</v>
      </c>
      <c r="D28" s="237" t="s">
        <v>702</v>
      </c>
      <c r="F28" s="6"/>
    </row>
    <row r="29" spans="1:18">
      <c r="A29" s="231" t="s">
        <v>50</v>
      </c>
      <c r="B29" s="33">
        <f>IF(ISERROR(TER_gezond_ele_kWh/1000),0,TER_gezond_ele_kWh/1000)</f>
        <v>1305.442358</v>
      </c>
      <c r="C29" s="39">
        <f>IF(ISERROR(B29*3.6/1000000/'E Balans VL '!Z10*100),0,B29*3.6/1000000/'E Balans VL '!Z10*100)</f>
        <v>0.12908265202470742</v>
      </c>
      <c r="D29" s="237" t="s">
        <v>702</v>
      </c>
      <c r="F29" s="6"/>
    </row>
    <row r="30" spans="1:18">
      <c r="A30" s="231" t="s">
        <v>49</v>
      </c>
      <c r="B30" s="33">
        <f>IF(ISERROR(TER_ander_ele_kWh/1000),0,TER_ander_ele_kWh/1000)</f>
        <v>923.64012600000001</v>
      </c>
      <c r="C30" s="39">
        <f>IF(ISERROR(B30*3.6/1000000/'E Balans VL '!Z14*100),0,B30*3.6/1000000/'E Balans VL '!Z14*100)</f>
        <v>3.7358513562117807E-2</v>
      </c>
      <c r="D30" s="237" t="s">
        <v>702</v>
      </c>
      <c r="F30" s="6"/>
    </row>
    <row r="31" spans="1:18">
      <c r="A31" s="231" t="s">
        <v>54</v>
      </c>
      <c r="B31" s="33">
        <f>IF(ISERROR(TER_onderwijs_ele_kWh/1000),0,TER_onderwijs_ele_kWh/1000)</f>
        <v>72.564811000000006</v>
      </c>
      <c r="C31" s="39">
        <f>IF(ISERROR(B31*3.6/1000000/'E Balans VL '!Z11*100),0,B31*3.6/1000000/'E Balans VL '!Z11*100)</f>
        <v>1.9936727177298288E-2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4662.7011199999997</v>
      </c>
      <c r="C5" s="17">
        <f>IF(ISERROR('Eigen informatie GS &amp; warmtenet'!B61),0,'Eigen informatie GS &amp; warmtenet'!B61)</f>
        <v>0</v>
      </c>
      <c r="D5" s="30">
        <f>SUM(D6:D15)</f>
        <v>1303.176356055</v>
      </c>
      <c r="E5" s="17">
        <f>SUM(E6:E15)</f>
        <v>16.145634836958038</v>
      </c>
      <c r="F5" s="17">
        <f>SUM(F6:F15)</f>
        <v>854.09966765747936</v>
      </c>
      <c r="G5" s="18"/>
      <c r="H5" s="17"/>
      <c r="I5" s="17"/>
      <c r="J5" s="17">
        <f>SUM(J6:J15)</f>
        <v>0.93668253221719922</v>
      </c>
      <c r="K5" s="17"/>
      <c r="L5" s="17"/>
      <c r="M5" s="17"/>
      <c r="N5" s="17">
        <f>SUM(N6:N15)</f>
        <v>267.12057338775139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937.79839900000002</v>
      </c>
      <c r="C8" s="33"/>
      <c r="D8" s="37">
        <f>IF( ISERROR(IND_metaal_Gas_kWH/1000),0,IND_metaal_Gas_kWH/1000)*0.903</f>
        <v>145.19284174500001</v>
      </c>
      <c r="E8" s="33">
        <f>C30*'E Balans VL '!I18/100/3.6*1000000</f>
        <v>4.7285431541904028</v>
      </c>
      <c r="F8" s="33">
        <f>C30*'E Balans VL '!L18/100/3.6*1000000+C30*'E Balans VL '!N18/100/3.6*1000000</f>
        <v>64.07230296478177</v>
      </c>
      <c r="G8" s="34"/>
      <c r="H8" s="33"/>
      <c r="I8" s="33"/>
      <c r="J8" s="40">
        <f>C30*'E Balans VL '!D18/100/3.6*1000000+C30*'E Balans VL '!E18/100/3.6*1000000</f>
        <v>0.83143827594747155</v>
      </c>
      <c r="K8" s="33"/>
      <c r="L8" s="33"/>
      <c r="M8" s="33"/>
      <c r="N8" s="33">
        <f>C30*'E Balans VL '!Y18/100/3.6*1000000</f>
        <v>12.463346288100194</v>
      </c>
      <c r="O8" s="33"/>
      <c r="P8" s="33"/>
      <c r="R8" s="32"/>
    </row>
    <row r="9" spans="1:18">
      <c r="A9" s="6" t="s">
        <v>32</v>
      </c>
      <c r="B9" s="37">
        <f t="shared" si="0"/>
        <v>1186.176989</v>
      </c>
      <c r="C9" s="33"/>
      <c r="D9" s="37">
        <f>IF( ISERROR(IND_andere_gas_kWh/1000),0,IND_andere_gas_kWh/1000)*0.903</f>
        <v>796.94374262999997</v>
      </c>
      <c r="E9" s="33">
        <f>C31*'E Balans VL '!I19/100/3.6*1000000</f>
        <v>3.7391102143185138</v>
      </c>
      <c r="F9" s="33">
        <f>C31*'E Balans VL '!L19/100/3.6*1000000+C31*'E Balans VL '!N19/100/3.6*1000000</f>
        <v>726.12766359014392</v>
      </c>
      <c r="G9" s="34"/>
      <c r="H9" s="33"/>
      <c r="I9" s="33"/>
      <c r="J9" s="40">
        <f>C31*'E Balans VL '!D19/100/3.6*1000000+C31*'E Balans VL '!E19/100/3.6*1000000</f>
        <v>0</v>
      </c>
      <c r="K9" s="33"/>
      <c r="L9" s="33"/>
      <c r="M9" s="33"/>
      <c r="N9" s="33">
        <f>C31*'E Balans VL '!Y19/100/3.6*1000000</f>
        <v>49.738011764633498</v>
      </c>
      <c r="O9" s="33"/>
      <c r="P9" s="33"/>
      <c r="R9" s="32"/>
    </row>
    <row r="10" spans="1:18">
      <c r="A10" s="6" t="s">
        <v>40</v>
      </c>
      <c r="B10" s="37">
        <f t="shared" si="0"/>
        <v>1534.4487350000002</v>
      </c>
      <c r="C10" s="33"/>
      <c r="D10" s="37">
        <f>IF( ISERROR(IND_voed_gas_kWh/1000),0,IND_voed_gas_kWh/1000)*0.903</f>
        <v>245.793853074</v>
      </c>
      <c r="E10" s="33">
        <f>C32*'E Balans VL '!I20/100/3.6*1000000</f>
        <v>2.4454803440882453</v>
      </c>
      <c r="F10" s="33">
        <f>C32*'E Balans VL '!L20/100/3.6*1000000+C32*'E Balans VL '!N20/100/3.6*1000000</f>
        <v>24.931064345234038</v>
      </c>
      <c r="G10" s="34"/>
      <c r="H10" s="33"/>
      <c r="I10" s="33"/>
      <c r="J10" s="40">
        <f>C32*'E Balans VL '!D20/100/3.6*1000000+C32*'E Balans VL '!E20/100/3.6*1000000</f>
        <v>0</v>
      </c>
      <c r="K10" s="33"/>
      <c r="L10" s="33"/>
      <c r="M10" s="33"/>
      <c r="N10" s="33">
        <f>C32*'E Balans VL '!Y20/100/3.6*1000000</f>
        <v>48.465554658976878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912.148416</v>
      </c>
      <c r="C12" s="33"/>
      <c r="D12" s="37">
        <f>IF( ISERROR(IND_min_gas_kWh/1000),0,IND_min_gas_kWh/1000)*0.903</f>
        <v>45.946976964000008</v>
      </c>
      <c r="E12" s="33">
        <f>C34*'E Balans VL '!I22/100/3.6*1000000</f>
        <v>3.9471131914541231</v>
      </c>
      <c r="F12" s="33">
        <f>C34*'E Balans VL '!L22/100/3.6*1000000+C34*'E Balans VL '!N22/100/3.6*1000000</f>
        <v>34.826952505653558</v>
      </c>
      <c r="G12" s="34"/>
      <c r="H12" s="33"/>
      <c r="I12" s="33"/>
      <c r="J12" s="40">
        <f>C34*'E Balans VL '!D22/100/3.6*1000000+C34*'E Balans VL '!E22/100/3.6*1000000</f>
        <v>0</v>
      </c>
      <c r="K12" s="33"/>
      <c r="L12" s="33"/>
      <c r="M12" s="33"/>
      <c r="N12" s="33">
        <f>C34*'E Balans VL '!Y22/100/3.6*1000000</f>
        <v>155.59197232579697</v>
      </c>
      <c r="O12" s="33"/>
      <c r="P12" s="33"/>
      <c r="R12" s="32"/>
    </row>
    <row r="13" spans="1:18">
      <c r="A13" s="6" t="s">
        <v>38</v>
      </c>
      <c r="B13" s="37">
        <f t="shared" si="0"/>
        <v>41.132832000000001</v>
      </c>
      <c r="C13" s="33"/>
      <c r="D13" s="37">
        <f>IF( ISERROR(IND_papier_gas_kWh/1000),0,IND_papier_gas_kWh/1000)*0.903</f>
        <v>0</v>
      </c>
      <c r="E13" s="33">
        <f>C35*'E Balans VL '!I23/100/3.6*1000000</f>
        <v>0</v>
      </c>
      <c r="F13" s="33">
        <f>C35*'E Balans VL '!L23/100/3.6*1000000+C35*'E Balans VL '!N23/100/3.6*1000000</f>
        <v>1.7820655449671133E-3</v>
      </c>
      <c r="G13" s="34"/>
      <c r="H13" s="33"/>
      <c r="I13" s="33"/>
      <c r="J13" s="40">
        <f>C35*'E Balans VL '!D23/100/3.6*1000000+C35*'E Balans VL '!E23/100/3.6*1000000</f>
        <v>1.1334056948545039E-3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50.995749000000004</v>
      </c>
      <c r="C15" s="33"/>
      <c r="D15" s="37">
        <f>IF( ISERROR(IND_rest_gas_kWh/1000),0,IND_rest_gas_kWh/1000)*0.903</f>
        <v>69.298941642000003</v>
      </c>
      <c r="E15" s="33">
        <f>C37*'E Balans VL '!I15/100/3.6*1000000</f>
        <v>1.2853879329067546</v>
      </c>
      <c r="F15" s="33">
        <f>C37*'E Balans VL '!L15/100/3.6*1000000+C37*'E Balans VL '!N15/100/3.6*1000000</f>
        <v>4.1399021861210779</v>
      </c>
      <c r="G15" s="34"/>
      <c r="H15" s="33"/>
      <c r="I15" s="33"/>
      <c r="J15" s="40">
        <f>C37*'E Balans VL '!D15/100/3.6*1000000+C37*'E Balans VL '!E15/100/3.6*1000000</f>
        <v>0.10411085057487311</v>
      </c>
      <c r="K15" s="33"/>
      <c r="L15" s="33"/>
      <c r="M15" s="33"/>
      <c r="N15" s="33">
        <f>C37*'E Balans VL '!Y15/100/3.6*1000000</f>
        <v>0.86168835024385337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4662.7011199999997</v>
      </c>
      <c r="C18" s="21">
        <f>C5+C16</f>
        <v>0</v>
      </c>
      <c r="D18" s="21">
        <f>MAX((D5+D16),0)</f>
        <v>1303.176356055</v>
      </c>
      <c r="E18" s="21">
        <f>MAX((E5+E16),0)</f>
        <v>16.145634836958038</v>
      </c>
      <c r="F18" s="21">
        <f>MAX((F5+F16),0)</f>
        <v>854.09966765747936</v>
      </c>
      <c r="G18" s="21"/>
      <c r="H18" s="21"/>
      <c r="I18" s="21"/>
      <c r="J18" s="21">
        <f>MAX((J5+J16),0)</f>
        <v>0.93668253221719922</v>
      </c>
      <c r="K18" s="21"/>
      <c r="L18" s="21">
        <f>MAX((L5+L16),0)</f>
        <v>0</v>
      </c>
      <c r="M18" s="21"/>
      <c r="N18" s="21">
        <f>MAX((N5+N16),0)</f>
        <v>267.12057338775139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0.17860056813910122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832.76106909482348</v>
      </c>
      <c r="C22" s="23">
        <f ca="1">C18*C20</f>
        <v>0</v>
      </c>
      <c r="D22" s="23">
        <f>D18*D20</f>
        <v>263.24162392311001</v>
      </c>
      <c r="E22" s="23">
        <f>E18*E20</f>
        <v>3.665059107989475</v>
      </c>
      <c r="F22" s="23">
        <f>F18*F20</f>
        <v>228.044611264547</v>
      </c>
      <c r="G22" s="23"/>
      <c r="H22" s="23"/>
      <c r="I22" s="23"/>
      <c r="J22" s="23">
        <f>J18*J20</f>
        <v>0.33158561640488848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937.79839900000002</v>
      </c>
      <c r="C30" s="39">
        <f>IF(ISERROR(B30*3.6/1000000/'E Balans VL '!Z18*100),0,B30*3.6/1000000/'E Balans VL '!Z18*100)</f>
        <v>4.655019896439952E-2</v>
      </c>
      <c r="D30" s="237" t="s">
        <v>702</v>
      </c>
    </row>
    <row r="31" spans="1:18">
      <c r="A31" s="6" t="s">
        <v>32</v>
      </c>
      <c r="B31" s="37">
        <f>IF( ISERROR(IND_ander_ele_kWh/1000),0,IND_ander_ele_kWh/1000)</f>
        <v>1186.176989</v>
      </c>
      <c r="C31" s="39">
        <f>IF(ISERROR(B31*3.6/1000000/'E Balans VL '!Z19*100),0,B31*3.6/1000000/'E Balans VL '!Z19*100)</f>
        <v>4.0027395031760525E-2</v>
      </c>
      <c r="D31" s="237" t="s">
        <v>702</v>
      </c>
    </row>
    <row r="32" spans="1:18">
      <c r="A32" s="171" t="s">
        <v>40</v>
      </c>
      <c r="B32" s="37">
        <f>IF( ISERROR(IND_voed_ele_kWh/1000),0,IND_voed_ele_kWh/1000)</f>
        <v>1534.4487350000002</v>
      </c>
      <c r="C32" s="39">
        <f>IF(ISERROR(B32*3.6/1000000/'E Balans VL '!Z20*100),0,B32*3.6/1000000/'E Balans VL '!Z20*100)</f>
        <v>3.6035474498389085E-2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912.148416</v>
      </c>
      <c r="C34" s="39">
        <f>IF(ISERROR(B34*3.6/1000000/'E Balans VL '!Z22*100),0,B34*3.6/1000000/'E Balans VL '!Z22*100)</f>
        <v>0.12940718768715925</v>
      </c>
      <c r="D34" s="237" t="s">
        <v>702</v>
      </c>
    </row>
    <row r="35" spans="1:5">
      <c r="A35" s="171" t="s">
        <v>38</v>
      </c>
      <c r="B35" s="37">
        <f>IF( ISERROR(IND_papier_ele_kWh/1000),0,IND_papier_ele_kWh/1000)</f>
        <v>41.132832000000001</v>
      </c>
      <c r="C35" s="39">
        <f>IF(ISERROR(B35*3.6/1000000/'E Balans VL '!Z22*100),0,B35*3.6/1000000/'E Balans VL '!Z22*100)</f>
        <v>5.835546077107249E-3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50.995749000000004</v>
      </c>
      <c r="C37" s="39">
        <f>IF(ISERROR(B37*3.6/1000000/'E Balans VL '!Z15*100),0,B37*3.6/1000000/'E Balans VL '!Z15*100)</f>
        <v>1.9110805859051178E-4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2532.983174</v>
      </c>
      <c r="C5" s="17">
        <f>'Eigen informatie GS &amp; warmtenet'!B62</f>
        <v>0</v>
      </c>
      <c r="D5" s="30">
        <f>IF(ISERROR(SUM(LB_lb_gas_kWh,LB_rest_gas_kWh)/1000),0,SUM(LB_lb_gas_kWh,LB_rest_gas_kWh)/1000)*0.903</f>
        <v>818.73594366899999</v>
      </c>
      <c r="E5" s="17">
        <f>B17*'E Balans VL '!I25/3.6*1000000/100</f>
        <v>94.462690401290857</v>
      </c>
      <c r="F5" s="17">
        <f>B17*('E Balans VL '!L25/3.6*1000000+'E Balans VL '!N25/3.6*1000000)/100</f>
        <v>8217.9761996823399</v>
      </c>
      <c r="G5" s="18"/>
      <c r="H5" s="17"/>
      <c r="I5" s="17"/>
      <c r="J5" s="17">
        <f>('E Balans VL '!D25+'E Balans VL '!E25)/3.6*1000000*landbouw!B17/100</f>
        <v>664.92058827770097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2532.983174</v>
      </c>
      <c r="C8" s="21">
        <f>C5+C6</f>
        <v>0</v>
      </c>
      <c r="D8" s="21">
        <f>MAX((D5+D6),0)</f>
        <v>818.73594366899999</v>
      </c>
      <c r="E8" s="21">
        <f>MAX((E5+E6),0)</f>
        <v>94.462690401290857</v>
      </c>
      <c r="F8" s="21">
        <f>MAX((F5+F6),0)</f>
        <v>8217.9761996823399</v>
      </c>
      <c r="G8" s="21"/>
      <c r="H8" s="21"/>
      <c r="I8" s="21"/>
      <c r="J8" s="21">
        <f>MAX((J5+J6),0)</f>
        <v>664.92058827770097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0.17860056813910122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452.39223396318386</v>
      </c>
      <c r="C12" s="23">
        <f ca="1">C8*C10</f>
        <v>0</v>
      </c>
      <c r="D12" s="23">
        <f>D8*D10</f>
        <v>165.38466062113801</v>
      </c>
      <c r="E12" s="23">
        <f>E8*E10</f>
        <v>21.443030721093024</v>
      </c>
      <c r="F12" s="23">
        <f>F8*F10</f>
        <v>2194.1996453151851</v>
      </c>
      <c r="G12" s="23"/>
      <c r="H12" s="23"/>
      <c r="I12" s="23"/>
      <c r="J12" s="23">
        <f>J8*J10</f>
        <v>235.38188825030613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0.34789862908281688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178.91155228369306</v>
      </c>
      <c r="C26" s="247">
        <f>B26*'GWP N2O_CH4'!B5</f>
        <v>3757.1425979575542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38.209042405111298</v>
      </c>
      <c r="C27" s="247">
        <f>B27*'GWP N2O_CH4'!B5</f>
        <v>802.38989050733721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2.8264556979858737</v>
      </c>
      <c r="C28" s="247">
        <f>B28*'GWP N2O_CH4'!B4</f>
        <v>876.20126637562089</v>
      </c>
      <c r="D28" s="50"/>
    </row>
    <row r="29" spans="1:4">
      <c r="A29" s="41" t="s">
        <v>276</v>
      </c>
      <c r="B29" s="247">
        <f>B34*'ha_N2O bodem landbouw'!B4</f>
        <v>15.328502662905148</v>
      </c>
      <c r="C29" s="247">
        <f>B29*'GWP N2O_CH4'!B4</f>
        <v>4751.835825500596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3.4934095321960319E-3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2.4021155128469784E-4</v>
      </c>
      <c r="C5" s="440" t="s">
        <v>210</v>
      </c>
      <c r="D5" s="425">
        <f>SUM(D6:D11)</f>
        <v>1.0215514654870698E-3</v>
      </c>
      <c r="E5" s="425">
        <f>SUM(E6:E11)</f>
        <v>5.4503739746198396E-4</v>
      </c>
      <c r="F5" s="438" t="s">
        <v>210</v>
      </c>
      <c r="G5" s="425">
        <f>SUM(G6:G11)</f>
        <v>0.25297022659020468</v>
      </c>
      <c r="H5" s="425">
        <f>SUM(H6:H11)</f>
        <v>6.502184078897516E-2</v>
      </c>
      <c r="I5" s="440" t="s">
        <v>210</v>
      </c>
      <c r="J5" s="440" t="s">
        <v>210</v>
      </c>
      <c r="K5" s="440" t="s">
        <v>210</v>
      </c>
      <c r="L5" s="440" t="s">
        <v>210</v>
      </c>
      <c r="M5" s="425">
        <f>SUM(M6:M11)</f>
        <v>1.8762669776189768E-2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1.7887355915022766E-4</v>
      </c>
      <c r="C6" s="426"/>
      <c r="D6" s="893">
        <f>vkm_GW_PW*SUMIFS(TableVerdeelsleutelVkm[CNG],TableVerdeelsleutelVkm[Voertuigtype],"Lichte voertuigen")*SUMIFS(TableECFTransport[EnergieConsumptieFactor (PJ per km)],TableECFTransport[Index],CONCATENATE($A6,"_CNG_CNG"))</f>
        <v>6.460367088291075E-4</v>
      </c>
      <c r="E6" s="893">
        <f>vkm_GW_PW*SUMIFS(TableVerdeelsleutelVkm[LPG],TableVerdeelsleutelVkm[Voertuigtype],"Lichte voertuigen")*SUMIFS(TableECFTransport[EnergieConsumptieFactor (PJ per km)],TableECFTransport[Index],CONCATENATE($A6,"_LPG_LPG"))</f>
        <v>3.5110436834025677E-4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0.10926151615328802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4.1351096798885927E-2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9.0261897142565363E-3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7.7638780498978474E-2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8.1734560420953841E-7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4.3711849507377101E-3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6.13379921344702E-5</v>
      </c>
      <c r="C8" s="426"/>
      <c r="D8" s="428">
        <f>vkm_NGW_PW*SUMIFS(TableVerdeelsleutelVkm[CNG],TableVerdeelsleutelVkm[Voertuigtype],"Lichte voertuigen")*SUMIFS(TableECFTransport[EnergieConsumptieFactor (PJ per km)],TableECFTransport[Index],CONCATENATE($A8,"_CNG_CNG"))</f>
        <v>3.7551475665796238E-4</v>
      </c>
      <c r="E8" s="428">
        <f>vkm_NGW_PW*SUMIFS(TableVerdeelsleutelVkm[LPG],TableVerdeelsleutelVkm[Voertuigtype],"Lichte voertuigen")*SUMIFS(TableECFTransport[EnergieConsumptieFactor (PJ per km)],TableECFTransport[Index],CONCATENATE($A8,"_LPG_LPG"))</f>
        <v>1.9393302912172722E-4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5.6163053098238373E-2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2.3669775160507101E-2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4.8075191470812982E-3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9.9068768396998307E-3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1.5148397791919362E-7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5.5777596411422307E-4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66.725430912416073</v>
      </c>
      <c r="C14" s="21"/>
      <c r="D14" s="21">
        <f t="shared" ref="D14:M14" si="0">((D5)*10^9/3600)+D12</f>
        <v>283.76429596863051</v>
      </c>
      <c r="E14" s="21">
        <f t="shared" si="0"/>
        <v>151.39927707277332</v>
      </c>
      <c r="F14" s="21"/>
      <c r="G14" s="21">
        <f t="shared" si="0"/>
        <v>70269.50738616797</v>
      </c>
      <c r="H14" s="21">
        <f t="shared" si="0"/>
        <v>18061.622441381987</v>
      </c>
      <c r="I14" s="21"/>
      <c r="J14" s="21"/>
      <c r="K14" s="21"/>
      <c r="L14" s="21"/>
      <c r="M14" s="21">
        <f t="shared" si="0"/>
        <v>5211.8527156082682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0.17860056813910122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11.917199870283858</v>
      </c>
      <c r="C18" s="23"/>
      <c r="D18" s="23">
        <f t="shared" ref="D18:M18" si="1">D14*D16</f>
        <v>57.320387785663364</v>
      </c>
      <c r="E18" s="23">
        <f t="shared" si="1"/>
        <v>34.367635895519541</v>
      </c>
      <c r="F18" s="23"/>
      <c r="G18" s="23">
        <f t="shared" si="1"/>
        <v>18761.95847210685</v>
      </c>
      <c r="H18" s="23">
        <f t="shared" si="1"/>
        <v>4497.3439879041152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3.5706148602454319E-3</v>
      </c>
      <c r="H50" s="321">
        <f t="shared" si="2"/>
        <v>0</v>
      </c>
      <c r="I50" s="321">
        <f t="shared" si="2"/>
        <v>0</v>
      </c>
      <c r="J50" s="321">
        <f t="shared" si="2"/>
        <v>0</v>
      </c>
      <c r="K50" s="321">
        <f t="shared" si="2"/>
        <v>0</v>
      </c>
      <c r="L50" s="321">
        <f t="shared" si="2"/>
        <v>0</v>
      </c>
      <c r="M50" s="321">
        <f t="shared" si="2"/>
        <v>1.9376189906931919E-4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3.5706148602454319E-3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1.9376189906931919E-4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991.83746117928661</v>
      </c>
      <c r="H54" s="21">
        <f t="shared" si="3"/>
        <v>0</v>
      </c>
      <c r="I54" s="21">
        <f t="shared" si="3"/>
        <v>0</v>
      </c>
      <c r="J54" s="21">
        <f t="shared" si="3"/>
        <v>0</v>
      </c>
      <c r="K54" s="21">
        <f t="shared" si="3"/>
        <v>0</v>
      </c>
      <c r="L54" s="21">
        <f t="shared" si="3"/>
        <v>0</v>
      </c>
      <c r="M54" s="21">
        <f t="shared" si="3"/>
        <v>53.822749741477551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0.17860056813910122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264.82060213486955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14013.637903000001</v>
      </c>
      <c r="D10" s="689">
        <f ca="1">tertiair!C16</f>
        <v>0</v>
      </c>
      <c r="E10" s="689">
        <f ca="1">tertiair!D16</f>
        <v>12999.020682123</v>
      </c>
      <c r="F10" s="689">
        <f>tertiair!E16</f>
        <v>34.608707167575417</v>
      </c>
      <c r="G10" s="689">
        <f ca="1">tertiair!F16</f>
        <v>1699.1758657715632</v>
      </c>
      <c r="H10" s="689">
        <f>tertiair!G16</f>
        <v>0</v>
      </c>
      <c r="I10" s="689">
        <f>tertiair!H16</f>
        <v>0</v>
      </c>
      <c r="J10" s="689">
        <f>tertiair!I16</f>
        <v>0</v>
      </c>
      <c r="K10" s="689">
        <f>tertiair!J16</f>
        <v>9.1217037280837653E-3</v>
      </c>
      <c r="L10" s="689">
        <f>tertiair!K16</f>
        <v>0</v>
      </c>
      <c r="M10" s="689">
        <f ca="1">tertiair!L16</f>
        <v>0</v>
      </c>
      <c r="N10" s="689">
        <f>tertiair!M16</f>
        <v>0</v>
      </c>
      <c r="O10" s="689">
        <f ca="1">tertiair!N16</f>
        <v>343.73620052995028</v>
      </c>
      <c r="P10" s="689">
        <f>tertiair!O16</f>
        <v>14.691782297523464</v>
      </c>
      <c r="Q10" s="690">
        <f>tertiair!P16</f>
        <v>105.07827661299004</v>
      </c>
      <c r="R10" s="692">
        <f ca="1">SUM(C10:Q10)</f>
        <v>29209.958539206331</v>
      </c>
      <c r="S10" s="67"/>
    </row>
    <row r="11" spans="1:19" s="451" customFormat="1">
      <c r="A11" s="811" t="s">
        <v>224</v>
      </c>
      <c r="B11" s="816"/>
      <c r="C11" s="689">
        <f>huishoudens!B8</f>
        <v>22780.587690523073</v>
      </c>
      <c r="D11" s="689">
        <f>huishoudens!C8</f>
        <v>0</v>
      </c>
      <c r="E11" s="689">
        <f>huishoudens!D8</f>
        <v>35478.85062613491</v>
      </c>
      <c r="F11" s="689">
        <f>huishoudens!E8</f>
        <v>1817.2482758623239</v>
      </c>
      <c r="G11" s="689">
        <f>huishoudens!F8</f>
        <v>32111.918402007152</v>
      </c>
      <c r="H11" s="689">
        <f>huishoudens!G8</f>
        <v>0</v>
      </c>
      <c r="I11" s="689">
        <f>huishoudens!H8</f>
        <v>0</v>
      </c>
      <c r="J11" s="689">
        <f>huishoudens!I8</f>
        <v>0</v>
      </c>
      <c r="K11" s="689">
        <f>huishoudens!J8</f>
        <v>0</v>
      </c>
      <c r="L11" s="689">
        <f>huishoudens!K8</f>
        <v>0</v>
      </c>
      <c r="M11" s="689">
        <f>huishoudens!L8</f>
        <v>0</v>
      </c>
      <c r="N11" s="689">
        <f>huishoudens!M8</f>
        <v>0</v>
      </c>
      <c r="O11" s="689">
        <f>huishoudens!N8</f>
        <v>13138.047616260363</v>
      </c>
      <c r="P11" s="689">
        <f>huishoudens!O8</f>
        <v>390.83976921924528</v>
      </c>
      <c r="Q11" s="690">
        <f>huishoudens!P8</f>
        <v>642.57151776878641</v>
      </c>
      <c r="R11" s="692">
        <f>SUM(C11:Q11)</f>
        <v>106360.06389777585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4662.7011199999997</v>
      </c>
      <c r="D13" s="689">
        <f>industrie!C18</f>
        <v>0</v>
      </c>
      <c r="E13" s="689">
        <f>industrie!D18</f>
        <v>1303.176356055</v>
      </c>
      <c r="F13" s="689">
        <f>industrie!E18</f>
        <v>16.145634836958038</v>
      </c>
      <c r="G13" s="689">
        <f>industrie!F18</f>
        <v>854.09966765747936</v>
      </c>
      <c r="H13" s="689">
        <f>industrie!G18</f>
        <v>0</v>
      </c>
      <c r="I13" s="689">
        <f>industrie!H18</f>
        <v>0</v>
      </c>
      <c r="J13" s="689">
        <f>industrie!I18</f>
        <v>0</v>
      </c>
      <c r="K13" s="689">
        <f>industrie!J18</f>
        <v>0.93668253221719922</v>
      </c>
      <c r="L13" s="689">
        <f>industrie!K18</f>
        <v>0</v>
      </c>
      <c r="M13" s="689">
        <f>industrie!L18</f>
        <v>0</v>
      </c>
      <c r="N13" s="689">
        <f>industrie!M18</f>
        <v>0</v>
      </c>
      <c r="O13" s="689">
        <f>industrie!N18</f>
        <v>267.12057338775139</v>
      </c>
      <c r="P13" s="689">
        <f>industrie!O18</f>
        <v>0</v>
      </c>
      <c r="Q13" s="690">
        <f>industrie!P18</f>
        <v>0</v>
      </c>
      <c r="R13" s="692">
        <f>SUM(C13:Q13)</f>
        <v>7104.1800344694057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41456.926713523069</v>
      </c>
      <c r="D16" s="725">
        <f t="shared" ref="D16:R16" ca="1" si="0">SUM(D9:D15)</f>
        <v>0</v>
      </c>
      <c r="E16" s="725">
        <f t="shared" ca="1" si="0"/>
        <v>49781.047664312915</v>
      </c>
      <c r="F16" s="725">
        <f t="shared" si="0"/>
        <v>1868.0026178668572</v>
      </c>
      <c r="G16" s="725">
        <f t="shared" ca="1" si="0"/>
        <v>34665.193935436197</v>
      </c>
      <c r="H16" s="725">
        <f t="shared" si="0"/>
        <v>0</v>
      </c>
      <c r="I16" s="725">
        <f t="shared" si="0"/>
        <v>0</v>
      </c>
      <c r="J16" s="725">
        <f t="shared" si="0"/>
        <v>0</v>
      </c>
      <c r="K16" s="725">
        <f t="shared" si="0"/>
        <v>0.94580423594528296</v>
      </c>
      <c r="L16" s="725">
        <f t="shared" si="0"/>
        <v>0</v>
      </c>
      <c r="M16" s="725">
        <f t="shared" ca="1" si="0"/>
        <v>0</v>
      </c>
      <c r="N16" s="725">
        <f t="shared" si="0"/>
        <v>0</v>
      </c>
      <c r="O16" s="725">
        <f t="shared" ca="1" si="0"/>
        <v>13748.904390178064</v>
      </c>
      <c r="P16" s="725">
        <f t="shared" si="0"/>
        <v>405.53155151676873</v>
      </c>
      <c r="Q16" s="725">
        <f t="shared" si="0"/>
        <v>747.64979438177647</v>
      </c>
      <c r="R16" s="725">
        <f t="shared" ca="1" si="0"/>
        <v>142674.2024714516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991.83746117928661</v>
      </c>
      <c r="I19" s="689">
        <f>transport!H54</f>
        <v>0</v>
      </c>
      <c r="J19" s="689">
        <f>transport!I54</f>
        <v>0</v>
      </c>
      <c r="K19" s="689">
        <f>transport!J54</f>
        <v>0</v>
      </c>
      <c r="L19" s="689">
        <f>transport!K54</f>
        <v>0</v>
      </c>
      <c r="M19" s="689">
        <f>transport!L54</f>
        <v>0</v>
      </c>
      <c r="N19" s="689">
        <f>transport!M54</f>
        <v>53.822749741477551</v>
      </c>
      <c r="O19" s="689">
        <f>transport!N54</f>
        <v>0</v>
      </c>
      <c r="P19" s="689">
        <f>transport!O54</f>
        <v>0</v>
      </c>
      <c r="Q19" s="690">
        <f>transport!P54</f>
        <v>0</v>
      </c>
      <c r="R19" s="692">
        <f>SUM(C19:Q19)</f>
        <v>1045.6602109207643</v>
      </c>
      <c r="S19" s="67"/>
    </row>
    <row r="20" spans="1:19" s="451" customFormat="1">
      <c r="A20" s="811" t="s">
        <v>306</v>
      </c>
      <c r="B20" s="816"/>
      <c r="C20" s="689">
        <f>transport!B14</f>
        <v>66.725430912416073</v>
      </c>
      <c r="D20" s="689">
        <f>transport!C14</f>
        <v>0</v>
      </c>
      <c r="E20" s="689">
        <f>transport!D14</f>
        <v>283.76429596863051</v>
      </c>
      <c r="F20" s="689">
        <f>transport!E14</f>
        <v>151.39927707277332</v>
      </c>
      <c r="G20" s="689">
        <f>transport!F14</f>
        <v>0</v>
      </c>
      <c r="H20" s="689">
        <f>transport!G14</f>
        <v>70269.50738616797</v>
      </c>
      <c r="I20" s="689">
        <f>transport!H14</f>
        <v>18061.622441381987</v>
      </c>
      <c r="J20" s="689">
        <f>transport!I14</f>
        <v>0</v>
      </c>
      <c r="K20" s="689">
        <f>transport!J14</f>
        <v>0</v>
      </c>
      <c r="L20" s="689">
        <f>transport!K14</f>
        <v>0</v>
      </c>
      <c r="M20" s="689">
        <f>transport!L14</f>
        <v>0</v>
      </c>
      <c r="N20" s="689">
        <f>transport!M14</f>
        <v>5211.8527156082682</v>
      </c>
      <c r="O20" s="689">
        <f>transport!N14</f>
        <v>0</v>
      </c>
      <c r="P20" s="689">
        <f>transport!O14</f>
        <v>0</v>
      </c>
      <c r="Q20" s="690">
        <f>transport!P14</f>
        <v>0</v>
      </c>
      <c r="R20" s="692">
        <f>SUM(C20:Q20)</f>
        <v>94044.871547112052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66.725430912416073</v>
      </c>
      <c r="D22" s="814">
        <f t="shared" ref="D22:R22" si="1">SUM(D18:D21)</f>
        <v>0</v>
      </c>
      <c r="E22" s="814">
        <f t="shared" si="1"/>
        <v>283.76429596863051</v>
      </c>
      <c r="F22" s="814">
        <f t="shared" si="1"/>
        <v>151.39927707277332</v>
      </c>
      <c r="G22" s="814">
        <f t="shared" si="1"/>
        <v>0</v>
      </c>
      <c r="H22" s="814">
        <f t="shared" si="1"/>
        <v>71261.344847347253</v>
      </c>
      <c r="I22" s="814">
        <f t="shared" si="1"/>
        <v>18061.622441381987</v>
      </c>
      <c r="J22" s="814">
        <f t="shared" si="1"/>
        <v>0</v>
      </c>
      <c r="K22" s="814">
        <f t="shared" si="1"/>
        <v>0</v>
      </c>
      <c r="L22" s="814">
        <f t="shared" si="1"/>
        <v>0</v>
      </c>
      <c r="M22" s="814">
        <f t="shared" si="1"/>
        <v>0</v>
      </c>
      <c r="N22" s="814">
        <f t="shared" si="1"/>
        <v>5265.6754653497455</v>
      </c>
      <c r="O22" s="814">
        <f t="shared" si="1"/>
        <v>0</v>
      </c>
      <c r="P22" s="814">
        <f t="shared" si="1"/>
        <v>0</v>
      </c>
      <c r="Q22" s="814">
        <f t="shared" si="1"/>
        <v>0</v>
      </c>
      <c r="R22" s="814">
        <f t="shared" si="1"/>
        <v>95090.531758032812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2532.983174</v>
      </c>
      <c r="D24" s="689">
        <f>+landbouw!C8</f>
        <v>0</v>
      </c>
      <c r="E24" s="689">
        <f>+landbouw!D8</f>
        <v>818.73594366899999</v>
      </c>
      <c r="F24" s="689">
        <f>+landbouw!E8</f>
        <v>94.462690401290857</v>
      </c>
      <c r="G24" s="689">
        <f>+landbouw!F8</f>
        <v>8217.9761996823399</v>
      </c>
      <c r="H24" s="689">
        <f>+landbouw!G8</f>
        <v>0</v>
      </c>
      <c r="I24" s="689">
        <f>+landbouw!H8</f>
        <v>0</v>
      </c>
      <c r="J24" s="689">
        <f>+landbouw!I8</f>
        <v>0</v>
      </c>
      <c r="K24" s="689">
        <f>+landbouw!J8</f>
        <v>664.92058827770097</v>
      </c>
      <c r="L24" s="689">
        <f>+landbouw!K8</f>
        <v>0</v>
      </c>
      <c r="M24" s="689">
        <f>+landbouw!L8</f>
        <v>0</v>
      </c>
      <c r="N24" s="689">
        <f>+landbouw!M8</f>
        <v>0</v>
      </c>
      <c r="O24" s="689">
        <f>+landbouw!N8</f>
        <v>0</v>
      </c>
      <c r="P24" s="689">
        <f>+landbouw!O8</f>
        <v>0</v>
      </c>
      <c r="Q24" s="690">
        <f>+landbouw!P8</f>
        <v>0</v>
      </c>
      <c r="R24" s="692">
        <f>SUM(C24:Q24)</f>
        <v>12329.078596030331</v>
      </c>
      <c r="S24" s="67"/>
    </row>
    <row r="25" spans="1:19" s="451" customFormat="1" ht="15" thickBot="1">
      <c r="A25" s="833" t="s">
        <v>714</v>
      </c>
      <c r="B25" s="947"/>
      <c r="C25" s="948">
        <f>IF(Onbekend_ele_kWh="---",0,Onbekend_ele_kWh)/1000+IF(REST_rest_ele_kWh="---",0,REST_rest_ele_kWh)/1000</f>
        <v>450.82149699999997</v>
      </c>
      <c r="D25" s="948"/>
      <c r="E25" s="948">
        <f>IF(onbekend_gas_kWh="---",0,onbekend_gas_kWh)/1000+IF(REST_rest_gas_kWh="---",0,REST_rest_gas_kWh)/1000</f>
        <v>893.91012599999999</v>
      </c>
      <c r="F25" s="948"/>
      <c r="G25" s="948"/>
      <c r="H25" s="948"/>
      <c r="I25" s="948"/>
      <c r="J25" s="948"/>
      <c r="K25" s="948"/>
      <c r="L25" s="948"/>
      <c r="M25" s="948"/>
      <c r="N25" s="948"/>
      <c r="O25" s="948"/>
      <c r="P25" s="948"/>
      <c r="Q25" s="949"/>
      <c r="R25" s="692">
        <f>SUM(C25:Q25)</f>
        <v>1344.7316229999999</v>
      </c>
      <c r="S25" s="67"/>
    </row>
    <row r="26" spans="1:19" s="451" customFormat="1" ht="15.75" thickBot="1">
      <c r="A26" s="697" t="s">
        <v>715</v>
      </c>
      <c r="B26" s="819"/>
      <c r="C26" s="814">
        <f>SUM(C24:C25)</f>
        <v>2983.8046709999999</v>
      </c>
      <c r="D26" s="814">
        <f t="shared" ref="D26:R26" si="2">SUM(D24:D25)</f>
        <v>0</v>
      </c>
      <c r="E26" s="814">
        <f t="shared" si="2"/>
        <v>1712.6460696690001</v>
      </c>
      <c r="F26" s="814">
        <f t="shared" si="2"/>
        <v>94.462690401290857</v>
      </c>
      <c r="G26" s="814">
        <f t="shared" si="2"/>
        <v>8217.9761996823399</v>
      </c>
      <c r="H26" s="814">
        <f t="shared" si="2"/>
        <v>0</v>
      </c>
      <c r="I26" s="814">
        <f t="shared" si="2"/>
        <v>0</v>
      </c>
      <c r="J26" s="814">
        <f t="shared" si="2"/>
        <v>0</v>
      </c>
      <c r="K26" s="814">
        <f t="shared" si="2"/>
        <v>664.92058827770097</v>
      </c>
      <c r="L26" s="814">
        <f t="shared" si="2"/>
        <v>0</v>
      </c>
      <c r="M26" s="814">
        <f t="shared" si="2"/>
        <v>0</v>
      </c>
      <c r="N26" s="814">
        <f t="shared" si="2"/>
        <v>0</v>
      </c>
      <c r="O26" s="814">
        <f t="shared" si="2"/>
        <v>0</v>
      </c>
      <c r="P26" s="814">
        <f t="shared" si="2"/>
        <v>0</v>
      </c>
      <c r="Q26" s="814">
        <f t="shared" si="2"/>
        <v>0</v>
      </c>
      <c r="R26" s="814">
        <f t="shared" si="2"/>
        <v>13673.810219030331</v>
      </c>
      <c r="S26" s="67"/>
    </row>
    <row r="27" spans="1:19" s="451" customFormat="1" ht="17.25" thickTop="1" thickBot="1">
      <c r="A27" s="698" t="s">
        <v>115</v>
      </c>
      <c r="B27" s="806"/>
      <c r="C27" s="699">
        <f ca="1">C22+C16+C26</f>
        <v>44507.456815435486</v>
      </c>
      <c r="D27" s="699">
        <f t="shared" ref="D27:R27" ca="1" si="3">D22+D16+D26</f>
        <v>0</v>
      </c>
      <c r="E27" s="699">
        <f t="shared" ca="1" si="3"/>
        <v>51777.45802995054</v>
      </c>
      <c r="F27" s="699">
        <f t="shared" si="3"/>
        <v>2113.8645853409212</v>
      </c>
      <c r="G27" s="699">
        <f t="shared" ca="1" si="3"/>
        <v>42883.170135118533</v>
      </c>
      <c r="H27" s="699">
        <f t="shared" si="3"/>
        <v>71261.344847347253</v>
      </c>
      <c r="I27" s="699">
        <f t="shared" si="3"/>
        <v>18061.622441381987</v>
      </c>
      <c r="J27" s="699">
        <f t="shared" si="3"/>
        <v>0</v>
      </c>
      <c r="K27" s="699">
        <f t="shared" si="3"/>
        <v>665.86639251364625</v>
      </c>
      <c r="L27" s="699">
        <f t="shared" si="3"/>
        <v>0</v>
      </c>
      <c r="M27" s="699">
        <f t="shared" ca="1" si="3"/>
        <v>0</v>
      </c>
      <c r="N27" s="699">
        <f t="shared" si="3"/>
        <v>5265.6754653497455</v>
      </c>
      <c r="O27" s="699">
        <f t="shared" ca="1" si="3"/>
        <v>13748.904390178064</v>
      </c>
      <c r="P27" s="699">
        <f t="shared" si="3"/>
        <v>405.53155151676873</v>
      </c>
      <c r="Q27" s="699">
        <f t="shared" si="3"/>
        <v>747.64979438177647</v>
      </c>
      <c r="R27" s="699">
        <f t="shared" ca="1" si="3"/>
        <v>251438.54444851473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2502.8436911714434</v>
      </c>
      <c r="D40" s="689">
        <f ca="1">tertiair!C20</f>
        <v>0</v>
      </c>
      <c r="E40" s="689">
        <f ca="1">tertiair!D20</f>
        <v>2625.8021777888462</v>
      </c>
      <c r="F40" s="689">
        <f>tertiair!E20</f>
        <v>7.8561765270396204</v>
      </c>
      <c r="G40" s="689">
        <f ca="1">tertiair!F20</f>
        <v>453.6799561610074</v>
      </c>
      <c r="H40" s="689">
        <f>tertiair!G20</f>
        <v>0</v>
      </c>
      <c r="I40" s="689">
        <f>tertiair!H20</f>
        <v>0</v>
      </c>
      <c r="J40" s="689">
        <f>tertiair!I20</f>
        <v>0</v>
      </c>
      <c r="K40" s="689">
        <f>tertiair!J20</f>
        <v>3.2290831197416526E-3</v>
      </c>
      <c r="L40" s="689">
        <f>tertiair!K20</f>
        <v>0</v>
      </c>
      <c r="M40" s="689">
        <f ca="1">tertiair!L20</f>
        <v>0</v>
      </c>
      <c r="N40" s="689">
        <f>tertiair!M20</f>
        <v>0</v>
      </c>
      <c r="O40" s="689">
        <f ca="1">tertiair!N20</f>
        <v>0</v>
      </c>
      <c r="P40" s="689">
        <f>tertiair!O20</f>
        <v>0</v>
      </c>
      <c r="Q40" s="772">
        <f>tertiair!P20</f>
        <v>0</v>
      </c>
      <c r="R40" s="852">
        <f t="shared" ca="1" si="4"/>
        <v>5590.1852307314566</v>
      </c>
    </row>
    <row r="41" spans="1:18">
      <c r="A41" s="824" t="s">
        <v>224</v>
      </c>
      <c r="B41" s="831"/>
      <c r="C41" s="689">
        <f ca="1">huishoudens!B12</f>
        <v>4068.6259040700365</v>
      </c>
      <c r="D41" s="689">
        <f ca="1">huishoudens!C12</f>
        <v>0</v>
      </c>
      <c r="E41" s="689">
        <f>huishoudens!D12</f>
        <v>7166.7278264792521</v>
      </c>
      <c r="F41" s="689">
        <f>huishoudens!E12</f>
        <v>412.51535862074752</v>
      </c>
      <c r="G41" s="689">
        <f>huishoudens!F12</f>
        <v>8573.8822133359099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20221.751302505945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832.76106909482348</v>
      </c>
      <c r="D43" s="689">
        <f ca="1">industrie!C22</f>
        <v>0</v>
      </c>
      <c r="E43" s="689">
        <f>industrie!D22</f>
        <v>263.24162392311001</v>
      </c>
      <c r="F43" s="689">
        <f>industrie!E22</f>
        <v>3.665059107989475</v>
      </c>
      <c r="G43" s="689">
        <f>industrie!F22</f>
        <v>228.044611264547</v>
      </c>
      <c r="H43" s="689">
        <f>industrie!G22</f>
        <v>0</v>
      </c>
      <c r="I43" s="689">
        <f>industrie!H22</f>
        <v>0</v>
      </c>
      <c r="J43" s="689">
        <f>industrie!I22</f>
        <v>0</v>
      </c>
      <c r="K43" s="689">
        <f>industrie!J22</f>
        <v>0.33158561640488848</v>
      </c>
      <c r="L43" s="689">
        <f>industrie!K22</f>
        <v>0</v>
      </c>
      <c r="M43" s="689">
        <f>industrie!L22</f>
        <v>0</v>
      </c>
      <c r="N43" s="689">
        <f>industrie!M22</f>
        <v>0</v>
      </c>
      <c r="O43" s="689">
        <f>industrie!N22</f>
        <v>0</v>
      </c>
      <c r="P43" s="689">
        <f>industrie!O22</f>
        <v>0</v>
      </c>
      <c r="Q43" s="772">
        <f>industrie!P22</f>
        <v>0</v>
      </c>
      <c r="R43" s="851">
        <f t="shared" ca="1" si="4"/>
        <v>1328.043949006875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7404.2306643363036</v>
      </c>
      <c r="D46" s="725">
        <f t="shared" ref="D46:Q46" ca="1" si="5">SUM(D39:D45)</f>
        <v>0</v>
      </c>
      <c r="E46" s="725">
        <f t="shared" ca="1" si="5"/>
        <v>10055.771628191207</v>
      </c>
      <c r="F46" s="725">
        <f t="shared" si="5"/>
        <v>424.03659425577661</v>
      </c>
      <c r="G46" s="725">
        <f t="shared" ca="1" si="5"/>
        <v>9255.6067807614654</v>
      </c>
      <c r="H46" s="725">
        <f t="shared" si="5"/>
        <v>0</v>
      </c>
      <c r="I46" s="725">
        <f t="shared" si="5"/>
        <v>0</v>
      </c>
      <c r="J46" s="725">
        <f t="shared" si="5"/>
        <v>0</v>
      </c>
      <c r="K46" s="725">
        <f t="shared" si="5"/>
        <v>0.33481469952463011</v>
      </c>
      <c r="L46" s="725">
        <f t="shared" si="5"/>
        <v>0</v>
      </c>
      <c r="M46" s="725">
        <f t="shared" ca="1" si="5"/>
        <v>0</v>
      </c>
      <c r="N46" s="725">
        <f t="shared" si="5"/>
        <v>0</v>
      </c>
      <c r="O46" s="725">
        <f t="shared" ca="1" si="5"/>
        <v>0</v>
      </c>
      <c r="P46" s="725">
        <f t="shared" si="5"/>
        <v>0</v>
      </c>
      <c r="Q46" s="725">
        <f t="shared" si="5"/>
        <v>0</v>
      </c>
      <c r="R46" s="725">
        <f ca="1">SUM(R39:R45)</f>
        <v>27139.980482244275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264.82060213486955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264.82060213486955</v>
      </c>
    </row>
    <row r="50" spans="1:18">
      <c r="A50" s="827" t="s">
        <v>306</v>
      </c>
      <c r="B50" s="837"/>
      <c r="C50" s="695">
        <f ca="1">transport!B18</f>
        <v>11.917199870283858</v>
      </c>
      <c r="D50" s="695">
        <f>transport!C18</f>
        <v>0</v>
      </c>
      <c r="E50" s="695">
        <f>transport!D18</f>
        <v>57.320387785663364</v>
      </c>
      <c r="F50" s="695">
        <f>transport!E18</f>
        <v>34.367635895519541</v>
      </c>
      <c r="G50" s="695">
        <f>transport!F18</f>
        <v>0</v>
      </c>
      <c r="H50" s="695">
        <f>transport!G18</f>
        <v>18761.95847210685</v>
      </c>
      <c r="I50" s="695">
        <f>transport!H18</f>
        <v>4497.3439879041152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23362.907683562429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11.917199870283858</v>
      </c>
      <c r="D52" s="725">
        <f t="shared" ref="D52:Q52" ca="1" si="6">SUM(D48:D51)</f>
        <v>0</v>
      </c>
      <c r="E52" s="725">
        <f t="shared" si="6"/>
        <v>57.320387785663364</v>
      </c>
      <c r="F52" s="725">
        <f t="shared" si="6"/>
        <v>34.367635895519541</v>
      </c>
      <c r="G52" s="725">
        <f t="shared" si="6"/>
        <v>0</v>
      </c>
      <c r="H52" s="725">
        <f t="shared" si="6"/>
        <v>19026.77907424172</v>
      </c>
      <c r="I52" s="725">
        <f t="shared" si="6"/>
        <v>4497.3439879041152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23627.7282856973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452.39223396318386</v>
      </c>
      <c r="D54" s="695">
        <f ca="1">+landbouw!C12</f>
        <v>0</v>
      </c>
      <c r="E54" s="695">
        <f>+landbouw!D12</f>
        <v>165.38466062113801</v>
      </c>
      <c r="F54" s="695">
        <f>+landbouw!E12</f>
        <v>21.443030721093024</v>
      </c>
      <c r="G54" s="695">
        <f>+landbouw!F12</f>
        <v>2194.1996453151851</v>
      </c>
      <c r="H54" s="695">
        <f>+landbouw!G12</f>
        <v>0</v>
      </c>
      <c r="I54" s="695">
        <f>+landbouw!H12</f>
        <v>0</v>
      </c>
      <c r="J54" s="695">
        <f>+landbouw!I12</f>
        <v>0</v>
      </c>
      <c r="K54" s="695">
        <f>+landbouw!J12</f>
        <v>235.38188825030613</v>
      </c>
      <c r="L54" s="695">
        <f>+landbouw!K12</f>
        <v>0</v>
      </c>
      <c r="M54" s="695">
        <f>+landbouw!L12</f>
        <v>0</v>
      </c>
      <c r="N54" s="695">
        <f>+landbouw!M12</f>
        <v>0</v>
      </c>
      <c r="O54" s="695">
        <f>+landbouw!N12</f>
        <v>0</v>
      </c>
      <c r="P54" s="695">
        <f>+landbouw!O12</f>
        <v>0</v>
      </c>
      <c r="Q54" s="696">
        <f>+landbouw!P12</f>
        <v>0</v>
      </c>
      <c r="R54" s="724">
        <f ca="1">SUM(C54:Q54)</f>
        <v>3068.8014588709061</v>
      </c>
    </row>
    <row r="55" spans="1:18" ht="15" thickBot="1">
      <c r="A55" s="827" t="s">
        <v>714</v>
      </c>
      <c r="B55" s="837"/>
      <c r="C55" s="695">
        <f ca="1">C25*'EF ele_warmte'!B12</f>
        <v>80.516975493520107</v>
      </c>
      <c r="D55" s="695"/>
      <c r="E55" s="695">
        <f>E25*EF_CO2_aardgas</f>
        <v>180.56984545200001</v>
      </c>
      <c r="F55" s="695"/>
      <c r="G55" s="695"/>
      <c r="H55" s="695"/>
      <c r="I55" s="695"/>
      <c r="J55" s="695"/>
      <c r="K55" s="695"/>
      <c r="L55" s="695"/>
      <c r="M55" s="695"/>
      <c r="N55" s="695"/>
      <c r="O55" s="695"/>
      <c r="P55" s="695"/>
      <c r="Q55" s="696"/>
      <c r="R55" s="724">
        <f ca="1">SUM(C55:Q55)</f>
        <v>261.08682094552012</v>
      </c>
    </row>
    <row r="56" spans="1:18" ht="15.75" thickBot="1">
      <c r="A56" s="825" t="s">
        <v>715</v>
      </c>
      <c r="B56" s="838"/>
      <c r="C56" s="725">
        <f ca="1">SUM(C54:C55)</f>
        <v>532.90920945670393</v>
      </c>
      <c r="D56" s="725">
        <f t="shared" ref="D56:Q56" ca="1" si="7">SUM(D54:D55)</f>
        <v>0</v>
      </c>
      <c r="E56" s="725">
        <f t="shared" si="7"/>
        <v>345.95450607313802</v>
      </c>
      <c r="F56" s="725">
        <f t="shared" si="7"/>
        <v>21.443030721093024</v>
      </c>
      <c r="G56" s="725">
        <f t="shared" si="7"/>
        <v>2194.1996453151851</v>
      </c>
      <c r="H56" s="725">
        <f t="shared" si="7"/>
        <v>0</v>
      </c>
      <c r="I56" s="725">
        <f t="shared" si="7"/>
        <v>0</v>
      </c>
      <c r="J56" s="725">
        <f t="shared" si="7"/>
        <v>0</v>
      </c>
      <c r="K56" s="725">
        <f t="shared" si="7"/>
        <v>235.38188825030613</v>
      </c>
      <c r="L56" s="725">
        <f t="shared" si="7"/>
        <v>0</v>
      </c>
      <c r="M56" s="725">
        <f t="shared" si="7"/>
        <v>0</v>
      </c>
      <c r="N56" s="725">
        <f t="shared" si="7"/>
        <v>0</v>
      </c>
      <c r="O56" s="725">
        <f t="shared" si="7"/>
        <v>0</v>
      </c>
      <c r="P56" s="725">
        <f t="shared" si="7"/>
        <v>0</v>
      </c>
      <c r="Q56" s="726">
        <f t="shared" si="7"/>
        <v>0</v>
      </c>
      <c r="R56" s="727">
        <f ca="1">SUM(R54:R55)</f>
        <v>3329.8882798164263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7949.0570736632917</v>
      </c>
      <c r="D61" s="733">
        <f t="shared" ref="D61:Q61" ca="1" si="8">D46+D52+D56</f>
        <v>0</v>
      </c>
      <c r="E61" s="733">
        <f t="shared" ca="1" si="8"/>
        <v>10459.046522050008</v>
      </c>
      <c r="F61" s="733">
        <f t="shared" si="8"/>
        <v>479.84726087238914</v>
      </c>
      <c r="G61" s="733">
        <f t="shared" ca="1" si="8"/>
        <v>11449.806426076651</v>
      </c>
      <c r="H61" s="733">
        <f t="shared" si="8"/>
        <v>19026.77907424172</v>
      </c>
      <c r="I61" s="733">
        <f t="shared" si="8"/>
        <v>4497.3439879041152</v>
      </c>
      <c r="J61" s="733">
        <f t="shared" si="8"/>
        <v>0</v>
      </c>
      <c r="K61" s="733">
        <f t="shared" si="8"/>
        <v>235.71670294983076</v>
      </c>
      <c r="L61" s="733">
        <f t="shared" si="8"/>
        <v>0</v>
      </c>
      <c r="M61" s="733">
        <f t="shared" ca="1" si="8"/>
        <v>0</v>
      </c>
      <c r="N61" s="733">
        <f t="shared" si="8"/>
        <v>0</v>
      </c>
      <c r="O61" s="733">
        <f t="shared" ca="1" si="8"/>
        <v>0</v>
      </c>
      <c r="P61" s="733">
        <f t="shared" si="8"/>
        <v>0</v>
      </c>
      <c r="Q61" s="733">
        <f t="shared" si="8"/>
        <v>0</v>
      </c>
      <c r="R61" s="733">
        <f ca="1">R46+R52+R56</f>
        <v>54097.597047757998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0.17860056813910125</v>
      </c>
      <c r="D63" s="779">
        <f t="shared" ca="1" si="9"/>
        <v>0</v>
      </c>
      <c r="E63" s="973">
        <f t="shared" ca="1" si="9"/>
        <v>0.20199999999999999</v>
      </c>
      <c r="F63" s="779">
        <f t="shared" si="9"/>
        <v>0.22700000000000001</v>
      </c>
      <c r="G63" s="779">
        <f t="shared" ca="1" si="9"/>
        <v>0.26700000000000007</v>
      </c>
      <c r="H63" s="779">
        <f t="shared" si="9"/>
        <v>0.26700000000000007</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8538.872771710192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8538.872771710192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8538.872771710192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8538.872771710192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71024</v>
      </c>
      <c r="C28" s="794">
        <v>3540</v>
      </c>
      <c r="D28" s="643" t="s">
        <v>865</v>
      </c>
      <c r="E28" s="642" t="s">
        <v>866</v>
      </c>
      <c r="F28" s="642" t="s">
        <v>867</v>
      </c>
      <c r="G28" s="642" t="s">
        <v>868</v>
      </c>
      <c r="H28" s="642" t="s">
        <v>869</v>
      </c>
      <c r="I28" s="642" t="s">
        <v>866</v>
      </c>
      <c r="J28" s="793">
        <v>40444</v>
      </c>
      <c r="K28" s="793">
        <v>40444</v>
      </c>
      <c r="L28" s="642" t="s">
        <v>870</v>
      </c>
      <c r="M28" s="642">
        <v>1000</v>
      </c>
      <c r="N28" s="642">
        <v>0</v>
      </c>
      <c r="O28" s="642">
        <v>0</v>
      </c>
      <c r="P28" s="642">
        <v>0</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1000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1000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22780.587690523073</v>
      </c>
      <c r="C4" s="455">
        <f>huishoudens!C8</f>
        <v>0</v>
      </c>
      <c r="D4" s="455">
        <f>huishoudens!D8</f>
        <v>35478.85062613491</v>
      </c>
      <c r="E4" s="455">
        <f>huishoudens!E8</f>
        <v>1817.2482758623239</v>
      </c>
      <c r="F4" s="455">
        <f>huishoudens!F8</f>
        <v>32111.918402007152</v>
      </c>
      <c r="G4" s="455">
        <f>huishoudens!G8</f>
        <v>0</v>
      </c>
      <c r="H4" s="455">
        <f>huishoudens!H8</f>
        <v>0</v>
      </c>
      <c r="I4" s="455">
        <f>huishoudens!I8</f>
        <v>0</v>
      </c>
      <c r="J4" s="455">
        <f>huishoudens!J8</f>
        <v>0</v>
      </c>
      <c r="K4" s="455">
        <f>huishoudens!K8</f>
        <v>0</v>
      </c>
      <c r="L4" s="455">
        <f>huishoudens!L8</f>
        <v>0</v>
      </c>
      <c r="M4" s="455">
        <f>huishoudens!M8</f>
        <v>0</v>
      </c>
      <c r="N4" s="455">
        <f>huishoudens!N8</f>
        <v>13138.047616260363</v>
      </c>
      <c r="O4" s="455">
        <f>huishoudens!O8</f>
        <v>390.83976921924528</v>
      </c>
      <c r="P4" s="456">
        <f>huishoudens!P8</f>
        <v>642.57151776878641</v>
      </c>
      <c r="Q4" s="457">
        <f>SUM(B4:P4)</f>
        <v>106360.06389777585</v>
      </c>
    </row>
    <row r="5" spans="1:17">
      <c r="A5" s="454" t="s">
        <v>155</v>
      </c>
      <c r="B5" s="455">
        <f ca="1">tertiair!B16</f>
        <v>13105.968152000001</v>
      </c>
      <c r="C5" s="455">
        <f ca="1">tertiair!C16</f>
        <v>0</v>
      </c>
      <c r="D5" s="455">
        <f ca="1">tertiair!D16</f>
        <v>12999.020682123</v>
      </c>
      <c r="E5" s="455">
        <f>tertiair!E16</f>
        <v>34.608707167575417</v>
      </c>
      <c r="F5" s="455">
        <f ca="1">tertiair!F16</f>
        <v>1699.1758657715632</v>
      </c>
      <c r="G5" s="455">
        <f>tertiair!G16</f>
        <v>0</v>
      </c>
      <c r="H5" s="455">
        <f>tertiair!H16</f>
        <v>0</v>
      </c>
      <c r="I5" s="455">
        <f>tertiair!I16</f>
        <v>0</v>
      </c>
      <c r="J5" s="455">
        <f>tertiair!J16</f>
        <v>9.1217037280837653E-3</v>
      </c>
      <c r="K5" s="455">
        <f>tertiair!K16</f>
        <v>0</v>
      </c>
      <c r="L5" s="455">
        <f ca="1">tertiair!L16</f>
        <v>0</v>
      </c>
      <c r="M5" s="455">
        <f>tertiair!M16</f>
        <v>0</v>
      </c>
      <c r="N5" s="455">
        <f ca="1">tertiair!N16</f>
        <v>343.73620052995028</v>
      </c>
      <c r="O5" s="455">
        <f>tertiair!O16</f>
        <v>14.691782297523464</v>
      </c>
      <c r="P5" s="456">
        <f>tertiair!P16</f>
        <v>105.07827661299004</v>
      </c>
      <c r="Q5" s="454">
        <f t="shared" ref="Q5:Q14" ca="1" si="0">SUM(B5:P5)</f>
        <v>28302.288788206333</v>
      </c>
    </row>
    <row r="6" spans="1:17">
      <c r="A6" s="454" t="s">
        <v>193</v>
      </c>
      <c r="B6" s="455">
        <f>'openbare verlichting'!B8</f>
        <v>907.66975100000002</v>
      </c>
      <c r="C6" s="455"/>
      <c r="D6" s="455"/>
      <c r="E6" s="455"/>
      <c r="F6" s="455"/>
      <c r="G6" s="455"/>
      <c r="H6" s="455"/>
      <c r="I6" s="455"/>
      <c r="J6" s="455"/>
      <c r="K6" s="455"/>
      <c r="L6" s="455"/>
      <c r="M6" s="455"/>
      <c r="N6" s="455"/>
      <c r="O6" s="455"/>
      <c r="P6" s="456"/>
      <c r="Q6" s="454">
        <f t="shared" si="0"/>
        <v>907.66975100000002</v>
      </c>
    </row>
    <row r="7" spans="1:17">
      <c r="A7" s="454" t="s">
        <v>111</v>
      </c>
      <c r="B7" s="455">
        <f>landbouw!B8</f>
        <v>2532.983174</v>
      </c>
      <c r="C7" s="455">
        <f>landbouw!C8</f>
        <v>0</v>
      </c>
      <c r="D7" s="455">
        <f>landbouw!D8</f>
        <v>818.73594366899999</v>
      </c>
      <c r="E7" s="455">
        <f>landbouw!E8</f>
        <v>94.462690401290857</v>
      </c>
      <c r="F7" s="455">
        <f>landbouw!F8</f>
        <v>8217.9761996823399</v>
      </c>
      <c r="G7" s="455">
        <f>landbouw!G8</f>
        <v>0</v>
      </c>
      <c r="H7" s="455">
        <f>landbouw!H8</f>
        <v>0</v>
      </c>
      <c r="I7" s="455">
        <f>landbouw!I8</f>
        <v>0</v>
      </c>
      <c r="J7" s="455">
        <f>landbouw!J8</f>
        <v>664.92058827770097</v>
      </c>
      <c r="K7" s="455">
        <f>landbouw!K8</f>
        <v>0</v>
      </c>
      <c r="L7" s="455">
        <f>landbouw!L8</f>
        <v>0</v>
      </c>
      <c r="M7" s="455">
        <f>landbouw!M8</f>
        <v>0</v>
      </c>
      <c r="N7" s="455">
        <f>landbouw!N8</f>
        <v>0</v>
      </c>
      <c r="O7" s="455">
        <f>landbouw!O8</f>
        <v>0</v>
      </c>
      <c r="P7" s="456">
        <f>landbouw!P8</f>
        <v>0</v>
      </c>
      <c r="Q7" s="454">
        <f t="shared" si="0"/>
        <v>12329.078596030331</v>
      </c>
    </row>
    <row r="8" spans="1:17">
      <c r="A8" s="454" t="s">
        <v>626</v>
      </c>
      <c r="B8" s="455">
        <f>industrie!B18</f>
        <v>4662.7011199999997</v>
      </c>
      <c r="C8" s="455">
        <f>industrie!C18</f>
        <v>0</v>
      </c>
      <c r="D8" s="455">
        <f>industrie!D18</f>
        <v>1303.176356055</v>
      </c>
      <c r="E8" s="455">
        <f>industrie!E18</f>
        <v>16.145634836958038</v>
      </c>
      <c r="F8" s="455">
        <f>industrie!F18</f>
        <v>854.09966765747936</v>
      </c>
      <c r="G8" s="455">
        <f>industrie!G18</f>
        <v>0</v>
      </c>
      <c r="H8" s="455">
        <f>industrie!H18</f>
        <v>0</v>
      </c>
      <c r="I8" s="455">
        <f>industrie!I18</f>
        <v>0</v>
      </c>
      <c r="J8" s="455">
        <f>industrie!J18</f>
        <v>0.93668253221719922</v>
      </c>
      <c r="K8" s="455">
        <f>industrie!K18</f>
        <v>0</v>
      </c>
      <c r="L8" s="455">
        <f>industrie!L18</f>
        <v>0</v>
      </c>
      <c r="M8" s="455">
        <f>industrie!M18</f>
        <v>0</v>
      </c>
      <c r="N8" s="455">
        <f>industrie!N18</f>
        <v>267.12057338775139</v>
      </c>
      <c r="O8" s="455">
        <f>industrie!O18</f>
        <v>0</v>
      </c>
      <c r="P8" s="456">
        <f>industrie!P18</f>
        <v>0</v>
      </c>
      <c r="Q8" s="454">
        <f t="shared" si="0"/>
        <v>7104.1800344694057</v>
      </c>
    </row>
    <row r="9" spans="1:17" s="460" customFormat="1">
      <c r="A9" s="458" t="s">
        <v>552</v>
      </c>
      <c r="B9" s="459">
        <f>transport!B14</f>
        <v>66.725430912416073</v>
      </c>
      <c r="C9" s="459">
        <f>transport!C14</f>
        <v>0</v>
      </c>
      <c r="D9" s="459">
        <f>transport!D14</f>
        <v>283.76429596863051</v>
      </c>
      <c r="E9" s="459">
        <f>transport!E14</f>
        <v>151.39927707277332</v>
      </c>
      <c r="F9" s="459">
        <f>transport!F14</f>
        <v>0</v>
      </c>
      <c r="G9" s="459">
        <f>transport!G14</f>
        <v>70269.50738616797</v>
      </c>
      <c r="H9" s="459">
        <f>transport!H14</f>
        <v>18061.622441381987</v>
      </c>
      <c r="I9" s="459">
        <f>transport!I14</f>
        <v>0</v>
      </c>
      <c r="J9" s="459">
        <f>transport!J14</f>
        <v>0</v>
      </c>
      <c r="K9" s="459">
        <f>transport!K14</f>
        <v>0</v>
      </c>
      <c r="L9" s="459">
        <f>transport!L14</f>
        <v>0</v>
      </c>
      <c r="M9" s="459">
        <f>transport!M14</f>
        <v>5211.8527156082682</v>
      </c>
      <c r="N9" s="459">
        <f>transport!N14</f>
        <v>0</v>
      </c>
      <c r="O9" s="459">
        <f>transport!O14</f>
        <v>0</v>
      </c>
      <c r="P9" s="459">
        <f>transport!P14</f>
        <v>0</v>
      </c>
      <c r="Q9" s="458">
        <f>SUM(B9:P9)</f>
        <v>94044.871547112052</v>
      </c>
    </row>
    <row r="10" spans="1:17">
      <c r="A10" s="454" t="s">
        <v>542</v>
      </c>
      <c r="B10" s="455">
        <f>transport!B54</f>
        <v>0</v>
      </c>
      <c r="C10" s="455">
        <f>transport!C54</f>
        <v>0</v>
      </c>
      <c r="D10" s="455">
        <f>transport!D54</f>
        <v>0</v>
      </c>
      <c r="E10" s="455">
        <f>transport!E54</f>
        <v>0</v>
      </c>
      <c r="F10" s="455">
        <f>transport!F54</f>
        <v>0</v>
      </c>
      <c r="G10" s="455">
        <f>transport!G54</f>
        <v>991.83746117928661</v>
      </c>
      <c r="H10" s="455">
        <f>transport!H54</f>
        <v>0</v>
      </c>
      <c r="I10" s="455">
        <f>transport!I54</f>
        <v>0</v>
      </c>
      <c r="J10" s="455">
        <f>transport!J54</f>
        <v>0</v>
      </c>
      <c r="K10" s="455">
        <f>transport!K54</f>
        <v>0</v>
      </c>
      <c r="L10" s="455">
        <f>transport!L54</f>
        <v>0</v>
      </c>
      <c r="M10" s="455">
        <f>transport!M54</f>
        <v>53.822749741477551</v>
      </c>
      <c r="N10" s="455">
        <f>transport!N54</f>
        <v>0</v>
      </c>
      <c r="O10" s="455">
        <f>transport!O54</f>
        <v>0</v>
      </c>
      <c r="P10" s="456">
        <f>transport!P54</f>
        <v>0</v>
      </c>
      <c r="Q10" s="454">
        <f t="shared" si="0"/>
        <v>1045.6602109207643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450.82149699999997</v>
      </c>
      <c r="C14" s="462"/>
      <c r="D14" s="462">
        <f>'SEAP template'!E25</f>
        <v>893.91012599999999</v>
      </c>
      <c r="E14" s="462"/>
      <c r="F14" s="462"/>
      <c r="G14" s="462"/>
      <c r="H14" s="462"/>
      <c r="I14" s="462"/>
      <c r="J14" s="462"/>
      <c r="K14" s="462"/>
      <c r="L14" s="462"/>
      <c r="M14" s="462"/>
      <c r="N14" s="462"/>
      <c r="O14" s="462"/>
      <c r="P14" s="463"/>
      <c r="Q14" s="454">
        <f t="shared" si="0"/>
        <v>1344.7316229999999</v>
      </c>
    </row>
    <row r="15" spans="1:17" s="466" customFormat="1">
      <c r="A15" s="464" t="s">
        <v>546</v>
      </c>
      <c r="B15" s="465">
        <f ca="1">SUM(B4:B14)</f>
        <v>44507.456815435486</v>
      </c>
      <c r="C15" s="465">
        <f t="shared" ref="C15:Q15" ca="1" si="1">SUM(C4:C14)</f>
        <v>0</v>
      </c>
      <c r="D15" s="465">
        <f t="shared" ca="1" si="1"/>
        <v>51777.458029950547</v>
      </c>
      <c r="E15" s="465">
        <f t="shared" si="1"/>
        <v>2113.8645853409216</v>
      </c>
      <c r="F15" s="465">
        <f t="shared" ca="1" si="1"/>
        <v>42883.17013511854</v>
      </c>
      <c r="G15" s="465">
        <f t="shared" si="1"/>
        <v>71261.344847347253</v>
      </c>
      <c r="H15" s="465">
        <f t="shared" si="1"/>
        <v>18061.622441381987</v>
      </c>
      <c r="I15" s="465">
        <f t="shared" si="1"/>
        <v>0</v>
      </c>
      <c r="J15" s="465">
        <f t="shared" si="1"/>
        <v>665.86639251364625</v>
      </c>
      <c r="K15" s="465">
        <f t="shared" si="1"/>
        <v>0</v>
      </c>
      <c r="L15" s="465">
        <f t="shared" ca="1" si="1"/>
        <v>0</v>
      </c>
      <c r="M15" s="465">
        <f t="shared" si="1"/>
        <v>5265.6754653497455</v>
      </c>
      <c r="N15" s="465">
        <f t="shared" ca="1" si="1"/>
        <v>13748.904390178064</v>
      </c>
      <c r="O15" s="465">
        <f t="shared" si="1"/>
        <v>405.53155151676873</v>
      </c>
      <c r="P15" s="465">
        <f t="shared" si="1"/>
        <v>747.64979438177647</v>
      </c>
      <c r="Q15" s="465">
        <f t="shared" ca="1" si="1"/>
        <v>251438.54444851473</v>
      </c>
    </row>
    <row r="17" spans="1:17">
      <c r="A17" s="467" t="s">
        <v>547</v>
      </c>
      <c r="B17" s="784">
        <f ca="1">huishoudens!B10</f>
        <v>0.17860056813910122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4068.6259040700365</v>
      </c>
      <c r="C22" s="455">
        <f t="shared" ref="C22:C32" ca="1" si="3">C4*$C$17</f>
        <v>0</v>
      </c>
      <c r="D22" s="455">
        <f t="shared" ref="D22:D32" si="4">D4*$D$17</f>
        <v>7166.7278264792521</v>
      </c>
      <c r="E22" s="455">
        <f t="shared" ref="E22:E32" si="5">E4*$E$17</f>
        <v>412.51535862074752</v>
      </c>
      <c r="F22" s="455">
        <f t="shared" ref="F22:F32" si="6">F4*$F$17</f>
        <v>8573.8822133359099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20221.751302505945</v>
      </c>
    </row>
    <row r="23" spans="1:17">
      <c r="A23" s="454" t="s">
        <v>155</v>
      </c>
      <c r="B23" s="455">
        <f t="shared" ca="1" si="2"/>
        <v>2340.7333579601668</v>
      </c>
      <c r="C23" s="455">
        <f t="shared" ca="1" si="3"/>
        <v>0</v>
      </c>
      <c r="D23" s="455">
        <f t="shared" ca="1" si="4"/>
        <v>2625.8021777888462</v>
      </c>
      <c r="E23" s="455">
        <f t="shared" si="5"/>
        <v>7.8561765270396204</v>
      </c>
      <c r="F23" s="455">
        <f t="shared" ca="1" si="6"/>
        <v>453.6799561610074</v>
      </c>
      <c r="G23" s="455">
        <f t="shared" si="7"/>
        <v>0</v>
      </c>
      <c r="H23" s="455">
        <f t="shared" si="8"/>
        <v>0</v>
      </c>
      <c r="I23" s="455">
        <f t="shared" si="9"/>
        <v>0</v>
      </c>
      <c r="J23" s="455">
        <f t="shared" si="10"/>
        <v>3.2290831197416526E-3</v>
      </c>
      <c r="K23" s="455">
        <f t="shared" si="11"/>
        <v>0</v>
      </c>
      <c r="L23" s="455">
        <f t="shared" ca="1" si="12"/>
        <v>0</v>
      </c>
      <c r="M23" s="455">
        <f t="shared" si="13"/>
        <v>0</v>
      </c>
      <c r="N23" s="455">
        <f t="shared" ca="1" si="14"/>
        <v>0</v>
      </c>
      <c r="O23" s="455">
        <f t="shared" si="15"/>
        <v>0</v>
      </c>
      <c r="P23" s="456">
        <f t="shared" si="16"/>
        <v>0</v>
      </c>
      <c r="Q23" s="454">
        <f t="shared" ref="Q23:Q31" ca="1" si="17">SUM(B23:P23)</f>
        <v>5428.0748975201805</v>
      </c>
    </row>
    <row r="24" spans="1:17">
      <c r="A24" s="454" t="s">
        <v>193</v>
      </c>
      <c r="B24" s="455">
        <f t="shared" ca="1" si="2"/>
        <v>162.11033321127653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162.11033321127653</v>
      </c>
    </row>
    <row r="25" spans="1:17">
      <c r="A25" s="454" t="s">
        <v>111</v>
      </c>
      <c r="B25" s="455">
        <f t="shared" ca="1" si="2"/>
        <v>452.39223396318386</v>
      </c>
      <c r="C25" s="455">
        <f t="shared" ca="1" si="3"/>
        <v>0</v>
      </c>
      <c r="D25" s="455">
        <f t="shared" si="4"/>
        <v>165.38466062113801</v>
      </c>
      <c r="E25" s="455">
        <f t="shared" si="5"/>
        <v>21.443030721093024</v>
      </c>
      <c r="F25" s="455">
        <f t="shared" si="6"/>
        <v>2194.1996453151851</v>
      </c>
      <c r="G25" s="455">
        <f t="shared" si="7"/>
        <v>0</v>
      </c>
      <c r="H25" s="455">
        <f t="shared" si="8"/>
        <v>0</v>
      </c>
      <c r="I25" s="455">
        <f t="shared" si="9"/>
        <v>0</v>
      </c>
      <c r="J25" s="455">
        <f t="shared" si="10"/>
        <v>235.38188825030613</v>
      </c>
      <c r="K25" s="455">
        <f t="shared" si="11"/>
        <v>0</v>
      </c>
      <c r="L25" s="455">
        <f t="shared" si="12"/>
        <v>0</v>
      </c>
      <c r="M25" s="455">
        <f t="shared" si="13"/>
        <v>0</v>
      </c>
      <c r="N25" s="455">
        <f t="shared" si="14"/>
        <v>0</v>
      </c>
      <c r="O25" s="455">
        <f t="shared" si="15"/>
        <v>0</v>
      </c>
      <c r="P25" s="456">
        <f t="shared" si="16"/>
        <v>0</v>
      </c>
      <c r="Q25" s="454">
        <f t="shared" ca="1" si="17"/>
        <v>3068.8014588709061</v>
      </c>
    </row>
    <row r="26" spans="1:17">
      <c r="A26" s="454" t="s">
        <v>626</v>
      </c>
      <c r="B26" s="455">
        <f t="shared" ca="1" si="2"/>
        <v>832.76106909482348</v>
      </c>
      <c r="C26" s="455">
        <f t="shared" ca="1" si="3"/>
        <v>0</v>
      </c>
      <c r="D26" s="455">
        <f t="shared" si="4"/>
        <v>263.24162392311001</v>
      </c>
      <c r="E26" s="455">
        <f t="shared" si="5"/>
        <v>3.665059107989475</v>
      </c>
      <c r="F26" s="455">
        <f t="shared" si="6"/>
        <v>228.044611264547</v>
      </c>
      <c r="G26" s="455">
        <f t="shared" si="7"/>
        <v>0</v>
      </c>
      <c r="H26" s="455">
        <f t="shared" si="8"/>
        <v>0</v>
      </c>
      <c r="I26" s="455">
        <f t="shared" si="9"/>
        <v>0</v>
      </c>
      <c r="J26" s="455">
        <f t="shared" si="10"/>
        <v>0.33158561640488848</v>
      </c>
      <c r="K26" s="455">
        <f t="shared" si="11"/>
        <v>0</v>
      </c>
      <c r="L26" s="455">
        <f t="shared" si="12"/>
        <v>0</v>
      </c>
      <c r="M26" s="455">
        <f t="shared" si="13"/>
        <v>0</v>
      </c>
      <c r="N26" s="455">
        <f t="shared" si="14"/>
        <v>0</v>
      </c>
      <c r="O26" s="455">
        <f t="shared" si="15"/>
        <v>0</v>
      </c>
      <c r="P26" s="456">
        <f t="shared" si="16"/>
        <v>0</v>
      </c>
      <c r="Q26" s="454">
        <f t="shared" ca="1" si="17"/>
        <v>1328.043949006875</v>
      </c>
    </row>
    <row r="27" spans="1:17" s="460" customFormat="1">
      <c r="A27" s="458" t="s">
        <v>552</v>
      </c>
      <c r="B27" s="778">
        <f t="shared" ca="1" si="2"/>
        <v>11.917199870283858</v>
      </c>
      <c r="C27" s="459">
        <f t="shared" ca="1" si="3"/>
        <v>0</v>
      </c>
      <c r="D27" s="459">
        <f t="shared" si="4"/>
        <v>57.320387785663364</v>
      </c>
      <c r="E27" s="459">
        <f t="shared" si="5"/>
        <v>34.367635895519541</v>
      </c>
      <c r="F27" s="459">
        <f t="shared" si="6"/>
        <v>0</v>
      </c>
      <c r="G27" s="459">
        <f t="shared" si="7"/>
        <v>18761.95847210685</v>
      </c>
      <c r="H27" s="459">
        <f t="shared" si="8"/>
        <v>4497.3439879041152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23362.907683562429</v>
      </c>
    </row>
    <row r="28" spans="1:17" ht="16.5" customHeight="1">
      <c r="A28" s="454" t="s">
        <v>542</v>
      </c>
      <c r="B28" s="455">
        <f t="shared" ca="1" si="2"/>
        <v>0</v>
      </c>
      <c r="C28" s="455">
        <f t="shared" ca="1" si="3"/>
        <v>0</v>
      </c>
      <c r="D28" s="455">
        <f t="shared" si="4"/>
        <v>0</v>
      </c>
      <c r="E28" s="455">
        <f t="shared" si="5"/>
        <v>0</v>
      </c>
      <c r="F28" s="455">
        <f t="shared" si="6"/>
        <v>0</v>
      </c>
      <c r="G28" s="455">
        <f t="shared" si="7"/>
        <v>264.82060213486955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264.82060213486955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80.516975493520107</v>
      </c>
      <c r="C32" s="455">
        <f t="shared" ca="1" si="3"/>
        <v>0</v>
      </c>
      <c r="D32" s="455">
        <f t="shared" si="4"/>
        <v>180.56984545200001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261.08682094552012</v>
      </c>
    </row>
    <row r="33" spans="1:17" s="466" customFormat="1">
      <c r="A33" s="464" t="s">
        <v>546</v>
      </c>
      <c r="B33" s="465">
        <f ca="1">SUM(B22:B32)</f>
        <v>7949.0570736632908</v>
      </c>
      <c r="C33" s="465">
        <f t="shared" ref="C33:Q33" ca="1" si="19">SUM(C22:C32)</f>
        <v>0</v>
      </c>
      <c r="D33" s="465">
        <f t="shared" ca="1" si="19"/>
        <v>10459.046522050008</v>
      </c>
      <c r="E33" s="465">
        <f t="shared" si="19"/>
        <v>479.84726087238914</v>
      </c>
      <c r="F33" s="465">
        <f t="shared" ca="1" si="19"/>
        <v>11449.806426076651</v>
      </c>
      <c r="G33" s="465">
        <f t="shared" si="19"/>
        <v>19026.77907424172</v>
      </c>
      <c r="H33" s="465">
        <f t="shared" si="19"/>
        <v>4497.3439879041152</v>
      </c>
      <c r="I33" s="465">
        <f t="shared" si="19"/>
        <v>0</v>
      </c>
      <c r="J33" s="465">
        <f t="shared" si="19"/>
        <v>235.71670294983076</v>
      </c>
      <c r="K33" s="465">
        <f t="shared" si="19"/>
        <v>0</v>
      </c>
      <c r="L33" s="465">
        <f t="shared" ca="1" si="19"/>
        <v>0</v>
      </c>
      <c r="M33" s="465">
        <f t="shared" si="19"/>
        <v>0</v>
      </c>
      <c r="N33" s="465">
        <f t="shared" ca="1" si="19"/>
        <v>0</v>
      </c>
      <c r="O33" s="465">
        <f t="shared" si="19"/>
        <v>0</v>
      </c>
      <c r="P33" s="465">
        <f t="shared" si="19"/>
        <v>0</v>
      </c>
      <c r="Q33" s="465">
        <f t="shared" ca="1" si="19"/>
        <v>54097.597047757998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8538.872771710192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8538.872771710192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0.17860056813910122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0.17860056813910122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2020-06-20T15:26:06Z</dcterms:modified>
</cp:coreProperties>
</file>