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<sst xmlns="http://schemas.openxmlformats.org/spreadsheetml/2006/main" count="2366" uniqueCount="865">
  <si>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</si>
  <si>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</si>
  <si>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</si>
  <si>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</si>
  <si>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</si>
  <si>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</si>
  <si>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</si>
  <si>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</si>
  <si>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</si>
  <si>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</si>
  <si>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</si>
  <si>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</si>
  <si>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</si>
  <si>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</si>
  <si>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</si>
  <si>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</si>
  <si>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</si>
  <si>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</si>
  <si>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</si>
  <si>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</si>
  <si>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</si>
  <si>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</si>
  <si>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</si>
  <si>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</si>
  <si>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</si>
  <si>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</si>
  <si>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</si>
  <si>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</si>
  <si>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</si>
  <si>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</si>
  <si>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</si>
  <si>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</si>
  <si>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</si>
  <si>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</si>
  <si>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</si>
  <si>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</si>
  <si>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</si>
  <si>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</si>
  <si>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</si>
  <si>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</si>
  <si>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</si>
  <si>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</si>
  <si>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</si>
  <si>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</si>
  <si>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</si>
  <si>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</si>
  <si>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</si>
  <si>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</si>
  <si>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</si>
  <si>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</si>
  <si>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</si>
  <si>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</si>
  <si>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</si>
  <si>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</si>
  <si>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</si>
  <si>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</si>
  <si>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</si>
  <si>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</si>
  <si>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</si>
  <si>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</si>
  <si>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</si>
  <si>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</si>
  <si>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</si>
  <si>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</si>
  <si>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</si>
  <si>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</si>
  <si>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</si>
  <si>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</si>
  <si>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</si>
  <si>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</si>
  <si>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</si>
  <si>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</si>
  <si>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</si>
  <si>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</si>
  <si>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</si>
  <si>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</si>
  <si>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</si>
  <si>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</si>
  <si>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</si>
  <si>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</si>
  <si>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</si>
  <si>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</si>
  <si>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</si>
  <si>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</si>
  <si>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</si>
  <si>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</si>
  <si>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</si>
  <si>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</si>
  <si>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</si>
  <si>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</si>
  <si>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</si>
  <si>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</si>
  <si>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</si>
  <si>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</si>
  <si>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</si>
  <si>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</si>
  <si>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</si>
  <si>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</si>
  <si>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</si>
  <si>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</si>
  <si>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</si>
  <si>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</si>
  <si>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</si>
  <si>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</si>
  <si>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</si>
  <si>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</si>
  <si>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</si>
  <si>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</si>
  <si>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</si>
  <si>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</si>
  <si>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</si>
  <si>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</si>
  <si>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</si>
  <si>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</si>
  <si>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</si>
  <si>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</si>
  <si>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</si>
  <si>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</si>
  <si>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</si>
  <si>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</si>
  <si>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</si>
  <si>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</si>
  <si>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</si>
  <si>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</si>
  <si>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</si>
  <si>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</si>
  <si>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</si>
  <si>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</si>
  <si>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</si>
  <si>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</si>
  <si>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</si>
  <si>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</si>
  <si>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</si>
  <si>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</si>
  <si>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</si>
  <si>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</si>
  <si>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</si>
  <si>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</si>
  <si>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</si>
  <si>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</si>
  <si>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</si>
  <si>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</si>
  <si>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</si>
  <si>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</si>
  <si>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</si>
  <si>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</si>
  <si>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</si>
  <si>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</si>
  <si>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</si>
  <si>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</si>
  <si>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</si>
  <si>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</si>
  <si>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</si>
  <si>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</si>
  <si>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</si>
  <si>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</si>
  <si>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</si>
  <si>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</si>
  <si>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</si>
  <si>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</si>
  <si>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</si>
  <si>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</si>
  <si>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</si>
  <si>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</si>
  <si>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</si>
  <si>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</si>
  <si>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</si>
  <si>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</si>
  <si>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</si>
  <si>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</si>
  <si>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</si>
  <si>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</si>
  <si>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</si>
  <si>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</si>
  <si>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</si>
  <si>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</si>
  <si>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</si>
  <si>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</si>
  <si>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</si>
  <si>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</si>
  <si>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</si>
  <si>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</si>
  <si>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</si>
  <si>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</si>
  <si>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</si>
  <si>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</si>
  <si>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</si>
  <si>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</si>
  <si>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</si>
  <si>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</si>
  <si>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</si>
  <si>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</si>
  <si>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</si>
  <si>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</si>
  <si>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</si>
  <si>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</si>
  <si>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</si>
  <si>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</si>
  <si>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</si>
  <si>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</si>
  <si>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</si>
  <si>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</si>
  <si>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</si>
  <si>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</si>
  <si>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</si>
  <si>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</si>
  <si>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</si>
  <si>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</si>
  <si>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</si>
  <si>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</si>
  <si>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</si>
  <si>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</si>
  <si>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</si>
  <si>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</si>
  <si>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</si>
  <si>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</si>
  <si>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</si>
  <si>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</si>
  <si>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</si>
  <si>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</si>
  <si>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</si>
  <si>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</si>
  <si>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</si>
  <si>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</si>
  <si>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</si>
  <si>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</si>
  <si>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</si>
  <si>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</si>
  <si>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</si>
  <si>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</si>
  <si>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</si>
  <si>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</si>
  <si>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</si>
  <si>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</si>
  <si>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</si>
  <si>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</si>
  <si>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</si>
  <si>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</si>
  <si>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</si>
  <si>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</si>
  <si>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</si>
  <si>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</si>
  <si>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</si>
  <si>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</si>
  <si>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</si>
  <si>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</si>
  <si>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</si>
  <si>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</si>
  <si>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</si>
  <si>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</si>
  <si>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</si>
  <si>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</si>
  <si>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</si>
  <si>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</si>
  <si>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</si>
  <si>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</si>
  <si>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</si>
  <si>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</si>
  <si>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</si>
  <si>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</si>
  <si>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</si>
  <si>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</si>
  <si>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</si>
  <si>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</si>
  <si>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</si>
  <si>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</si>
  <si>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</si>
  <si>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</si>
  <si>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</si>
  <si>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</si>
  <si>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</si>
  <si>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</si>
  <si>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</si>
  <si>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</si>
  <si>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</si>
  <si>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</si>
  <si>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</si>
  <si>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</si>
  <si>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</si>
  <si>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</si>
  <si>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</si>
  <si>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</si>
  <si>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</si>
  <si>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</si>
  <si>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</si>
  <si>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</si>
  <si>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</si>
  <si>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</si>
  <si>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</si>
  <si>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</si>
  <si>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</si>
  <si>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</si>
  <si>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</si>
  <si>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</si>
  <si>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</si>
  <si>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</si>
  <si>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</si>
  <si>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</si>
  <si>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</si>
  <si>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</si>
  <si>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</si>
  <si>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</si>
  <si>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</si>
  <si>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</si>
  <si>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</si>
  <si>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</si>
  <si>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</si>
  <si>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</si>
  <si>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</si>
  <si>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</si>
  <si>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</si>
  <si>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</si>
  <si>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</si>
  <si>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</si>
  <si>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</si>
  <si>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</si>
  <si>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</si>
  <si>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</si>
  <si>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</si>
  <si>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</si>
  <si>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</si>
  <si>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</si>
  <si>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</si>
  <si>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</si>
  <si>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</si>
  <si>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</si>
  <si>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</si>
  <si>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</si>
  <si>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</si>
  <si>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</si>
  <si>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</si>
  <si>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</si>
  <si>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</si>
  <si>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</si>
  <si>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</si>
  <si>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</si>
  <si>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</si>
  <si>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</si>
  <si>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</si>
  <si>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</si>
  <si>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</si>
  <si>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</si>
  <si>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</si>
  <si>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</si>
  <si>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</si>
  <si>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</si>
  <si>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</si>
  <si>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</si>
  <si>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</si>
  <si>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</si>
  <si>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</si>
  <si>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</si>
  <si>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</si>
  <si>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</si>
  <si>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</si>
  <si>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</si>
  <si>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</si>
  <si>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</si>
  <si>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</si>
  <si>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</si>
  <si>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</si>
  <si>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</si>
  <si>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</si>
  <si>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</si>
  <si>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</si>
  <si>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</si>
  <si>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</si>
  <si>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</si>
  <si>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</si>
  <si>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</si>
  <si>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</si>
  <si>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</si>
  <si>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</si>
  <si>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</si>
  <si>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</si>
  <si>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</si>
  <si>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</si>
  <si>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</si>
  <si>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</si>
  <si>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</si>
  <si>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</si>
  <si>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</si>
  <si>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</si>
  <si>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</si>
  <si>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</si>
  <si>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</si>
  <si>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</si>
  <si>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</si>
  <si>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</si>
  <si>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</si>
  <si>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</si>
  <si>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</si>
  <si>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</si>
  <si>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</si>
  <si>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</si>
  <si>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</si>
  <si>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</si>
  <si>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</si>
  <si>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</si>
  <si>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</si>
  <si>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</si>
  <si>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</si>
  <si>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</si>
  <si>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</si>
  <si>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</si>
  <si>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</si>
  <si>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</si>
  <si>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</si>
  <si>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</si>
  <si>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</si>
  <si>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</si>
  <si>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</si>
  <si>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</si>
  <si>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</si>
  <si>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</si>
  <si>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</si>
  <si>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</si>
  <si>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</si>
  <si>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</si>
  <si>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</si>
  <si>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</si>
  <si>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</si>
  <si>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</si>
  <si>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</si>
  <si>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</si>
  <si>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</si>
  <si>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</si>
  <si>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</si>
  <si>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</si>
  <si>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</si>
  <si>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</si>
  <si>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</si>
  <si>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</si>
  <si>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</si>
  <si>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</si>
  <si>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</si>
  <si>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</si>
  <si>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</si>
  <si>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</si>
  <si>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</si>
  <si>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</si>
  <si>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</si>
  <si>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</si>
  <si>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</si>
  <si>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</si>
  <si>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</si>
  <si>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</si>
  <si>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</si>
  <si>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</si>
  <si>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</si>
  <si>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</si>
  <si>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</si>
  <si>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</si>
  <si>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</si>
  <si>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</si>
  <si>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</si>
  <si>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</si>
  <si>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</si>
  <si>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</si>
  <si>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</si>
  <si>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</si>
  <si>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</si>
  <si>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</si>
  <si>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</si>
  <si>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</si>
  <si>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</si>
  <si>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</si>
  <si>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</si>
  <si>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</si>
  <si>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</si>
  <si>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</si>
  <si>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</si>
  <si>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</si>
  <si>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</si>
  <si>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</si>
  <si>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</si>
  <si>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</si>
  <si>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</si>
  <si>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</si>
  <si>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</si>
  <si>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</si>
  <si>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</si>
  <si>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</si>
  <si>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</si>
  <si>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</si>
  <si>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</si>
  <si>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</si>
  <si>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</si>
  <si>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</si>
  <si>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</si>
  <si>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</si>
  <si>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</si>
  <si>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</si>
  <si>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</si>
  <si>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</si>
  <si>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</si>
  <si>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</si>
  <si>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</si>
  <si>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</si>
  <si>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</si>
  <si>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</si>
  <si>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</si>
  <si>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</si>
  <si>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</si>
  <si>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</si>
  <si>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</si>
  <si>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</si>
  <si>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</si>
  <si>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</si>
  <si>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</si>
  <si>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</si>
  <si>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</si>
  <si>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</si>
  <si>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</si>
  <si>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</si>
  <si>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</si>
  <si>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</si>
  <si>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</si>
  <si>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</si>
  <si>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</si>
  <si>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</si>
  <si>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</si>
  <si>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</si>
  <si>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</si>
  <si>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</si>
  <si>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</si>
  <si>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</si>
  <si>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</si>
  <si>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</si>
  <si>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</si>
  <si>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</si>
  <si>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</si>
  <si>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</si>
  <si>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</si>
  <si>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</si>
  <si>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</si>
  <si>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</si>
  <si>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</si>
  <si>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</si>
  <si>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</si>
  <si>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</si>
  <si>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</si>
  <si>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</si>
  <si>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</si>
  <si>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</si>
  <si>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</si>
  <si>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</si>
  <si>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</si>
  <si>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</si>
  <si>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</si>
  <si>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</si>
  <si>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</si>
  <si>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</si>
  <si>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</si>
  <si>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</si>
  <si>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</si>
  <si>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</si>
  <si>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</si>
  <si>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</si>
  <si>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</si>
  <si>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</si>
  <si>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</si>
  <si>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</si>
  <si>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</si>
  <si>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</si>
  <si>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</si>
  <si>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</si>
  <si>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</si>
  <si>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</si>
  <si>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</si>
  <si>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</si>
  <si>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</si>
  <si>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</si>
  <si>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</si>
  <si>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</si>
  <si>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</si>
  <si>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</si>
  <si>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</si>
  <si>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</si>
  <si>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</si>
  <si>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</si>
  <si>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</si>
  <si>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</si>
  <si>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</si>
  <si>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</si>
  <si>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</si>
  <si>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</si>
  <si>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</si>
  <si>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</si>
  <si>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</si>
  <si>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</si>
  <si>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</si>
  <si>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</si>
  <si>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</si>
  <si>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</si>
  <si>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</si>
  <si>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</si>
  <si>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</si>
  <si>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</si>
  <si>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</si>
  <si>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</si>
  <si>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</si>
  <si>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</si>
  <si>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</si>
  <si>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</si>
  <si>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</si>
  <si>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</si>
  <si>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</si>
  <si>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</si>
  <si>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</si>
  <si>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</si>
  <si>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</si>
  <si>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</si>
  <si>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</si>
  <si>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</si>
  <si>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</si>
  <si>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</si>
  <si>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</si>
  <si>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</si>
  <si>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</si>
  <si>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</si>
  <si>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</si>
  <si>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</si>
  <si>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</si>
  <si>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</si>
  <si>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</si>
  <si>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</si>
  <si>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</si>
  <si>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</si>
  <si>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</si>
  <si>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</si>
  <si>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</si>
  <si>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</si>
  <si>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</si>
  <si>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</si>
  <si>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</si>
  <si>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</si>
  <si>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</si>
  <si>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</si>
  <si>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</si>
  <si>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</si>
  <si>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</si>
  <si>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</si>
  <si>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</si>
  <si>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</si>
  <si>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</si>
  <si>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</si>
  <si>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</si>
  <si>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</si>
  <si>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</si>
  <si>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</si>
  <si>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</si>
  <si>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</si>
  <si>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</si>
  <si>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</si>
  <si>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</si>
  <si>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</si>
  <si>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</si>
  <si>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</si>
  <si>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</si>
  <si>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</si>
  <si>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</si>
  <si>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</si>
  <si>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</si>
  <si>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</si>
  <si>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</si>
  <si>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</si>
  <si>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</si>
  <si>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</si>
  <si>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</si>
  <si>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</si>
  <si>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</si>
  <si>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</si>
  <si>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</si>
  <si>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</si>
  <si>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</si>
  <si>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</si>
  <si>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</si>
  <si>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</si>
  <si>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</si>
  <si>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</si>
  <si>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</si>
  <si>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</si>
  <si>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</si>
  <si>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</si>
  <si>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</si>
  <si>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</si>
  <si>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</si>
  <si>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</si>
  <si>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</si>
  <si>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</si>
  <si>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</si>
  <si>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</si>
  <si>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</si>
  <si>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</si>
  <si>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</si>
  <si>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</si>
  <si>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</si>
  <si>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</si>
  <si>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</si>
  <si>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</si>
  <si>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</si>
  <si>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</si>
  <si>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</si>
  <si>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</si>
  <si>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</si>
  <si>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</si>
  <si>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</si>
  <si>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</si>
  <si>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</si>
  <si>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</si>
  <si>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</si>
  <si>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</si>
  <si>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</si>
  <si>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</si>
  <si>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</si>
  <si>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</si>
  <si>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</si>
  <si>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</si>
  <si>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</si>
  <si>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</si>
  <si>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</si>
  <si>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</si>
  <si>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</si>
  <si>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</si>
  <si>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</si>
  <si>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</si>
  <si>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</si>
  <si>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</si>
  <si>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</si>
  <si>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</si>
  <si>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</si>
  <si>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</si>
  <si>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</si>
  <si>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</si>
  <si>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</si>
  <si>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</si>
  <si>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</si>
  <si>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</si>
  <si>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</si>
  <si>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</si>
  <si>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</si>
  <si>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</si>
  <si>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</si>
  <si>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</si>
  <si>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</si>
  <si>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</si>
  <si>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</si>
  <si>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</si>
  <si>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</si>
  <si>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</si>
  <si>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</si>
  <si>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</si>
  <si>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</si>
  <si>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</si>
  <si>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</si>
  <si>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</si>
  <si>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</si>
  <si>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</si>
  <si>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</si>
  <si>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</si>
  <si>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</si>
  <si>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</si>
  <si>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</si>
  <si>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</si>
  <si>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</si>
  <si>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</si>
  <si>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</si>
  <si>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</si>
  <si>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</si>
  <si>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</si>
  <si>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</si>
  <si>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</si>
  <si>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</si>
  <si>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</si>
  <si>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</si>
  <si>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</si>
  <si>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</si>
  <si>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</si>
  <si>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</si>
  <si>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</si>
  <si>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</si>
  <si>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</si>
  <si>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</si>
  <si>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</si>
  <si>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</si>
  <si>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</si>
  <si>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</si>
  <si>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</si>
  <si>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</si>
  <si>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</si>
  <si>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</si>
  <si>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</si>
  <si>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</si>
  <si>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</si>
  <si>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</si>
  <si>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</si>
  <si>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</si>
  <si>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</si>
  <si>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</si>
  <si>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</si>
  <si>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</si>
  <si>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</si>
  <si>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</si>
  <si>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</si>
  <si>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</si>
  <si>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</si>
  <si>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</si>
  <si>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</si>
  <si>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</si>
  <si>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</si>
  <si>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</si>
  <si>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</si>
  <si>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</si>
  <si>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</si>
  <si>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</si>
  <si>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</si>
  <si>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</si>
  <si>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</si>
  <si>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</si>
  <si>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</si>
  <si>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</si>
  <si>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</si>
  <si>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</si>
  <si>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</si>
  <si>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</si>
  <si>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</si>
  <si>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</si>
  <si>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</si>
  <si>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</si>
  <si>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</si>
  <si>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</si>
  <si>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</si>
  <si>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</si>
  <si>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</si>
  <si>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</si>
  <si>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</si>
  <si>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</si>
  <si>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</si>
  <si>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</si>
  <si>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</si>
  <si>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</si>
  <si>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</si>
  <si>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</si>
  <si>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</si>
  <si>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</si>
  <si>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</si>
  <si>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</si>
  <si>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</si>
  <si>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</si>
  <si>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</si>
  <si>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</si>
  <si>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</si>
  <si>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</si>
  <si>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</si>
  <si>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</si>
  <si>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</si>
  <si>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</si>
  <si>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</si>
  <si>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</si>
  <si>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</si>
  <si>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</si>
  <si>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71017</t>
  </si>
  <si>
    <t>GINGELOM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</si>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</sst>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84154.202152222599</c:v>
                </c:pt>
                <c:pt idx="1">
                  <c:v>21130.06278835165</c:v>
                </c:pt>
                <c:pt idx="2">
                  <c:v>500.53186999999997</c:v>
                </c:pt>
                <c:pt idx="3">
                  <c:v>7609.2410553475474</c:v>
                </c:pt>
                <c:pt idx="4">
                  <c:v>2790.8562505640903</c:v>
                </c:pt>
                <c:pt idx="5">
                  <c:v>79045.268451301963</c:v>
                </c:pt>
                <c:pt idx="6">
                  <c:v>883.22223634255636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84154.202152222599</c:v>
                </c:pt>
                <c:pt idx="1">
                  <c:v>21130.06278835165</c:v>
                </c:pt>
                <c:pt idx="2">
                  <c:v>500.53186999999997</c:v>
                </c:pt>
                <c:pt idx="3">
                  <c:v>7609.2410553475474</c:v>
                </c:pt>
                <c:pt idx="4">
                  <c:v>2790.8562505640903</c:v>
                </c:pt>
                <c:pt idx="5">
                  <c:v>79045.268451301963</c:v>
                </c:pt>
                <c:pt idx="6">
                  <c:v>883.22223634255636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14642.309943629825</c:v>
                </c:pt>
                <c:pt idx="1">
                  <c:v>3036.3988984130974</c:v>
                </c:pt>
                <c:pt idx="2">
                  <c:v>0</c:v>
                </c:pt>
                <c:pt idx="3">
                  <c:v>1618.2914788257974</c:v>
                </c:pt>
                <c:pt idx="4">
                  <c:v>327.10385613674742</c:v>
                </c:pt>
                <c:pt idx="5">
                  <c:v>19627.84745614601</c:v>
                </c:pt>
                <c:pt idx="6">
                  <c:v>223.68207377919006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14642.309943629825</c:v>
                </c:pt>
                <c:pt idx="1">
                  <c:v>3036.3988984130974</c:v>
                </c:pt>
                <c:pt idx="2">
                  <c:v>0</c:v>
                </c:pt>
                <c:pt idx="3">
                  <c:v>1618.2914788257974</c:v>
                </c:pt>
                <c:pt idx="4">
                  <c:v>327.10385613674742</c:v>
                </c:pt>
                <c:pt idx="5">
                  <c:v>19627.84745614601</c:v>
                </c:pt>
                <c:pt idx="6">
                  <c:v>223.68207377919006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71017</v>
      </c>
      <c r="B6" s="392"/>
      <c r="C6" s="393"/>
    </row>
    <row r="7" spans="1:7" s="390" customFormat="1" ht="15.75" customHeight="1">
      <c r="A7" s="394" t="str">
        <f>txtMunicipality</f>
        <v>GINGELOM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3418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4521.4799999999996</v>
      </c>
      <c r="C14" s="332"/>
      <c r="D14" s="332"/>
      <c r="E14" s="332"/>
      <c r="F14" s="332"/>
    </row>
    <row r="15" spans="1:6">
      <c r="A15" s="1310" t="s">
        <v>183</v>
      </c>
      <c r="B15" s="1311">
        <v>1</v>
      </c>
      <c r="C15" s="332"/>
      <c r="D15" s="332"/>
      <c r="E15" s="332"/>
      <c r="F15" s="332"/>
    </row>
    <row r="16" spans="1:6">
      <c r="A16" s="1310" t="s">
        <v>6</v>
      </c>
      <c r="B16" s="1311">
        <v>0</v>
      </c>
      <c r="C16" s="332"/>
      <c r="D16" s="332"/>
      <c r="E16" s="332"/>
      <c r="F16" s="332"/>
    </row>
    <row r="17" spans="1:6">
      <c r="A17" s="1310" t="s">
        <v>7</v>
      </c>
      <c r="B17" s="1311">
        <v>99</v>
      </c>
      <c r="C17" s="332"/>
      <c r="D17" s="332"/>
      <c r="E17" s="332"/>
      <c r="F17" s="332"/>
    </row>
    <row r="18" spans="1:6">
      <c r="A18" s="1310" t="s">
        <v>8</v>
      </c>
      <c r="B18" s="1311">
        <v>106</v>
      </c>
      <c r="C18" s="332"/>
      <c r="D18" s="332"/>
      <c r="E18" s="332"/>
      <c r="F18" s="332"/>
    </row>
    <row r="19" spans="1:6">
      <c r="A19" s="1310" t="s">
        <v>9</v>
      </c>
      <c r="B19" s="1311">
        <v>185</v>
      </c>
      <c r="C19" s="332"/>
      <c r="D19" s="332"/>
      <c r="E19" s="332"/>
      <c r="F19" s="332"/>
    </row>
    <row r="20" spans="1:6">
      <c r="A20" s="1310" t="s">
        <v>10</v>
      </c>
      <c r="B20" s="1311">
        <v>159</v>
      </c>
      <c r="C20" s="332"/>
      <c r="D20" s="332"/>
      <c r="E20" s="332"/>
      <c r="F20" s="332"/>
    </row>
    <row r="21" spans="1:6">
      <c r="A21" s="1310" t="s">
        <v>11</v>
      </c>
      <c r="B21" s="1311">
        <v>607</v>
      </c>
      <c r="C21" s="332"/>
      <c r="D21" s="332"/>
      <c r="E21" s="332"/>
      <c r="F21" s="332"/>
    </row>
    <row r="22" spans="1:6">
      <c r="A22" s="1310" t="s">
        <v>12</v>
      </c>
      <c r="B22" s="1311">
        <v>1627</v>
      </c>
      <c r="C22" s="332"/>
      <c r="D22" s="332"/>
      <c r="E22" s="332"/>
      <c r="F22" s="332"/>
    </row>
    <row r="23" spans="1:6">
      <c r="A23" s="1310" t="s">
        <v>13</v>
      </c>
      <c r="B23" s="1311">
        <v>28</v>
      </c>
      <c r="C23" s="332"/>
      <c r="D23" s="332"/>
      <c r="E23" s="332"/>
      <c r="F23" s="332"/>
    </row>
    <row r="24" spans="1:6">
      <c r="A24" s="1310" t="s">
        <v>14</v>
      </c>
      <c r="B24" s="1311">
        <v>2</v>
      </c>
      <c r="C24" s="332"/>
      <c r="D24" s="332"/>
      <c r="E24" s="332"/>
      <c r="F24" s="332"/>
    </row>
    <row r="25" spans="1:6">
      <c r="A25" s="1310" t="s">
        <v>15</v>
      </c>
      <c r="B25" s="1311">
        <v>141</v>
      </c>
      <c r="C25" s="332"/>
      <c r="D25" s="332"/>
      <c r="E25" s="332"/>
      <c r="F25" s="332"/>
    </row>
    <row r="26" spans="1:6">
      <c r="A26" s="1310" t="s">
        <v>16</v>
      </c>
      <c r="B26" s="1311">
        <v>25</v>
      </c>
      <c r="C26" s="332"/>
      <c r="D26" s="332"/>
      <c r="E26" s="332"/>
      <c r="F26" s="332"/>
    </row>
    <row r="27" spans="1:6">
      <c r="A27" s="1310" t="s">
        <v>17</v>
      </c>
      <c r="B27" s="1311">
        <v>2</v>
      </c>
      <c r="C27" s="332"/>
      <c r="D27" s="332"/>
      <c r="E27" s="332"/>
      <c r="F27" s="332"/>
    </row>
    <row r="28" spans="1:6" s="43" customFormat="1">
      <c r="A28" s="1312" t="s">
        <v>18</v>
      </c>
      <c r="B28" s="1313">
        <v>13819</v>
      </c>
      <c r="C28" s="338"/>
      <c r="D28" s="338"/>
      <c r="E28" s="338"/>
      <c r="F28" s="338"/>
    </row>
    <row r="29" spans="1:6">
      <c r="A29" s="1312" t="s">
        <v>699</v>
      </c>
      <c r="B29" s="1313">
        <v>23</v>
      </c>
      <c r="C29" s="338"/>
      <c r="D29" s="338"/>
      <c r="E29" s="338"/>
      <c r="F29" s="338"/>
    </row>
    <row r="30" spans="1:6">
      <c r="A30" s="1305" t="s">
        <v>700</v>
      </c>
      <c r="B30" s="1314">
        <v>10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911</v>
      </c>
      <c r="D39" s="1311">
        <v>14474122.828</v>
      </c>
      <c r="E39" s="1311">
        <v>3397</v>
      </c>
      <c r="F39" s="1311">
        <v>12136696.123</v>
      </c>
    </row>
    <row r="40" spans="1:6">
      <c r="A40" s="1310" t="s">
        <v>29</v>
      </c>
      <c r="B40" s="1310" t="s">
        <v>28</v>
      </c>
      <c r="C40" s="1311">
        <v>0</v>
      </c>
      <c r="D40" s="1311">
        <v>0</v>
      </c>
      <c r="E40" s="1311">
        <v>0</v>
      </c>
      <c r="F40" s="1311">
        <v>0</v>
      </c>
    </row>
    <row r="41" spans="1:6">
      <c r="A41" s="1310" t="s">
        <v>31</v>
      </c>
      <c r="B41" s="1310" t="s">
        <v>32</v>
      </c>
      <c r="C41" s="1311">
        <v>10</v>
      </c>
      <c r="D41" s="1311">
        <v>604451.94900000002</v>
      </c>
      <c r="E41" s="1311">
        <v>53</v>
      </c>
      <c r="F41" s="1311">
        <v>1242491.7490000001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6</v>
      </c>
      <c r="F44" s="1311">
        <v>50948.55</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53887.53</v>
      </c>
      <c r="E48" s="1311">
        <v>5</v>
      </c>
      <c r="F48" s="1311">
        <v>72741.717000000004</v>
      </c>
    </row>
    <row r="49" spans="1:6">
      <c r="A49" s="1310" t="s">
        <v>31</v>
      </c>
      <c r="B49" s="1310" t="s">
        <v>39</v>
      </c>
      <c r="C49" s="1311">
        <v>0</v>
      </c>
      <c r="D49" s="1311">
        <v>0</v>
      </c>
      <c r="E49" s="1311">
        <v>0</v>
      </c>
      <c r="F49" s="1311">
        <v>0</v>
      </c>
    </row>
    <row r="50" spans="1:6">
      <c r="A50" s="1310" t="s">
        <v>31</v>
      </c>
      <c r="B50" s="1310" t="s">
        <v>40</v>
      </c>
      <c r="C50" s="1311">
        <v>0</v>
      </c>
      <c r="D50" s="1311">
        <v>0</v>
      </c>
      <c r="E50" s="1311">
        <v>0</v>
      </c>
      <c r="F50" s="1311">
        <v>0</v>
      </c>
    </row>
    <row r="51" spans="1:6">
      <c r="A51" s="1310" t="s">
        <v>41</v>
      </c>
      <c r="B51" s="1310" t="s">
        <v>42</v>
      </c>
      <c r="C51" s="1311">
        <v>8</v>
      </c>
      <c r="D51" s="1311">
        <v>205305.90599999999</v>
      </c>
      <c r="E51" s="1311">
        <v>72</v>
      </c>
      <c r="F51" s="1311">
        <v>1633703.466</v>
      </c>
    </row>
    <row r="52" spans="1:6">
      <c r="A52" s="1310" t="s">
        <v>41</v>
      </c>
      <c r="B52" s="1310" t="s">
        <v>28</v>
      </c>
      <c r="C52" s="1311">
        <v>0</v>
      </c>
      <c r="D52" s="1311">
        <v>0</v>
      </c>
      <c r="E52" s="1311">
        <v>0</v>
      </c>
      <c r="F52" s="1311">
        <v>0</v>
      </c>
    </row>
    <row r="53" spans="1:6">
      <c r="A53" s="1310" t="s">
        <v>43</v>
      </c>
      <c r="B53" s="1310" t="s">
        <v>44</v>
      </c>
      <c r="C53" s="1311">
        <v>11</v>
      </c>
      <c r="D53" s="1311">
        <v>201481.212</v>
      </c>
      <c r="E53" s="1311">
        <v>54</v>
      </c>
      <c r="F53" s="1311">
        <v>228812.91099999999</v>
      </c>
    </row>
    <row r="54" spans="1:6">
      <c r="A54" s="1310" t="s">
        <v>45</v>
      </c>
      <c r="B54" s="1310" t="s">
        <v>46</v>
      </c>
      <c r="C54" s="1311">
        <v>0</v>
      </c>
      <c r="D54" s="1311">
        <v>0</v>
      </c>
      <c r="E54" s="1311">
        <v>2</v>
      </c>
      <c r="F54" s="1311">
        <v>500531.87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14</v>
      </c>
      <c r="D57" s="1311">
        <v>12044421.805</v>
      </c>
      <c r="E57" s="1311">
        <v>53</v>
      </c>
      <c r="F57" s="1311">
        <v>2084425.0190000001</v>
      </c>
    </row>
    <row r="58" spans="1:6">
      <c r="A58" s="1310" t="s">
        <v>48</v>
      </c>
      <c r="B58" s="1310" t="s">
        <v>50</v>
      </c>
      <c r="C58" s="1311">
        <v>12</v>
      </c>
      <c r="D58" s="1311">
        <v>240783.03899999999</v>
      </c>
      <c r="E58" s="1311">
        <v>24</v>
      </c>
      <c r="F58" s="1311">
        <v>386301.234</v>
      </c>
    </row>
    <row r="59" spans="1:6">
      <c r="A59" s="1310" t="s">
        <v>48</v>
      </c>
      <c r="B59" s="1310" t="s">
        <v>51</v>
      </c>
      <c r="C59" s="1311">
        <v>8</v>
      </c>
      <c r="D59" s="1311">
        <v>197965.234</v>
      </c>
      <c r="E59" s="1311">
        <v>59</v>
      </c>
      <c r="F59" s="1311">
        <v>1639705.7790000001</v>
      </c>
    </row>
    <row r="60" spans="1:6">
      <c r="A60" s="1310" t="s">
        <v>48</v>
      </c>
      <c r="B60" s="1310" t="s">
        <v>52</v>
      </c>
      <c r="C60" s="1311">
        <v>19</v>
      </c>
      <c r="D60" s="1311">
        <v>1178198.01</v>
      </c>
      <c r="E60" s="1311">
        <v>33</v>
      </c>
      <c r="F60" s="1311">
        <v>450403.56199999998</v>
      </c>
    </row>
    <row r="61" spans="1:6">
      <c r="A61" s="1310" t="s">
        <v>48</v>
      </c>
      <c r="B61" s="1310" t="s">
        <v>53</v>
      </c>
      <c r="C61" s="1311">
        <v>30</v>
      </c>
      <c r="D61" s="1311">
        <v>614163.72600000002</v>
      </c>
      <c r="E61" s="1311">
        <v>110</v>
      </c>
      <c r="F61" s="1311">
        <v>927814.30500000005</v>
      </c>
    </row>
    <row r="62" spans="1:6">
      <c r="A62" s="1310" t="s">
        <v>48</v>
      </c>
      <c r="B62" s="1310" t="s">
        <v>54</v>
      </c>
      <c r="C62" s="1311">
        <v>0</v>
      </c>
      <c r="D62" s="1311">
        <v>0</v>
      </c>
      <c r="E62" s="1311">
        <v>8</v>
      </c>
      <c r="F62" s="1311">
        <v>105278.659</v>
      </c>
    </row>
    <row r="63" spans="1:6">
      <c r="A63" s="1310" t="s">
        <v>48</v>
      </c>
      <c r="B63" s="1310" t="s">
        <v>28</v>
      </c>
      <c r="C63" s="1311">
        <v>1</v>
      </c>
      <c r="D63" s="1311">
        <v>19984.809000000001</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3</v>
      </c>
      <c r="F65" s="1311">
        <v>12857.076999999999</v>
      </c>
    </row>
    <row r="66" spans="1:6">
      <c r="A66" s="1310" t="s">
        <v>55</v>
      </c>
      <c r="B66" s="1310" t="s">
        <v>57</v>
      </c>
      <c r="C66" s="1311">
        <v>0</v>
      </c>
      <c r="D66" s="1311">
        <v>0</v>
      </c>
      <c r="E66" s="1311">
        <v>7</v>
      </c>
      <c r="F66" s="1311">
        <v>74613.319000000003</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36250041</v>
      </c>
      <c r="E73" s="453"/>
      <c r="F73" s="332"/>
    </row>
    <row r="74" spans="1:6">
      <c r="A74" s="1310" t="s">
        <v>63</v>
      </c>
      <c r="B74" s="1310" t="s">
        <v>648</v>
      </c>
      <c r="C74" s="1324" t="s">
        <v>650</v>
      </c>
      <c r="D74" s="1325">
        <v>2224147.8013996566</v>
      </c>
      <c r="E74" s="453"/>
      <c r="F74" s="332"/>
    </row>
    <row r="75" spans="1:6">
      <c r="A75" s="1310" t="s">
        <v>64</v>
      </c>
      <c r="B75" s="1310" t="s">
        <v>647</v>
      </c>
      <c r="C75" s="1324" t="s">
        <v>651</v>
      </c>
      <c r="D75" s="1325">
        <v>11854572</v>
      </c>
      <c r="E75" s="453"/>
      <c r="F75" s="332"/>
    </row>
    <row r="76" spans="1:6">
      <c r="A76" s="1310" t="s">
        <v>64</v>
      </c>
      <c r="B76" s="1310" t="s">
        <v>648</v>
      </c>
      <c r="C76" s="1324" t="s">
        <v>652</v>
      </c>
      <c r="D76" s="1325">
        <v>4430</v>
      </c>
      <c r="E76" s="453"/>
      <c r="F76" s="332"/>
    </row>
    <row r="77" spans="1:6">
      <c r="A77" s="1310" t="s">
        <v>65</v>
      </c>
      <c r="B77" s="1310" t="s">
        <v>647</v>
      </c>
      <c r="C77" s="1324" t="s">
        <v>653</v>
      </c>
      <c r="D77" s="1325">
        <v>38779071</v>
      </c>
      <c r="E77" s="453"/>
      <c r="F77" s="332"/>
    </row>
    <row r="78" spans="1:6">
      <c r="A78" s="1305" t="s">
        <v>65</v>
      </c>
      <c r="B78" s="1305" t="s">
        <v>648</v>
      </c>
      <c r="C78" s="1305" t="s">
        <v>654</v>
      </c>
      <c r="D78" s="1326">
        <v>5200818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244984.397200687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26111.016583821194</v>
      </c>
      <c r="C90" s="332"/>
      <c r="D90" s="332"/>
      <c r="E90" s="332"/>
      <c r="F90" s="332"/>
    </row>
    <row r="91" spans="1:6">
      <c r="A91" s="1310" t="s">
        <v>67</v>
      </c>
      <c r="B91" s="1311">
        <v>2830.4805540249927</v>
      </c>
      <c r="C91" s="332"/>
      <c r="D91" s="332"/>
      <c r="E91" s="332"/>
      <c r="F91" s="332"/>
    </row>
    <row r="92" spans="1:6">
      <c r="A92" s="1305" t="s">
        <v>68</v>
      </c>
      <c r="B92" s="1306">
        <v>1271.3752519344077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v>
      </c>
      <c r="C97" s="332"/>
      <c r="D97" s="332"/>
      <c r="E97" s="332"/>
      <c r="F97" s="332"/>
    </row>
    <row r="98" spans="1:6">
      <c r="A98" s="1310" t="s">
        <v>71</v>
      </c>
      <c r="B98" s="1311">
        <v>0</v>
      </c>
      <c r="C98" s="332"/>
      <c r="D98" s="332"/>
      <c r="E98" s="332"/>
      <c r="F98" s="332"/>
    </row>
    <row r="99" spans="1:6">
      <c r="A99" s="1310" t="s">
        <v>72</v>
      </c>
      <c r="B99" s="1311">
        <v>68</v>
      </c>
      <c r="C99" s="332"/>
      <c r="D99" s="332"/>
      <c r="E99" s="332"/>
      <c r="F99" s="332"/>
    </row>
    <row r="100" spans="1:6">
      <c r="A100" s="1310" t="s">
        <v>73</v>
      </c>
      <c r="B100" s="1311">
        <v>73</v>
      </c>
      <c r="C100" s="332"/>
      <c r="D100" s="332"/>
      <c r="E100" s="332"/>
      <c r="F100" s="332"/>
    </row>
    <row r="101" spans="1:6">
      <c r="A101" s="1310" t="s">
        <v>74</v>
      </c>
      <c r="B101" s="1311">
        <v>36</v>
      </c>
      <c r="C101" s="332"/>
      <c r="D101" s="332"/>
      <c r="E101" s="332"/>
      <c r="F101" s="332"/>
    </row>
    <row r="102" spans="1:6">
      <c r="A102" s="1310" t="s">
        <v>75</v>
      </c>
      <c r="B102" s="1311">
        <v>36</v>
      </c>
      <c r="C102" s="332"/>
      <c r="D102" s="332"/>
      <c r="E102" s="332"/>
      <c r="F102" s="332"/>
    </row>
    <row r="103" spans="1:6">
      <c r="A103" s="1310" t="s">
        <v>76</v>
      </c>
      <c r="B103" s="1311">
        <v>108</v>
      </c>
      <c r="C103" s="332"/>
      <c r="D103" s="332"/>
      <c r="E103" s="332"/>
      <c r="F103" s="332"/>
    </row>
    <row r="104" spans="1:6">
      <c r="A104" s="1310" t="s">
        <v>77</v>
      </c>
      <c r="B104" s="1311">
        <v>2589</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26</v>
      </c>
      <c r="C123" s="1311">
        <v>20</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91</v>
      </c>
      <c r="C129" s="332"/>
      <c r="D129" s="332"/>
      <c r="E129" s="332"/>
      <c r="F129" s="332"/>
    </row>
    <row r="130" spans="1:6">
      <c r="A130" s="1310" t="s">
        <v>294</v>
      </c>
      <c r="B130" s="1311">
        <v>1</v>
      </c>
      <c r="C130" s="332"/>
      <c r="D130" s="332"/>
      <c r="E130" s="332"/>
      <c r="F130" s="332"/>
    </row>
    <row r="131" spans="1:6">
      <c r="A131" s="1310" t="s">
        <v>295</v>
      </c>
      <c r="B131" s="1311">
        <v>4</v>
      </c>
      <c r="C131" s="332"/>
      <c r="D131" s="332"/>
      <c r="E131" s="332"/>
      <c r="F131" s="332"/>
    </row>
    <row r="132" spans="1:6">
      <c r="A132" s="1305" t="s">
        <v>296</v>
      </c>
      <c r="B132" s="1306">
        <v>21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24349.026571742212</v>
      </c>
      <c r="C3" s="43" t="s">
        <v>169</v>
      </c>
      <c r="D3" s="43"/>
      <c r="E3" s="154"/>
      <c r="F3" s="43"/>
      <c r="G3" s="43"/>
      <c r="H3" s="43"/>
      <c r="I3" s="43"/>
      <c r="J3" s="43"/>
      <c r="K3" s="96"/>
    </row>
    <row r="4" spans="1:11">
      <c r="A4" s="360" t="s">
        <v>170</v>
      </c>
      <c r="B4" s="49">
        <f>IF(ISERROR('SEAP template'!B78+'SEAP template'!C78),0,'SEAP template'!B78+'SEAP template'!C78)</f>
        <v>30212.872389780594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500.53186999999997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500.53186999999997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12136.696123</v>
      </c>
      <c r="C5" s="17">
        <f>IF(ISERROR('Eigen informatie GS &amp; warmtenet'!B59),0,'Eigen informatie GS &amp; warmtenet'!B59)</f>
        <v>0</v>
      </c>
      <c r="D5" s="30">
        <f>(SUM(HH_hh_gas_kWh,HH_rest_gas_kWh)/1000)*0.903</f>
        <v>13070.132913684</v>
      </c>
      <c r="E5" s="17">
        <f>B46*B57</f>
        <v>9201.1163337221751</v>
      </c>
      <c r="F5" s="17">
        <f>B51*B62</f>
        <v>36803.332173585026</v>
      </c>
      <c r="G5" s="18"/>
      <c r="H5" s="17"/>
      <c r="I5" s="17"/>
      <c r="J5" s="17">
        <f>B50*B61+C50*C61</f>
        <v>245.76270328678248</v>
      </c>
      <c r="K5" s="17"/>
      <c r="L5" s="17"/>
      <c r="M5" s="17"/>
      <c r="N5" s="17">
        <f>B48*B59+C48*C59</f>
        <v>9130.2979824910908</v>
      </c>
      <c r="O5" s="17">
        <f>B69*B70*B71</f>
        <v>220.21936235196051</v>
      </c>
      <c r="P5" s="17">
        <f>B77*B78*B79/1000-B77*B78*B79/1000/B80</f>
        <v>516.16400607656612</v>
      </c>
    </row>
    <row r="6" spans="1:16">
      <c r="A6" s="16" t="s">
        <v>612</v>
      </c>
      <c r="B6" s="786">
        <f>kWh_PV_kleiner_dan_10kW</f>
        <v>2830.4805540249927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14967.176677024992</v>
      </c>
      <c r="C8" s="21">
        <f>C5</f>
        <v>0</v>
      </c>
      <c r="D8" s="21">
        <f>D5</f>
        <v>13070.132913684</v>
      </c>
      <c r="E8" s="21">
        <f>E5</f>
        <v>9201.1163337221751</v>
      </c>
      <c r="F8" s="21">
        <f>F5</f>
        <v>36803.332173585026</v>
      </c>
      <c r="G8" s="21"/>
      <c r="H8" s="21"/>
      <c r="I8" s="21"/>
      <c r="J8" s="21">
        <f>J5</f>
        <v>245.76270328678248</v>
      </c>
      <c r="K8" s="21"/>
      <c r="L8" s="21">
        <f>L5</f>
        <v>0</v>
      </c>
      <c r="M8" s="21">
        <f>M5</f>
        <v>0</v>
      </c>
      <c r="N8" s="21">
        <f>N5</f>
        <v>9130.2979824910908</v>
      </c>
      <c r="O8" s="21">
        <f>O5</f>
        <v>220.21936235196051</v>
      </c>
      <c r="P8" s="21">
        <f>P5</f>
        <v>516.16400607656612</v>
      </c>
    </row>
    <row r="9" spans="1:16">
      <c r="B9" s="19"/>
      <c r="C9" s="19"/>
      <c r="D9" s="258"/>
      <c r="E9" s="19"/>
      <c r="F9" s="19"/>
      <c r="G9" s="19"/>
      <c r="H9" s="19"/>
      <c r="I9" s="19"/>
      <c r="J9" s="19"/>
      <c r="K9" s="19"/>
      <c r="L9" s="19"/>
      <c r="M9" s="19"/>
      <c r="N9" s="19"/>
      <c r="O9" s="19"/>
      <c r="P9" s="19"/>
    </row>
    <row r="10" spans="1:16">
      <c r="A10" s="24" t="s">
        <v>213</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0</v>
      </c>
      <c r="C12" s="23">
        <f ca="1">C10*C8</f>
        <v>0</v>
      </c>
      <c r="D12" s="23">
        <f>D8*D10</f>
        <v>2640.166848564168</v>
      </c>
      <c r="E12" s="23">
        <f>E10*E8</f>
        <v>2088.6534077549336</v>
      </c>
      <c r="F12" s="23">
        <f>F10*F8</f>
        <v>9826.4896903472018</v>
      </c>
      <c r="G12" s="23"/>
      <c r="H12" s="23"/>
      <c r="I12" s="23"/>
      <c r="J12" s="23">
        <f>J10*J8</f>
        <v>86.999996963520999</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38.418079096045197</v>
      </c>
      <c r="D20" s="229"/>
      <c r="E20" s="15"/>
    </row>
    <row r="21" spans="1:7">
      <c r="A21" s="171" t="s">
        <v>73</v>
      </c>
      <c r="B21" s="37">
        <f>aantalw2001_elektriciteit</f>
        <v>73</v>
      </c>
      <c r="C21" s="167">
        <f>IF(ISERROR(B21/SUM($B$20,$B$21,$B$22)*100),0,B21/SUM($B$20,$B$21,$B$22)*100)</f>
        <v>41.242937853107343</v>
      </c>
      <c r="D21" s="229"/>
      <c r="E21" s="15"/>
    </row>
    <row r="22" spans="1:7">
      <c r="A22" s="171" t="s">
        <v>74</v>
      </c>
      <c r="B22" s="37">
        <f>aantalw2001_hout</f>
        <v>36</v>
      </c>
      <c r="C22" s="167">
        <f>IF(ISERROR(B22/SUM($B$20,$B$21,$B$22)*100),0,B22/SUM($B$20,$B$21,$B$22)*100)</f>
        <v>20.33898305084746</v>
      </c>
      <c r="D22" s="229"/>
      <c r="E22" s="15"/>
    </row>
    <row r="23" spans="1:7">
      <c r="A23" s="171" t="s">
        <v>75</v>
      </c>
      <c r="B23" s="37">
        <f>aantalw2001_niet_gespec</f>
        <v>36</v>
      </c>
      <c r="C23" s="166" t="s">
        <v>110</v>
      </c>
      <c r="D23" s="228"/>
      <c r="E23" s="15"/>
    </row>
    <row r="24" spans="1:7">
      <c r="A24" s="171" t="s">
        <v>76</v>
      </c>
      <c r="B24" s="37">
        <f>aantalw2001_steenkool</f>
        <v>108</v>
      </c>
      <c r="C24" s="166" t="s">
        <v>110</v>
      </c>
      <c r="D24" s="229"/>
      <c r="E24" s="15"/>
    </row>
    <row r="25" spans="1:7">
      <c r="A25" s="171" t="s">
        <v>77</v>
      </c>
      <c r="B25" s="37">
        <f>aantalw2001_stookolie</f>
        <v>2589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3418</v>
      </c>
      <c r="C28" s="36"/>
      <c r="D28" s="228"/>
    </row>
    <row r="29" spans="1:7" s="15" customFormat="1">
      <c r="A29" s="230" t="s">
        <v>839</v>
      </c>
      <c r="B29" s="37">
        <f>SUM(HH_hh_gas_aantal,HH_rest_gas_aantal)</f>
        <v>911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911</v>
      </c>
      <c r="C32" s="167">
        <f>IF(ISERROR(B32/SUM($B$32,$B$34,$B$35,$B$36,$B$38,$B$39)*100),0,B32/SUM($B$32,$B$34,$B$35,$B$36,$B$38,$B$39)*100)</f>
        <v>27.040664885722766</v>
      </c>
      <c r="D32" s="233"/>
      <c r="G32" s="15"/>
    </row>
    <row r="33" spans="1:7">
      <c r="A33" s="171" t="s">
        <v>71</v>
      </c>
      <c r="B33" s="34" t="s">
        <v>110</v>
      </c>
      <c r="C33" s="167"/>
      <c r="D33" s="233"/>
      <c r="G33" s="15"/>
    </row>
    <row r="34" spans="1:7">
      <c r="A34" s="171" t="s">
        <v>72</v>
      </c>
      <c r="B34" s="33">
        <f>IF((($B$28-$B$32-$B$39-$B$77-$B$38)*C20/100)&lt;0,0,($B$28-$B$32-$B$39-$B$77-$B$38)*C20/100)</f>
        <v>255.86440677966101</v>
      </c>
      <c r="C34" s="167">
        <f>IF(ISERROR(B34/SUM($B$32,$B$34,$B$35,$B$36,$B$38,$B$39)*100),0,B34/SUM($B$32,$B$34,$B$35,$B$36,$B$38,$B$39)*100)</f>
        <v>7.5946692424951321</v>
      </c>
      <c r="D34" s="233"/>
      <c r="G34" s="15"/>
    </row>
    <row r="35" spans="1:7">
      <c r="A35" s="171" t="s">
        <v>73</v>
      </c>
      <c r="B35" s="33">
        <f>IF((($B$28-$B$32-$B$39-$B$77-$B$38)*C21/100)&lt;0,0,($B$28-$B$32-$B$39-$B$77-$B$38)*C21/100)</f>
        <v>274.67796610169489</v>
      </c>
      <c r="C35" s="167">
        <f>IF(ISERROR(B35/SUM($B$32,$B$34,$B$35,$B$36,$B$38,$B$39)*100),0,B35/SUM($B$32,$B$34,$B$35,$B$36,$B$38,$B$39)*100)</f>
        <v>8.1531008044433033</v>
      </c>
      <c r="D35" s="233"/>
      <c r="G35" s="15"/>
    </row>
    <row r="36" spans="1:7">
      <c r="A36" s="171" t="s">
        <v>74</v>
      </c>
      <c r="B36" s="33">
        <f>IF((($B$28-$B$32-$B$39-$B$77-$B$38)*C22/100)&lt;0,0,($B$28-$B$32-$B$39-$B$77-$B$38)*C22/100)</f>
        <v>135.4576271186441</v>
      </c>
      <c r="C36" s="167">
        <f>IF(ISERROR(B36/SUM($B$32,$B$34,$B$35,$B$36,$B$38,$B$39)*100),0,B36/SUM($B$32,$B$34,$B$35,$B$36,$B$38,$B$39)*100)</f>
        <v>4.0207072460268352</v>
      </c>
      <c r="D36" s="233"/>
      <c r="G36" s="15"/>
    </row>
    <row r="37" spans="1:7">
      <c r="A37" s="171" t="s">
        <v>75</v>
      </c>
      <c r="B37" s="34" t="s">
        <v>110</v>
      </c>
      <c r="C37" s="167"/>
      <c r="D37" s="173"/>
      <c r="G37" s="15"/>
    </row>
    <row r="38" spans="1:7">
      <c r="A38" s="171" t="s">
        <v>76</v>
      </c>
      <c r="B38" s="33">
        <f>IF((B24-(B29-B18)*0.1)&lt;0,0,B24-(B29-B18)*0.1)</f>
        <v>17.5</v>
      </c>
      <c r="C38" s="167">
        <f>IF(ISERROR(B38/SUM($B$32,$B$34,$B$35,$B$36,$B$38,$B$39)*100),0,B38/SUM($B$32,$B$34,$B$35,$B$36,$B$38,$B$39)*100)</f>
        <v>0.51944197091124966</v>
      </c>
      <c r="D38" s="234"/>
      <c r="G38" s="15"/>
    </row>
    <row r="39" spans="1:7">
      <c r="A39" s="171" t="s">
        <v>77</v>
      </c>
      <c r="B39" s="33">
        <f>IF((B25-(B29-B18))&lt;0,0,B25-(B29-B18)*0.9)</f>
        <v>1774.5</v>
      </c>
      <c r="C39" s="167">
        <f>IF(ISERROR(B39/SUM($B$32,$B$34,$B$35,$B$36,$B$38,$B$39)*100),0,B39/SUM($B$32,$B$34,$B$35,$B$36,$B$38,$B$39)*100)</f>
        <v>52.671415850400713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911</v>
      </c>
      <c r="C44" s="34" t="s">
        <v>110</v>
      </c>
      <c r="D44" s="174"/>
    </row>
    <row r="45" spans="1:7">
      <c r="A45" s="171" t="s">
        <v>71</v>
      </c>
      <c r="B45" s="33" t="str">
        <f t="shared" si="0"/>
        <v>-</v>
      </c>
      <c r="C45" s="34" t="s">
        <v>110</v>
      </c>
      <c r="D45" s="174"/>
    </row>
    <row r="46" spans="1:7">
      <c r="A46" s="171" t="s">
        <v>72</v>
      </c>
      <c r="B46" s="33">
        <f t="shared" si="0"/>
        <v>255.86440677966101</v>
      </c>
      <c r="C46" s="34" t="s">
        <v>110</v>
      </c>
      <c r="D46" s="174"/>
    </row>
    <row r="47" spans="1:7">
      <c r="A47" s="171" t="s">
        <v>73</v>
      </c>
      <c r="B47" s="33">
        <f t="shared" si="0"/>
        <v>274.67796610169489</v>
      </c>
      <c r="C47" s="34" t="s">
        <v>110</v>
      </c>
      <c r="D47" s="174"/>
    </row>
    <row r="48" spans="1:7">
      <c r="A48" s="171" t="s">
        <v>74</v>
      </c>
      <c r="B48" s="33">
        <f t="shared" si="0"/>
        <v>135.4576271186441</v>
      </c>
      <c r="C48" s="33">
        <f>B48*10</f>
        <v>1354.5762711864409</v>
      </c>
      <c r="D48" s="234"/>
    </row>
    <row r="49" spans="1:6">
      <c r="A49" s="171" t="s">
        <v>75</v>
      </c>
      <c r="B49" s="33" t="str">
        <f t="shared" si="0"/>
        <v>-</v>
      </c>
      <c r="C49" s="34" t="s">
        <v>110</v>
      </c>
      <c r="D49" s="234"/>
    </row>
    <row r="50" spans="1:6">
      <c r="A50" s="171" t="s">
        <v>76</v>
      </c>
      <c r="B50" s="33">
        <f t="shared" si="0"/>
        <v>17.5</v>
      </c>
      <c r="C50" s="33">
        <f>B50*2</f>
        <v>35</v>
      </c>
      <c r="D50" s="234"/>
    </row>
    <row r="51" spans="1:6">
      <c r="A51" s="171" t="s">
        <v>77</v>
      </c>
      <c r="B51" s="33">
        <f t="shared" si="0"/>
        <v>1774.5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5593.9285579999996</v>
      </c>
      <c r="C5" s="17">
        <f>IF(ISERROR('Eigen informatie GS &amp; warmtenet'!B60),0,'Eigen informatie GS &amp; warmtenet'!B60)</f>
        <v>0</v>
      </c>
      <c r="D5" s="30">
        <f>SUM(D6:D12)</f>
        <v>12908.851510569002</v>
      </c>
      <c r="E5" s="17">
        <f>SUM(E6:E12)</f>
        <v>35.838519068959101</v>
      </c>
      <c r="F5" s="17">
        <f>SUM(F6:F12)</f>
        <v>1575.5365626052396</v>
      </c>
      <c r="G5" s="18"/>
      <c r="H5" s="17"/>
      <c r="I5" s="17"/>
      <c r="J5" s="17">
        <f>SUM(J6:J12)</f>
        <v>2.0585406514401879E-2</v>
      </c>
      <c r="K5" s="17"/>
      <c r="L5" s="17"/>
      <c r="M5" s="17"/>
      <c r="N5" s="17">
        <f>SUM(N6:N12)</f>
        <v>748.29410040362234</v>
      </c>
      <c r="O5" s="17">
        <f>B38*B39*B40</f>
        <v>4.8972607658411542</v>
      </c>
      <c r="P5" s="17">
        <f>B46*B47*B48/1000-B46*B47*B48/1000/B49</f>
        <v>262.69569153247511</v>
      </c>
      <c r="R5" s="32"/>
    </row>
    <row r="6" spans="1:18">
      <c r="A6" s="32" t="s">
        <v>53</v>
      </c>
      <c r="B6" s="37">
        <f>B26</f>
        <v>927.8143050000001</v>
      </c>
      <c r="C6" s="33"/>
      <c r="D6" s="37">
        <f>IF(ISERROR(TER_kantoor_gas_kWh/1000),0,TER_kantoor_gas_kWh/1000)*0.903</f>
        <v>554.589844578</v>
      </c>
      <c r="E6" s="33">
        <f>$C$26*'E Balans VL '!I12/100/3.6*1000000</f>
        <v>0.2222822536854337</v>
      </c>
      <c r="F6" s="33">
        <f>$C$26*('E Balans VL '!L12+'E Balans VL '!N12)/100/3.6*1000000</f>
        <v>87.983540796137021</v>
      </c>
      <c r="G6" s="34"/>
      <c r="H6" s="33"/>
      <c r="I6" s="33"/>
      <c r="J6" s="33">
        <f>$C$26*('E Balans VL '!D12+'E Balans VL '!E12)/100/3.6*1000000</f>
        <v>0</v>
      </c>
      <c r="K6" s="33"/>
      <c r="L6" s="33"/>
      <c r="M6" s="33"/>
      <c r="N6" s="33">
        <f>$C$26*'E Balans VL '!Y12/100/3.6*1000000</f>
        <v>0.47128167695510587</v>
      </c>
      <c r="O6" s="33"/>
      <c r="P6" s="33"/>
      <c r="R6" s="32"/>
    </row>
    <row r="7" spans="1:18">
      <c r="A7" s="32" t="s">
        <v>52</v>
      </c>
      <c r="B7" s="37">
        <f t="shared" ref="B7:B12" si="0">B27</f>
        <v>450.40356199999997</v>
      </c>
      <c r="C7" s="33"/>
      <c r="D7" s="37">
        <f>IF(ISERROR(TER_horeca_gas_kWh/1000),0,TER_horeca_gas_kWh/1000)*0.903</f>
        <v>1063.9128030300001</v>
      </c>
      <c r="E7" s="33">
        <f>$C$27*'E Balans VL '!I9/100/3.6*1000000</f>
        <v>0</v>
      </c>
      <c r="F7" s="33">
        <f>$C$27*('E Balans VL '!L9+'E Balans VL '!N9)/100/3.6*1000000</f>
        <v>36.932033325166863</v>
      </c>
      <c r="G7" s="34"/>
      <c r="H7" s="33"/>
      <c r="I7" s="33"/>
      <c r="J7" s="33">
        <f>$C$27*('E Balans VL '!D9+'E Balans VL '!E9)/100/3.6*1000000</f>
        <v>0</v>
      </c>
      <c r="K7" s="33"/>
      <c r="L7" s="33"/>
      <c r="M7" s="33"/>
      <c r="N7" s="33">
        <f>$C$27*'E Balans VL '!Y9/100/3.6*1000000</f>
        <v>0.13806678764108307</v>
      </c>
      <c r="O7" s="33"/>
      <c r="P7" s="33"/>
      <c r="R7" s="32"/>
    </row>
    <row r="8" spans="1:18">
      <c r="A8" s="6" t="s">
        <v>51</v>
      </c>
      <c r="B8" s="37">
        <f t="shared" si="0"/>
        <v>1639.7057790000001</v>
      </c>
      <c r="C8" s="33"/>
      <c r="D8" s="37">
        <f>IF(ISERROR(TER_handel_gas_kWh/1000),0,TER_handel_gas_kWh/1000)*0.903</f>
        <v>178.76260630200002</v>
      </c>
      <c r="E8" s="33">
        <f>$C$28*'E Balans VL '!I13/100/3.6*1000000</f>
        <v>5.7626696269045556</v>
      </c>
      <c r="F8" s="33">
        <f>$C$28*('E Balans VL '!L13+'E Balans VL '!N13)/100/3.6*1000000</f>
        <v>150.03013414173316</v>
      </c>
      <c r="G8" s="34"/>
      <c r="H8" s="33"/>
      <c r="I8" s="33"/>
      <c r="J8" s="33">
        <f>$C$28*('E Balans VL '!D13+'E Balans VL '!E13)/100/3.6*1000000</f>
        <v>0</v>
      </c>
      <c r="K8" s="33"/>
      <c r="L8" s="33"/>
      <c r="M8" s="33"/>
      <c r="N8" s="33">
        <f>$C$28*'E Balans VL '!Y13/100/3.6*1000000</f>
        <v>0.593830841178135</v>
      </c>
      <c r="O8" s="33"/>
      <c r="P8" s="33"/>
      <c r="R8" s="32"/>
    </row>
    <row r="9" spans="1:18">
      <c r="A9" s="32" t="s">
        <v>50</v>
      </c>
      <c r="B9" s="37">
        <f t="shared" si="0"/>
        <v>386.30123400000002</v>
      </c>
      <c r="C9" s="33"/>
      <c r="D9" s="37">
        <f>IF(ISERROR(TER_gezond_gas_kWh/1000),0,TER_gezond_gas_kWh/1000)*0.903</f>
        <v>217.42708421700002</v>
      </c>
      <c r="E9" s="33">
        <f>$C$29*'E Balans VL '!I10/100/3.6*1000000</f>
        <v>0</v>
      </c>
      <c r="F9" s="33">
        <f>$C$29*('E Balans VL '!L10+'E Balans VL '!N10)/100/3.6*1000000</f>
        <v>47.353437658819658</v>
      </c>
      <c r="G9" s="34"/>
      <c r="H9" s="33"/>
      <c r="I9" s="33"/>
      <c r="J9" s="33">
        <f>$C$29*('E Balans VL '!D10+'E Balans VL '!E10)/100/3.6*1000000</f>
        <v>0</v>
      </c>
      <c r="K9" s="33"/>
      <c r="L9" s="33"/>
      <c r="M9" s="33"/>
      <c r="N9" s="33">
        <f>$C$29*'E Balans VL '!Y10/100/3.6*1000000</f>
        <v>2.8487024048671947</v>
      </c>
      <c r="O9" s="33"/>
      <c r="P9" s="33"/>
      <c r="R9" s="32"/>
    </row>
    <row r="10" spans="1:18">
      <c r="A10" s="32" t="s">
        <v>49</v>
      </c>
      <c r="B10" s="37">
        <f t="shared" si="0"/>
        <v>2084.4250190000002</v>
      </c>
      <c r="C10" s="33"/>
      <c r="D10" s="37">
        <f>IF(ISERROR(TER_ander_gas_kWh/1000),0,TER_ander_gas_kWh/1000)*0.903</f>
        <v>10876.112889915001</v>
      </c>
      <c r="E10" s="33">
        <f>$C$30*'E Balans VL '!I14/100/3.6*1000000</f>
        <v>29.853567188369109</v>
      </c>
      <c r="F10" s="33">
        <f>$C$30*('E Balans VL '!L14+'E Balans VL '!N14)/100/3.6*1000000</f>
        <v>1240.9290877445537</v>
      </c>
      <c r="G10" s="34"/>
      <c r="H10" s="33"/>
      <c r="I10" s="33"/>
      <c r="J10" s="33">
        <f>$C$30*('E Balans VL '!D14+'E Balans VL '!E14)/100/3.6*1000000</f>
        <v>2.0585406514401879E-2</v>
      </c>
      <c r="K10" s="33"/>
      <c r="L10" s="33"/>
      <c r="M10" s="33"/>
      <c r="N10" s="33">
        <f>$C$30*'E Balans VL '!Y14/100/3.6*1000000</f>
        <v>743.94576607851343</v>
      </c>
      <c r="O10" s="33"/>
      <c r="P10" s="33"/>
      <c r="R10" s="32"/>
    </row>
    <row r="11" spans="1:18">
      <c r="A11" s="32" t="s">
        <v>54</v>
      </c>
      <c r="B11" s="37">
        <f t="shared" si="0"/>
        <v>105.278659</v>
      </c>
      <c r="C11" s="33"/>
      <c r="D11" s="37">
        <f>IF(ISERROR(TER_onderwijs_gas_kWh/1000),0,TER_onderwijs_gas_kWh/1000)*0.903</f>
        <v>0</v>
      </c>
      <c r="E11" s="33">
        <f>$C$31*'E Balans VL '!I11/100/3.6*1000000</f>
        <v>0</v>
      </c>
      <c r="F11" s="33">
        <f>$C$31*('E Balans VL '!L11+'E Balans VL '!N11)/100/3.6*1000000</f>
        <v>12.308328938829176</v>
      </c>
      <c r="G11" s="34"/>
      <c r="H11" s="33"/>
      <c r="I11" s="33"/>
      <c r="J11" s="33">
        <f>$C$31*('E Balans VL '!D11+'E Balans VL '!E11)/100/3.6*1000000</f>
        <v>0</v>
      </c>
      <c r="K11" s="33"/>
      <c r="L11" s="33"/>
      <c r="M11" s="33"/>
      <c r="N11" s="33">
        <f>$C$31*'E Balans VL '!Y11/100/3.6*1000000</f>
        <v>0.29645261446743237</v>
      </c>
      <c r="O11" s="33"/>
      <c r="P11" s="33"/>
      <c r="R11" s="32"/>
    </row>
    <row r="12" spans="1:18">
      <c r="A12" s="32" t="s">
        <v>259</v>
      </c>
      <c r="B12" s="37">
        <f t="shared" si="0"/>
        <v>0</v>
      </c>
      <c r="C12" s="33"/>
      <c r="D12" s="37">
        <f>IF(ISERROR(TER_rest_gas_kWh/1000),0,TER_rest_gas_kWh/1000)*0.903</f>
        <v>18.046282527000002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5593.9285579999996</v>
      </c>
      <c r="C16" s="21">
        <f t="shared" ca="1" si="1"/>
        <v>0</v>
      </c>
      <c r="D16" s="21">
        <f t="shared" ca="1" si="1"/>
        <v>12908.851510569002</v>
      </c>
      <c r="E16" s="21">
        <f t="shared" si="1"/>
        <v>35.838519068959101</v>
      </c>
      <c r="F16" s="21">
        <f t="shared" ca="1" si="1"/>
        <v>1575.5365626052396</v>
      </c>
      <c r="G16" s="21">
        <f t="shared" si="1"/>
        <v>0</v>
      </c>
      <c r="H16" s="21">
        <f t="shared" si="1"/>
        <v>0</v>
      </c>
      <c r="I16" s="21">
        <f t="shared" si="1"/>
        <v>0</v>
      </c>
      <c r="J16" s="21">
        <f t="shared" si="1"/>
        <v>2.0585406514401879E-2</v>
      </c>
      <c r="K16" s="21">
        <f t="shared" si="1"/>
        <v>0</v>
      </c>
      <c r="L16" s="21">
        <f t="shared" ca="1" si="1"/>
        <v>0</v>
      </c>
      <c r="M16" s="21">
        <f t="shared" si="1"/>
        <v>0</v>
      </c>
      <c r="N16" s="21">
        <f t="shared" ca="1" si="1"/>
        <v>748.29410040362234</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0</v>
      </c>
      <c r="C20" s="23">
        <f t="shared" ref="C20:P20" ca="1" si="2">C16*C18</f>
        <v>0</v>
      </c>
      <c r="D20" s="23">
        <f t="shared" ca="1" si="2"/>
        <v>2607.5880051349386</v>
      </c>
      <c r="E20" s="23">
        <f t="shared" si="2"/>
        <v>8.135343828653717</v>
      </c>
      <c r="F20" s="23">
        <f t="shared" ca="1" si="2"/>
        <v>420.66826221559899</v>
      </c>
      <c r="G20" s="23">
        <f t="shared" si="2"/>
        <v>0</v>
      </c>
      <c r="H20" s="23">
        <f t="shared" si="2"/>
        <v>0</v>
      </c>
      <c r="I20" s="23">
        <f t="shared" si="2"/>
        <v>0</v>
      </c>
      <c r="J20" s="23">
        <f t="shared" si="2"/>
        <v>7.2872339060982647E-3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927.8143050000001</v>
      </c>
      <c r="C26" s="39">
        <f>IF(ISERROR(B26*3.6/1000000/'E Balans VL '!Z12*100),0,B26*3.6/1000000/'E Balans VL '!Z12*100)</f>
        <v>2.6166820377676814E-2</v>
      </c>
      <c r="D26" s="237" t="s">
        <v>702</v>
      </c>
      <c r="F26" s="6"/>
    </row>
    <row r="27" spans="1:18">
      <c r="A27" s="231" t="s">
        <v>52</v>
      </c>
      <c r="B27" s="33">
        <f>IF(ISERROR(TER_horeca_ele_kWh/1000),0,TER_horeca_ele_kWh/1000)</f>
        <v>450.40356199999997</v>
      </c>
      <c r="C27" s="39">
        <f>IF(ISERROR(B27*3.6/1000000/'E Balans VL '!Z9*100),0,B27*3.6/1000000/'E Balans VL '!Z9*100)</f>
        <v>3.3391891059917446E-2</v>
      </c>
      <c r="D27" s="237" t="s">
        <v>702</v>
      </c>
      <c r="F27" s="6"/>
    </row>
    <row r="28" spans="1:18">
      <c r="A28" s="171" t="s">
        <v>51</v>
      </c>
      <c r="B28" s="33">
        <f>IF(ISERROR(TER_handel_ele_kWh/1000),0,TER_handel_ele_kWh/1000)</f>
        <v>1639.7057790000001</v>
      </c>
      <c r="C28" s="39">
        <f>IF(ISERROR(B28*3.6/1000000/'E Balans VL '!Z13*100),0,B28*3.6/1000000/'E Balans VL '!Z13*100)</f>
        <v>4.9121686592795089E-2</v>
      </c>
      <c r="D28" s="237" t="s">
        <v>702</v>
      </c>
      <c r="F28" s="6"/>
    </row>
    <row r="29" spans="1:18">
      <c r="A29" s="231" t="s">
        <v>50</v>
      </c>
      <c r="B29" s="33">
        <f>IF(ISERROR(TER_gezond_ele_kWh/1000),0,TER_gezond_ele_kWh/1000)</f>
        <v>386.30123400000002</v>
      </c>
      <c r="C29" s="39">
        <f>IF(ISERROR(B29*3.6/1000000/'E Balans VL '!Z10*100),0,B29*3.6/1000000/'E Balans VL '!Z10*100)</f>
        <v>3.8197617427959289E-2</v>
      </c>
      <c r="D29" s="237" t="s">
        <v>702</v>
      </c>
      <c r="F29" s="6"/>
    </row>
    <row r="30" spans="1:18">
      <c r="A30" s="231" t="s">
        <v>49</v>
      </c>
      <c r="B30" s="33">
        <f>IF(ISERROR(TER_ander_ele_kWh/1000),0,TER_ander_ele_kWh/1000)</f>
        <v>2084.4250190000002</v>
      </c>
      <c r="C30" s="39">
        <f>IF(ISERROR(B30*3.6/1000000/'E Balans VL '!Z14*100),0,B30*3.6/1000000/'E Balans VL '!Z14*100)</f>
        <v>8.4308832140895074E-2</v>
      </c>
      <c r="D30" s="237" t="s">
        <v>702</v>
      </c>
      <c r="F30" s="6"/>
    </row>
    <row r="31" spans="1:18">
      <c r="A31" s="231" t="s">
        <v>54</v>
      </c>
      <c r="B31" s="33">
        <f>IF(ISERROR(TER_onderwijs_ele_kWh/1000),0,TER_onderwijs_ele_kWh/1000)</f>
        <v>105.278659</v>
      </c>
      <c r="C31" s="39">
        <f>IF(ISERROR(B31*3.6/1000000/'E Balans VL '!Z11*100),0,B31*3.6/1000000/'E Balans VL '!Z11*100)</f>
        <v>2.8924651951133983E-2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5</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1366.1820160000002</v>
      </c>
      <c r="C5" s="17">
        <f>IF(ISERROR('Eigen informatie GS &amp; warmtenet'!B61),0,'Eigen informatie GS &amp; warmtenet'!B61)</f>
        <v>0</v>
      </c>
      <c r="D5" s="30">
        <f>SUM(D6:D15)</f>
        <v>594.480549537</v>
      </c>
      <c r="E5" s="17">
        <f>SUM(E6:E15)</f>
        <v>6.0070312732953868</v>
      </c>
      <c r="F5" s="17">
        <f>SUM(F6:F15)</f>
        <v>769.9873687421275</v>
      </c>
      <c r="G5" s="18"/>
      <c r="H5" s="17"/>
      <c r="I5" s="17"/>
      <c r="J5" s="17">
        <f>SUM(J6:J15)</f>
        <v>0.19367677143310144</v>
      </c>
      <c r="K5" s="17"/>
      <c r="L5" s="17"/>
      <c r="M5" s="17"/>
      <c r="N5" s="17">
        <f>SUM(N6:N15)</f>
        <v>54.005608240234018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50.948550000000004</v>
      </c>
      <c r="C8" s="33"/>
      <c r="D8" s="37">
        <f>IF( ISERROR(IND_metaal_Gas_kWH/1000),0,IND_metaal_Gas_kWH/1000)*0.903</f>
        <v>0</v>
      </c>
      <c r="E8" s="33">
        <f>C30*'E Balans VL '!I18/100/3.6*1000000</f>
        <v>0.25689147856865496</v>
      </c>
      <c r="F8" s="33">
        <f>C30*'E Balans VL '!L18/100/3.6*1000000+C30*'E Balans VL '!N18/100/3.6*1000000</f>
        <v>3.480909046866834</v>
      </c>
      <c r="G8" s="34"/>
      <c r="H8" s="33"/>
      <c r="I8" s="33"/>
      <c r="J8" s="40">
        <f>C30*'E Balans VL '!D18/100/3.6*1000000+C30*'E Balans VL '!E18/100/3.6*1000000</f>
        <v>4.5170235542301838E-2</v>
      </c>
      <c r="K8" s="33"/>
      <c r="L8" s="33"/>
      <c r="M8" s="33"/>
      <c r="N8" s="33">
        <f>C30*'E Balans VL '!Y18/100/3.6*1000000</f>
        <v>0.67710653185556047</v>
      </c>
      <c r="O8" s="33"/>
      <c r="P8" s="33"/>
      <c r="R8" s="32"/>
    </row>
    <row r="9" spans="1:18">
      <c r="A9" s="6" t="s">
        <v>32</v>
      </c>
      <c r="B9" s="37">
        <f t="shared" si="0"/>
        <v>1242.491749</v>
      </c>
      <c r="C9" s="33"/>
      <c r="D9" s="37">
        <f>IF( ISERROR(IND_andere_gas_kWh/1000),0,IND_andere_gas_kWh/1000)*0.903</f>
        <v>545.82010994699999</v>
      </c>
      <c r="E9" s="33">
        <f>C31*'E Balans VL '!I19/100/3.6*1000000</f>
        <v>3.9166276474550421</v>
      </c>
      <c r="F9" s="33">
        <f>C31*'E Balans VL '!L19/100/3.6*1000000+C31*'E Balans VL '!N19/100/3.6*1000000</f>
        <v>760.60119113590486</v>
      </c>
      <c r="G9" s="34"/>
      <c r="H9" s="33"/>
      <c r="I9" s="33"/>
      <c r="J9" s="40">
        <f>C31*'E Balans VL '!D19/100/3.6*1000000+C31*'E Balans VL '!E19/100/3.6*1000000</f>
        <v>0</v>
      </c>
      <c r="K9" s="33"/>
      <c r="L9" s="33"/>
      <c r="M9" s="33"/>
      <c r="N9" s="33">
        <f>C31*'E Balans VL '!Y19/100/3.6*1000000</f>
        <v>52.09936611678954</v>
      </c>
      <c r="O9" s="33"/>
      <c r="P9" s="33"/>
      <c r="R9" s="32"/>
    </row>
    <row r="10" spans="1:18">
      <c r="A10" s="6" t="s">
        <v>40</v>
      </c>
      <c r="B10" s="37">
        <f t="shared" si="0"/>
        <v>0</v>
      </c>
      <c r="C10" s="33"/>
      <c r="D10" s="37">
        <f>IF( ISERROR(IND_voed_gas_kWh/1000),0,IND_voed_gas_kWh/1000)*0.903</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72.741717000000008</v>
      </c>
      <c r="C15" s="33"/>
      <c r="D15" s="37">
        <f>IF( ISERROR(IND_rest_gas_kWh/1000),0,IND_rest_gas_kWh/1000)*0.903</f>
        <v>48.660439590000003</v>
      </c>
      <c r="E15" s="33">
        <f>C37*'E Balans VL '!I15/100/3.6*1000000</f>
        <v>1.83351214727169</v>
      </c>
      <c r="F15" s="33">
        <f>C37*'E Balans VL '!L15/100/3.6*1000000+C37*'E Balans VL '!N15/100/3.6*1000000</f>
        <v>5.9052685593558163</v>
      </c>
      <c r="G15" s="34"/>
      <c r="H15" s="33"/>
      <c r="I15" s="33"/>
      <c r="J15" s="40">
        <f>C37*'E Balans VL '!D15/100/3.6*1000000+C37*'E Balans VL '!E15/100/3.6*1000000</f>
        <v>0.1485065358907996</v>
      </c>
      <c r="K15" s="33"/>
      <c r="L15" s="33"/>
      <c r="M15" s="33"/>
      <c r="N15" s="33">
        <f>C37*'E Balans VL '!Y15/100/3.6*1000000</f>
        <v>1.2291355915889239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1366.1820160000002</v>
      </c>
      <c r="C18" s="21">
        <f>C5+C16</f>
        <v>0</v>
      </c>
      <c r="D18" s="21">
        <f>MAX((D5+D16),0)</f>
        <v>594.480549537</v>
      </c>
      <c r="E18" s="21">
        <f>MAX((E5+E16),0)</f>
        <v>6.0070312732953868</v>
      </c>
      <c r="F18" s="21">
        <f>MAX((F5+F16),0)</f>
        <v>769.9873687421275</v>
      </c>
      <c r="G18" s="21"/>
      <c r="H18" s="21"/>
      <c r="I18" s="21"/>
      <c r="J18" s="21">
        <f>MAX((J5+J16),0)</f>
        <v>0.19367677143310144</v>
      </c>
      <c r="K18" s="21"/>
      <c r="L18" s="21">
        <f>MAX((L5+L16),0)</f>
        <v>0</v>
      </c>
      <c r="M18" s="21"/>
      <c r="N18" s="21">
        <f>MAX((N5+N16),0)</f>
        <v>54.005608240234018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0</v>
      </c>
      <c r="C22" s="23">
        <f ca="1">C18*C20</f>
        <v>0</v>
      </c>
      <c r="D22" s="23">
        <f>D18*D20</f>
        <v>120.08507100647401</v>
      </c>
      <c r="E22" s="23">
        <f>E18*E20</f>
        <v>1.3635960990380529</v>
      </c>
      <c r="F22" s="23">
        <f>F18*F20</f>
        <v>205.58662745414804</v>
      </c>
      <c r="G22" s="23"/>
      <c r="H22" s="23"/>
      <c r="I22" s="23"/>
      <c r="J22" s="23">
        <f>J18*J20</f>
        <v>6.8561577087317901E-2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50.948550000000004</v>
      </c>
      <c r="C30" s="39">
        <f>IF(ISERROR(B30*3.6/1000000/'E Balans VL '!Z18*100),0,B30*3.6/1000000/'E Balans VL '!Z18*100)</f>
        <v>2.5289711967696133E-3</v>
      </c>
      <c r="D30" s="237" t="s">
        <v>702</v>
      </c>
    </row>
    <row r="31" spans="1:18">
      <c r="A31" s="6" t="s">
        <v>32</v>
      </c>
      <c r="B31" s="37">
        <f>IF( ISERROR(IND_ander_ele_kWh/1000),0,IND_ander_ele_kWh/1000)</f>
        <v>1242.491749</v>
      </c>
      <c r="C31" s="39">
        <f>IF(ISERROR(B31*3.6/1000000/'E Balans VL '!Z19*100),0,B31*3.6/1000000/'E Balans VL '!Z19*100)</f>
        <v>4.1927729607074714E-2</v>
      </c>
      <c r="D31" s="237" t="s">
        <v>702</v>
      </c>
    </row>
    <row r="32" spans="1:18">
      <c r="A32" s="171" t="s">
        <v>40</v>
      </c>
      <c r="B32" s="37">
        <f>IF( ISERROR(IND_voed_ele_kWh/1000),0,IND_voed_ele_kWh/1000)</f>
        <v>0</v>
      </c>
      <c r="C32" s="39">
        <f>IF(ISERROR(B32*3.6/1000000/'E Balans VL '!Z20*100),0,B32*3.6/1000000/'E Balans VL '!Z20*100)</f>
        <v>0</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72.741717000000008</v>
      </c>
      <c r="C37" s="39">
        <f>IF(ISERROR(B37*3.6/1000000/'E Balans VL '!Z15*100),0,B37*3.6/1000000/'E Balans VL '!Z15*100)</f>
        <v>2.72601708711258E-4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1633.7034659999999</v>
      </c>
      <c r="C5" s="17">
        <f>'Eigen informatie GS &amp; warmtenet'!B62</f>
        <v>0</v>
      </c>
      <c r="D5" s="30">
        <f>IF(ISERROR(SUM(LB_lb_gas_kWh,LB_rest_gas_kWh)/1000),0,SUM(LB_lb_gas_kWh,LB_rest_gas_kWh)/1000)*0.903</f>
        <v>185.391233118</v>
      </c>
      <c r="E5" s="17">
        <f>B17*'E Balans VL '!I25/3.6*1000000/100</f>
        <v>60.92579938956743</v>
      </c>
      <c r="F5" s="17">
        <f>B17*('E Balans VL '!L25/3.6*1000000+'E Balans VL '!N25/3.6*1000000)/100</f>
        <v>5300.3653315726851</v>
      </c>
      <c r="G5" s="18"/>
      <c r="H5" s="17"/>
      <c r="I5" s="17"/>
      <c r="J5" s="17">
        <f>('E Balans VL '!D25+'E Balans VL '!E25)/3.6*1000000*landbouw!B17/100</f>
        <v>428.8552252672954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1633.7034659999999</v>
      </c>
      <c r="C8" s="21">
        <f>C5+C6</f>
        <v>0</v>
      </c>
      <c r="D8" s="21">
        <f>MAX((D5+D6),0)</f>
        <v>185.391233118</v>
      </c>
      <c r="E8" s="21">
        <f>MAX((E5+E6),0)</f>
        <v>60.92579938956743</v>
      </c>
      <c r="F8" s="21">
        <f>MAX((F5+F6),0)</f>
        <v>5300.3653315726851</v>
      </c>
      <c r="G8" s="21"/>
      <c r="H8" s="21"/>
      <c r="I8" s="21"/>
      <c r="J8" s="21">
        <f>MAX((J5+J6),0)</f>
        <v>428.8552252672954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v>
      </c>
      <c r="C12" s="23">
        <f ca="1">C8*C10</f>
        <v>0</v>
      </c>
      <c r="D12" s="23">
        <f>D8*D10</f>
        <v>37.449029089836003</v>
      </c>
      <c r="E12" s="23">
        <f>E8*E10</f>
        <v>13.830156461431807</v>
      </c>
      <c r="F12" s="23">
        <f>F8*F10</f>
        <v>1415.1975435299071</v>
      </c>
      <c r="G12" s="23"/>
      <c r="H12" s="23"/>
      <c r="I12" s="23"/>
      <c r="J12" s="23">
        <f>J8*J10</f>
        <v>151.81474974462256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0.2243849078759203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33.558293616051202</v>
      </c>
      <c r="C26" s="247">
        <f>B26*'GWP N2O_CH4'!B5</f>
        <v>704.72416593707521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13.068914655955268</v>
      </c>
      <c r="C27" s="247">
        <f>B27*'GWP N2O_CH4'!B5</f>
        <v>274.44720777506063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0.57588713088471566</v>
      </c>
      <c r="C28" s="247">
        <f>B28*'GWP N2O_CH4'!B4</f>
        <v>178.52501057426184</v>
      </c>
      <c r="D28" s="50"/>
    </row>
    <row r="29" spans="1:4">
      <c r="A29" s="41" t="s">
        <v>276</v>
      </c>
      <c r="B29" s="247">
        <f>B34*'ha_N2O bodem landbouw'!B4</f>
        <v>29.352045831772305</v>
      </c>
      <c r="C29" s="247">
        <f>B29*'GWP N2O_CH4'!B4</f>
        <v>9099.1342078494145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6.6894150689819848E-3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2.112878653820058E-4</v>
      </c>
      <c r="C5" s="440" t="s">
        <v>210</v>
      </c>
      <c r="D5" s="425">
        <f>SUM(D6:D11)</f>
        <v>8.3688349171278482E-4</v>
      </c>
      <c r="E5" s="425">
        <f>SUM(E6:E11)</f>
        <v>4.9579870140379419E-4</v>
      </c>
      <c r="F5" s="438" t="s">
        <v>210</v>
      </c>
      <c r="G5" s="425">
        <f>SUM(G6:G11)</f>
        <v>0.21291066286439925</v>
      </c>
      <c r="H5" s="425">
        <f>SUM(H6:H11)</f>
        <v>5.4343401954965426E-2</v>
      </c>
      <c r="I5" s="440" t="s">
        <v>210</v>
      </c>
      <c r="J5" s="440" t="s">
        <v>210</v>
      </c>
      <c r="K5" s="440" t="s">
        <v>210</v>
      </c>
      <c r="L5" s="440" t="s">
        <v>210</v>
      </c>
      <c r="M5" s="425">
        <f>SUM(M6:M11)</f>
        <v>1.5764931546823832E-2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8.8154569768245439E-5</v>
      </c>
      <c r="C6" s="426"/>
      <c r="D6" s="893">
        <f>vkm_GW_PW*SUMIFS(TableVerdeelsleutelVkm[CNG],TableVerdeelsleutelVkm[Voertuigtype],"Lichte voertuigen")*SUMIFS(TableECFTransport[EnergieConsumptieFactor (PJ per km)],TableECFTransport[Index],CONCATENATE($A6,"_CNG_CNG"))</f>
        <v>3.1838740388395037E-4</v>
      </c>
      <c r="E6" s="893">
        <f>vkm_GW_PW*SUMIFS(TableVerdeelsleutelVkm[LPG],TableVerdeelsleutelVkm[Voertuigtype],"Lichte voertuigen")*SUMIFS(TableECFTransport[EnergieConsumptieFactor (PJ per km)],TableECFTransport[Index],CONCATENATE($A6,"_LPG_LPG"))</f>
        <v>1.7303538142712427E-4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5.384754456990435E-2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2.0379133534707338E-2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4.4483929021537257E-3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2.1246848857339351E-2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2.2367711606545989E-7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1.1962308704349426E-3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2.8828510689041402E-5</v>
      </c>
      <c r="C8" s="426"/>
      <c r="D8" s="428">
        <f>vkm_NGW_PW*SUMIFS(TableVerdeelsleutelVkm[CNG],TableVerdeelsleutelVkm[Voertuigtype],"Lichte voertuigen")*SUMIFS(TableECFTransport[EnergieConsumptieFactor (PJ per km)],TableECFTransport[Index],CONCATENATE($A8,"_CNG_CNG"))</f>
        <v>1.7648981975924849E-4</v>
      </c>
      <c r="E8" s="428">
        <f>vkm_NGW_PW*SUMIFS(TableVerdeelsleutelVkm[LPG],TableVerdeelsleutelVkm[Voertuigtype],"Lichte voertuigen")*SUMIFS(TableECFTransport[EnergieConsumptieFactor (PJ per km)],TableECFTransport[Index],CONCATENATE($A8,"_LPG_LPG"))</f>
        <v>9.1147430954982624E-5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2.6396318500648774E-2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1.1124660956067003E-2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2.259506910750649E-3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5.101101923387801E-5</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7.7999880651534034E-10</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2.8720171749392185E-6</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9.4304784924718955E-5</v>
      </c>
      <c r="C10" s="426"/>
      <c r="D10" s="428">
        <f>vkm_SW_PW*SUMIFS(TableVerdeelsleutelVkm[CNG],TableVerdeelsleutelVkm[Voertuigtype],"Lichte voertuigen")*SUMIFS(TableECFTransport[EnergieConsumptieFactor (PJ per km)],TableECFTransport[Index],CONCATENATE($A10,"_CNG_CNG"))</f>
        <v>3.420062680695859E-4</v>
      </c>
      <c r="E10" s="428">
        <f>vkm_SW_PW*SUMIFS(TableVerdeelsleutelVkm[LPG],TableVerdeelsleutelVkm[Voertuigtype],"Lichte voertuigen")*SUMIFS(TableECFTransport[EnergieConsumptieFactor (PJ per km)],TableECFTransport[Index],CONCATENATE($A10,"_LPG_LPG"))</f>
        <v>2.3161588902168731E-4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6.4051267099739628E-2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2.2838855469267998E-2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5.193867707390225E-3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4.7317672817533275E-2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5.2753780821514696E-7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2.6640611389193501E-3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58.691073717223837</v>
      </c>
      <c r="C14" s="21"/>
      <c r="D14" s="21">
        <f t="shared" ref="D14:M14" si="0">((D5)*10^9/3600)+D12</f>
        <v>232.46763658688468</v>
      </c>
      <c r="E14" s="21">
        <f t="shared" si="0"/>
        <v>137.72186150105392</v>
      </c>
      <c r="F14" s="21"/>
      <c r="G14" s="21">
        <f t="shared" si="0"/>
        <v>59141.850795666462</v>
      </c>
      <c r="H14" s="21">
        <f t="shared" si="0"/>
        <v>15095.38943193484</v>
      </c>
      <c r="I14" s="21"/>
      <c r="J14" s="21"/>
      <c r="K14" s="21"/>
      <c r="L14" s="21"/>
      <c r="M14" s="21">
        <f t="shared" si="0"/>
        <v>4379.1476518955087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v>
      </c>
      <c r="C18" s="23"/>
      <c r="D18" s="23">
        <f t="shared" ref="D18:M18" si="1">D14*D16</f>
        <v>46.95846259055071</v>
      </c>
      <c r="E18" s="23">
        <f t="shared" si="1"/>
        <v>31.26286256073924</v>
      </c>
      <c r="F18" s="23"/>
      <c r="G18" s="23">
        <f t="shared" si="1"/>
        <v>15790.874162442946</v>
      </c>
      <c r="H18" s="23">
        <f t="shared" si="1"/>
        <v>3758.751968551775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3.0159380734272817E-3</v>
      </c>
      <c r="H50" s="321">
        <f t="shared" si="2"/>
        <v>0</v>
      </c>
      <c r="I50" s="321">
        <f t="shared" si="2"/>
        <v>0</v>
      </c>
      <c r="J50" s="321">
        <f t="shared" si="2"/>
        <v>0</v>
      </c>
      <c r="K50" s="321">
        <f t="shared" si="2"/>
        <v>0</v>
      </c>
      <c r="L50" s="321">
        <f t="shared" si="2"/>
        <v>0</v>
      </c>
      <c r="M50" s="321">
        <f t="shared" si="2"/>
        <v>1.636619774059211E-4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3.0159380734272817E-3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1.636619774059211E-4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837.76057595202269</v>
      </c>
      <c r="H54" s="21">
        <f t="shared" si="3"/>
        <v>0</v>
      </c>
      <c r="I54" s="21">
        <f t="shared" si="3"/>
        <v>0</v>
      </c>
      <c r="J54" s="21">
        <f t="shared" si="3"/>
        <v>0</v>
      </c>
      <c r="K54" s="21">
        <f t="shared" si="3"/>
        <v>0</v>
      </c>
      <c r="L54" s="21">
        <f t="shared" si="3"/>
        <v>0</v>
      </c>
      <c r="M54" s="21">
        <f t="shared" si="3"/>
        <v>45.461660390533638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223.68207377919006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6094.4604279999994</v>
      </c>
      <c r="D10" s="689">
        <f ca="1">tertiair!C16</f>
        <v>0</v>
      </c>
      <c r="E10" s="689">
        <f ca="1">tertiair!D16</f>
        <v>12908.851510569002</v>
      </c>
      <c r="F10" s="689">
        <f>tertiair!E16</f>
        <v>35.838519068959101</v>
      </c>
      <c r="G10" s="689">
        <f ca="1">tertiair!F16</f>
        <v>1575.5365626052396</v>
      </c>
      <c r="H10" s="689">
        <f>tertiair!G16</f>
        <v>0</v>
      </c>
      <c r="I10" s="689">
        <f>tertiair!H16</f>
        <v>0</v>
      </c>
      <c r="J10" s="689">
        <f>tertiair!I16</f>
        <v>0</v>
      </c>
      <c r="K10" s="689">
        <f>tertiair!J16</f>
        <v>2.0585406514401879E-2</v>
      </c>
      <c r="L10" s="689">
        <f>tertiair!K16</f>
        <v>0</v>
      </c>
      <c r="M10" s="689">
        <f ca="1">tertiair!L16</f>
        <v>0</v>
      </c>
      <c r="N10" s="689">
        <f>tertiair!M16</f>
        <v>0</v>
      </c>
      <c r="O10" s="689">
        <f ca="1">tertiair!N16</f>
        <v>748.29410040362234</v>
      </c>
      <c r="P10" s="689">
        <f>tertiair!O16</f>
        <v>4.8972607658411542</v>
      </c>
      <c r="Q10" s="690">
        <f>tertiair!P16</f>
        <v>262.69569153247511</v>
      </c>
      <c r="R10" s="692">
        <f ca="1">SUM(C10:Q10)</f>
        <v>21630.594658351649</v>
      </c>
      <c r="S10" s="67"/>
    </row>
    <row r="11" spans="1:19" s="451" customFormat="1">
      <c r="A11" s="811" t="s">
        <v>224</v>
      </c>
      <c r="B11" s="816"/>
      <c r="C11" s="689">
        <f>huishoudens!B8</f>
        <v>14967.176677024992</v>
      </c>
      <c r="D11" s="689">
        <f>huishoudens!C8</f>
        <v>0</v>
      </c>
      <c r="E11" s="689">
        <f>huishoudens!D8</f>
        <v>13070.132913684</v>
      </c>
      <c r="F11" s="689">
        <f>huishoudens!E8</f>
        <v>9201.1163337221751</v>
      </c>
      <c r="G11" s="689">
        <f>huishoudens!F8</f>
        <v>36803.332173585026</v>
      </c>
      <c r="H11" s="689">
        <f>huishoudens!G8</f>
        <v>0</v>
      </c>
      <c r="I11" s="689">
        <f>huishoudens!H8</f>
        <v>0</v>
      </c>
      <c r="J11" s="689">
        <f>huishoudens!I8</f>
        <v>0</v>
      </c>
      <c r="K11" s="689">
        <f>huishoudens!J8</f>
        <v>245.76270328678248</v>
      </c>
      <c r="L11" s="689">
        <f>huishoudens!K8</f>
        <v>0</v>
      </c>
      <c r="M11" s="689">
        <f>huishoudens!L8</f>
        <v>0</v>
      </c>
      <c r="N11" s="689">
        <f>huishoudens!M8</f>
        <v>0</v>
      </c>
      <c r="O11" s="689">
        <f>huishoudens!N8</f>
        <v>9130.2979824910908</v>
      </c>
      <c r="P11" s="689">
        <f>huishoudens!O8</f>
        <v>220.21936235196051</v>
      </c>
      <c r="Q11" s="690">
        <f>huishoudens!P8</f>
        <v>516.16400607656612</v>
      </c>
      <c r="R11" s="692">
        <f>SUM(C11:Q11)</f>
        <v>84154.202152222599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1366.1820160000002</v>
      </c>
      <c r="D13" s="689">
        <f>industrie!C18</f>
        <v>0</v>
      </c>
      <c r="E13" s="689">
        <f>industrie!D18</f>
        <v>594.480549537</v>
      </c>
      <c r="F13" s="689">
        <f>industrie!E18</f>
        <v>6.0070312732953868</v>
      </c>
      <c r="G13" s="689">
        <f>industrie!F18</f>
        <v>769.9873687421275</v>
      </c>
      <c r="H13" s="689">
        <f>industrie!G18</f>
        <v>0</v>
      </c>
      <c r="I13" s="689">
        <f>industrie!H18</f>
        <v>0</v>
      </c>
      <c r="J13" s="689">
        <f>industrie!I18</f>
        <v>0</v>
      </c>
      <c r="K13" s="689">
        <f>industrie!J18</f>
        <v>0.19367677143310144</v>
      </c>
      <c r="L13" s="689">
        <f>industrie!K18</f>
        <v>0</v>
      </c>
      <c r="M13" s="689">
        <f>industrie!L18</f>
        <v>0</v>
      </c>
      <c r="N13" s="689">
        <f>industrie!M18</f>
        <v>0</v>
      </c>
      <c r="O13" s="689">
        <f>industrie!N18</f>
        <v>54.005608240234018</v>
      </c>
      <c r="P13" s="689">
        <f>industrie!O18</f>
        <v>0</v>
      </c>
      <c r="Q13" s="690">
        <f>industrie!P18</f>
        <v>0</v>
      </c>
      <c r="R13" s="692">
        <f>SUM(C13:Q13)</f>
        <v>2790.8562505640903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22427.81912102499</v>
      </c>
      <c r="D16" s="725">
        <f t="shared" ref="D16:R16" ca="1" si="0">SUM(D9:D15)</f>
        <v>0</v>
      </c>
      <c r="E16" s="725">
        <f t="shared" ca="1" si="0"/>
        <v>26573.46497379</v>
      </c>
      <c r="F16" s="725">
        <f t="shared" si="0"/>
        <v>9242.9618840644289</v>
      </c>
      <c r="G16" s="725">
        <f t="shared" ca="1" si="0"/>
        <v>39148.856104932391</v>
      </c>
      <c r="H16" s="725">
        <f t="shared" si="0"/>
        <v>0</v>
      </c>
      <c r="I16" s="725">
        <f t="shared" si="0"/>
        <v>0</v>
      </c>
      <c r="J16" s="725">
        <f t="shared" si="0"/>
        <v>0</v>
      </c>
      <c r="K16" s="725">
        <f t="shared" si="0"/>
        <v>245.97696546473</v>
      </c>
      <c r="L16" s="725">
        <f t="shared" si="0"/>
        <v>0</v>
      </c>
      <c r="M16" s="725">
        <f t="shared" ca="1" si="0"/>
        <v>0</v>
      </c>
      <c r="N16" s="725">
        <f t="shared" si="0"/>
        <v>0</v>
      </c>
      <c r="O16" s="725">
        <f t="shared" ca="1" si="0"/>
        <v>9932.5976911349462</v>
      </c>
      <c r="P16" s="725">
        <f t="shared" si="0"/>
        <v>225.11662311780168</v>
      </c>
      <c r="Q16" s="725">
        <f t="shared" si="0"/>
        <v>778.85969760904118</v>
      </c>
      <c r="R16" s="725">
        <f t="shared" ca="1" si="0"/>
        <v>108575.65306113834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837.76057595202269</v>
      </c>
      <c r="I19" s="689">
        <f>transport!H54</f>
        <v>0</v>
      </c>
      <c r="J19" s="689">
        <f>transport!I54</f>
        <v>0</v>
      </c>
      <c r="K19" s="689">
        <f>transport!J54</f>
        <v>0</v>
      </c>
      <c r="L19" s="689">
        <f>transport!K54</f>
        <v>0</v>
      </c>
      <c r="M19" s="689">
        <f>transport!L54</f>
        <v>0</v>
      </c>
      <c r="N19" s="689">
        <f>transport!M54</f>
        <v>45.461660390533638</v>
      </c>
      <c r="O19" s="689">
        <f>transport!N54</f>
        <v>0</v>
      </c>
      <c r="P19" s="689">
        <f>transport!O54</f>
        <v>0</v>
      </c>
      <c r="Q19" s="690">
        <f>transport!P54</f>
        <v>0</v>
      </c>
      <c r="R19" s="692">
        <f>SUM(C19:Q19)</f>
        <v>883.22223634255636</v>
      </c>
      <c r="S19" s="67"/>
    </row>
    <row r="20" spans="1:19" s="451" customFormat="1">
      <c r="A20" s="811" t="s">
        <v>306</v>
      </c>
      <c r="B20" s="816"/>
      <c r="C20" s="689">
        <f>transport!B14</f>
        <v>58.691073717223837</v>
      </c>
      <c r="D20" s="689">
        <f>transport!C14</f>
        <v>0</v>
      </c>
      <c r="E20" s="689">
        <f>transport!D14</f>
        <v>232.46763658688468</v>
      </c>
      <c r="F20" s="689">
        <f>transport!E14</f>
        <v>137.72186150105392</v>
      </c>
      <c r="G20" s="689">
        <f>transport!F14</f>
        <v>0</v>
      </c>
      <c r="H20" s="689">
        <f>transport!G14</f>
        <v>59141.850795666462</v>
      </c>
      <c r="I20" s="689">
        <f>transport!H14</f>
        <v>15095.38943193484</v>
      </c>
      <c r="J20" s="689">
        <f>transport!I14</f>
        <v>0</v>
      </c>
      <c r="K20" s="689">
        <f>transport!J14</f>
        <v>0</v>
      </c>
      <c r="L20" s="689">
        <f>transport!K14</f>
        <v>0</v>
      </c>
      <c r="M20" s="689">
        <f>transport!L14</f>
        <v>0</v>
      </c>
      <c r="N20" s="689">
        <f>transport!M14</f>
        <v>4379.1476518955087</v>
      </c>
      <c r="O20" s="689">
        <f>transport!N14</f>
        <v>0</v>
      </c>
      <c r="P20" s="689">
        <f>transport!O14</f>
        <v>0</v>
      </c>
      <c r="Q20" s="690">
        <f>transport!P14</f>
        <v>0</v>
      </c>
      <c r="R20" s="692">
        <f>SUM(C20:Q20)</f>
        <v>79045.268451301963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58.691073717223837</v>
      </c>
      <c r="D22" s="814">
        <f t="shared" ref="D22:R22" si="1">SUM(D18:D21)</f>
        <v>0</v>
      </c>
      <c r="E22" s="814">
        <f t="shared" si="1"/>
        <v>232.46763658688468</v>
      </c>
      <c r="F22" s="814">
        <f t="shared" si="1"/>
        <v>137.72186150105392</v>
      </c>
      <c r="G22" s="814">
        <f t="shared" si="1"/>
        <v>0</v>
      </c>
      <c r="H22" s="814">
        <f t="shared" si="1"/>
        <v>59979.611371618485</v>
      </c>
      <c r="I22" s="814">
        <f t="shared" si="1"/>
        <v>15095.38943193484</v>
      </c>
      <c r="J22" s="814">
        <f t="shared" si="1"/>
        <v>0</v>
      </c>
      <c r="K22" s="814">
        <f t="shared" si="1"/>
        <v>0</v>
      </c>
      <c r="L22" s="814">
        <f t="shared" si="1"/>
        <v>0</v>
      </c>
      <c r="M22" s="814">
        <f t="shared" si="1"/>
        <v>0</v>
      </c>
      <c r="N22" s="814">
        <f t="shared" si="1"/>
        <v>4424.609312286042</v>
      </c>
      <c r="O22" s="814">
        <f t="shared" si="1"/>
        <v>0</v>
      </c>
      <c r="P22" s="814">
        <f t="shared" si="1"/>
        <v>0</v>
      </c>
      <c r="Q22" s="814">
        <f t="shared" si="1"/>
        <v>0</v>
      </c>
      <c r="R22" s="814">
        <f t="shared" si="1"/>
        <v>79928.490687644517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1633.7034659999999</v>
      </c>
      <c r="D24" s="689">
        <f>+landbouw!C8</f>
        <v>0</v>
      </c>
      <c r="E24" s="689">
        <f>+landbouw!D8</f>
        <v>185.391233118</v>
      </c>
      <c r="F24" s="689">
        <f>+landbouw!E8</f>
        <v>60.92579938956743</v>
      </c>
      <c r="G24" s="689">
        <f>+landbouw!F8</f>
        <v>5300.3653315726851</v>
      </c>
      <c r="H24" s="689">
        <f>+landbouw!G8</f>
        <v>0</v>
      </c>
      <c r="I24" s="689">
        <f>+landbouw!H8</f>
        <v>0</v>
      </c>
      <c r="J24" s="689">
        <f>+landbouw!I8</f>
        <v>0</v>
      </c>
      <c r="K24" s="689">
        <f>+landbouw!J8</f>
        <v>428.8552252672954</v>
      </c>
      <c r="L24" s="689">
        <f>+landbouw!K8</f>
        <v>0</v>
      </c>
      <c r="M24" s="689">
        <f>+landbouw!L8</f>
        <v>0</v>
      </c>
      <c r="N24" s="689">
        <f>+landbouw!M8</f>
        <v>0</v>
      </c>
      <c r="O24" s="689">
        <f>+landbouw!N8</f>
        <v>0</v>
      </c>
      <c r="P24" s="689">
        <f>+landbouw!O8</f>
        <v>0</v>
      </c>
      <c r="Q24" s="690">
        <f>+landbouw!P8</f>
        <v>0</v>
      </c>
      <c r="R24" s="692">
        <f>SUM(C24:Q24)</f>
        <v>7609.2410553475474</v>
      </c>
      <c r="S24" s="67"/>
    </row>
    <row r="25" spans="1:19" s="451" customFormat="1" ht="15" thickBot="1">
      <c r="A25" s="833" t="s">
        <v>714</v>
      </c>
      <c r="B25" s="947"/>
      <c r="C25" s="948">
        <f>IF(Onbekend_ele_kWh="---",0,Onbekend_ele_kWh)/1000+IF(REST_rest_ele_kWh="---",0,REST_rest_ele_kWh)/1000</f>
        <v>228.81291099999999</v>
      </c>
      <c r="D25" s="948"/>
      <c r="E25" s="948">
        <f>IF(onbekend_gas_kWh="---",0,onbekend_gas_kWh)/1000+IF(REST_rest_gas_kWh="---",0,REST_rest_gas_kWh)/1000</f>
        <v>201.481212</v>
      </c>
      <c r="F25" s="948"/>
      <c r="G25" s="948"/>
      <c r="H25" s="948"/>
      <c r="I25" s="948"/>
      <c r="J25" s="948"/>
      <c r="K25" s="948"/>
      <c r="L25" s="948"/>
      <c r="M25" s="948"/>
      <c r="N25" s="948"/>
      <c r="O25" s="948"/>
      <c r="P25" s="948"/>
      <c r="Q25" s="949"/>
      <c r="R25" s="692">
        <f>SUM(C25:Q25)</f>
        <v>430.29412300000001</v>
      </c>
      <c r="S25" s="67"/>
    </row>
    <row r="26" spans="1:19" s="451" customFormat="1" ht="15.75" thickBot="1">
      <c r="A26" s="697" t="s">
        <v>715</v>
      </c>
      <c r="B26" s="819"/>
      <c r="C26" s="814">
        <f>SUM(C24:C25)</f>
        <v>1862.5163769999999</v>
      </c>
      <c r="D26" s="814">
        <f t="shared" ref="D26:R26" si="2">SUM(D24:D25)</f>
        <v>0</v>
      </c>
      <c r="E26" s="814">
        <f t="shared" si="2"/>
        <v>386.87244511799997</v>
      </c>
      <c r="F26" s="814">
        <f t="shared" si="2"/>
        <v>60.92579938956743</v>
      </c>
      <c r="G26" s="814">
        <f t="shared" si="2"/>
        <v>5300.3653315726851</v>
      </c>
      <c r="H26" s="814">
        <f t="shared" si="2"/>
        <v>0</v>
      </c>
      <c r="I26" s="814">
        <f t="shared" si="2"/>
        <v>0</v>
      </c>
      <c r="J26" s="814">
        <f t="shared" si="2"/>
        <v>0</v>
      </c>
      <c r="K26" s="814">
        <f t="shared" si="2"/>
        <v>428.8552252672954</v>
      </c>
      <c r="L26" s="814">
        <f t="shared" si="2"/>
        <v>0</v>
      </c>
      <c r="M26" s="814">
        <f t="shared" si="2"/>
        <v>0</v>
      </c>
      <c r="N26" s="814">
        <f t="shared" si="2"/>
        <v>0</v>
      </c>
      <c r="O26" s="814">
        <f t="shared" si="2"/>
        <v>0</v>
      </c>
      <c r="P26" s="814">
        <f t="shared" si="2"/>
        <v>0</v>
      </c>
      <c r="Q26" s="814">
        <f t="shared" si="2"/>
        <v>0</v>
      </c>
      <c r="R26" s="814">
        <f t="shared" si="2"/>
        <v>8039.5351783475471</v>
      </c>
      <c r="S26" s="67"/>
    </row>
    <row r="27" spans="1:19" s="451" customFormat="1" ht="17.25" thickTop="1" thickBot="1">
      <c r="A27" s="698" t="s">
        <v>115</v>
      </c>
      <c r="B27" s="806"/>
      <c r="C27" s="699">
        <f ca="1">C22+C16+C26</f>
        <v>24349.026571742212</v>
      </c>
      <c r="D27" s="699">
        <f t="shared" ref="D27:R27" ca="1" si="3">D22+D16+D26</f>
        <v>0</v>
      </c>
      <c r="E27" s="699">
        <f t="shared" ca="1" si="3"/>
        <v>27192.805055494882</v>
      </c>
      <c r="F27" s="699">
        <f t="shared" si="3"/>
        <v>9441.6095449550503</v>
      </c>
      <c r="G27" s="699">
        <f t="shared" ca="1" si="3"/>
        <v>44449.221436505075</v>
      </c>
      <c r="H27" s="699">
        <f t="shared" si="3"/>
        <v>59979.611371618485</v>
      </c>
      <c r="I27" s="699">
        <f t="shared" si="3"/>
        <v>15095.38943193484</v>
      </c>
      <c r="J27" s="699">
        <f t="shared" si="3"/>
        <v>0</v>
      </c>
      <c r="K27" s="699">
        <f t="shared" si="3"/>
        <v>674.83219073202542</v>
      </c>
      <c r="L27" s="699">
        <f t="shared" si="3"/>
        <v>0</v>
      </c>
      <c r="M27" s="699">
        <f t="shared" ca="1" si="3"/>
        <v>0</v>
      </c>
      <c r="N27" s="699">
        <f t="shared" si="3"/>
        <v>4424.609312286042</v>
      </c>
      <c r="O27" s="699">
        <f t="shared" ca="1" si="3"/>
        <v>9932.5976911349462</v>
      </c>
      <c r="P27" s="699">
        <f t="shared" si="3"/>
        <v>225.11662311780168</v>
      </c>
      <c r="Q27" s="699">
        <f t="shared" si="3"/>
        <v>778.85969760904118</v>
      </c>
      <c r="R27" s="699">
        <f t="shared" ca="1" si="3"/>
        <v>196543.67892713042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0</v>
      </c>
      <c r="D40" s="689">
        <f ca="1">tertiair!C20</f>
        <v>0</v>
      </c>
      <c r="E40" s="689">
        <f ca="1">tertiair!D20</f>
        <v>2607.5880051349386</v>
      </c>
      <c r="F40" s="689">
        <f>tertiair!E20</f>
        <v>8.135343828653717</v>
      </c>
      <c r="G40" s="689">
        <f ca="1">tertiair!F20</f>
        <v>420.66826221559899</v>
      </c>
      <c r="H40" s="689">
        <f>tertiair!G20</f>
        <v>0</v>
      </c>
      <c r="I40" s="689">
        <f>tertiair!H20</f>
        <v>0</v>
      </c>
      <c r="J40" s="689">
        <f>tertiair!I20</f>
        <v>0</v>
      </c>
      <c r="K40" s="689">
        <f>tertiair!J20</f>
        <v>7.2872339060982647E-3</v>
      </c>
      <c r="L40" s="689">
        <f>tertiair!K20</f>
        <v>0</v>
      </c>
      <c r="M40" s="689">
        <f ca="1">tertiair!L20</f>
        <v>0</v>
      </c>
      <c r="N40" s="689">
        <f>tertiair!M20</f>
        <v>0</v>
      </c>
      <c r="O40" s="689">
        <f ca="1">tertiair!N20</f>
        <v>0</v>
      </c>
      <c r="P40" s="689">
        <f>tertiair!O20</f>
        <v>0</v>
      </c>
      <c r="Q40" s="772">
        <f>tertiair!P20</f>
        <v>0</v>
      </c>
      <c r="R40" s="852">
        <f t="shared" ca="1" si="4"/>
        <v>3036.3988984130974</v>
      </c>
    </row>
    <row r="41" spans="1:18">
      <c r="A41" s="824" t="s">
        <v>224</v>
      </c>
      <c r="B41" s="831"/>
      <c r="C41" s="689">
        <f ca="1">huishoudens!B12</f>
        <v>0</v>
      </c>
      <c r="D41" s="689">
        <f ca="1">huishoudens!C12</f>
        <v>0</v>
      </c>
      <c r="E41" s="689">
        <f>huishoudens!D12</f>
        <v>2640.166848564168</v>
      </c>
      <c r="F41" s="689">
        <f>huishoudens!E12</f>
        <v>2088.6534077549336</v>
      </c>
      <c r="G41" s="689">
        <f>huishoudens!F12</f>
        <v>9826.4896903472018</v>
      </c>
      <c r="H41" s="689">
        <f>huishoudens!G12</f>
        <v>0</v>
      </c>
      <c r="I41" s="689">
        <f>huishoudens!H12</f>
        <v>0</v>
      </c>
      <c r="J41" s="689">
        <f>huishoudens!I12</f>
        <v>0</v>
      </c>
      <c r="K41" s="689">
        <f>huishoudens!J12</f>
        <v>86.999996963520999</v>
      </c>
      <c r="L41" s="689">
        <f>huishoudens!K12</f>
        <v>0</v>
      </c>
      <c r="M41" s="689">
        <f>huishoudens!L12</f>
        <v>0</v>
      </c>
      <c r="N41" s="689">
        <f>huishoudens!M12</f>
        <v>0</v>
      </c>
      <c r="O41" s="689">
        <f>huishoudens!N12</f>
        <v>0</v>
      </c>
      <c r="P41" s="689">
        <f>huishoudens!O12</f>
        <v>0</v>
      </c>
      <c r="Q41" s="772">
        <f>huishoudens!P12</f>
        <v>0</v>
      </c>
      <c r="R41" s="852">
        <f t="shared" ca="1" si="4"/>
        <v>14642.309943629825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0</v>
      </c>
      <c r="D43" s="689">
        <f ca="1">industrie!C22</f>
        <v>0</v>
      </c>
      <c r="E43" s="689">
        <f>industrie!D22</f>
        <v>120.08507100647401</v>
      </c>
      <c r="F43" s="689">
        <f>industrie!E22</f>
        <v>1.3635960990380529</v>
      </c>
      <c r="G43" s="689">
        <f>industrie!F22</f>
        <v>205.58662745414804</v>
      </c>
      <c r="H43" s="689">
        <f>industrie!G22</f>
        <v>0</v>
      </c>
      <c r="I43" s="689">
        <f>industrie!H22</f>
        <v>0</v>
      </c>
      <c r="J43" s="689">
        <f>industrie!I22</f>
        <v>0</v>
      </c>
      <c r="K43" s="689">
        <f>industrie!J22</f>
        <v>6.8561577087317901E-2</v>
      </c>
      <c r="L43" s="689">
        <f>industrie!K22</f>
        <v>0</v>
      </c>
      <c r="M43" s="689">
        <f>industrie!L22</f>
        <v>0</v>
      </c>
      <c r="N43" s="689">
        <f>industrie!M22</f>
        <v>0</v>
      </c>
      <c r="O43" s="689">
        <f>industrie!N22</f>
        <v>0</v>
      </c>
      <c r="P43" s="689">
        <f>industrie!O22</f>
        <v>0</v>
      </c>
      <c r="Q43" s="772">
        <f>industrie!P22</f>
        <v>0</v>
      </c>
      <c r="R43" s="851">
        <f t="shared" ca="1" si="4"/>
        <v>327.10385613674742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0</v>
      </c>
      <c r="D46" s="725">
        <f t="shared" ref="D46:Q46" ca="1" si="5">SUM(D39:D45)</f>
        <v>0</v>
      </c>
      <c r="E46" s="725">
        <f t="shared" ca="1" si="5"/>
        <v>5367.8399247055813</v>
      </c>
      <c r="F46" s="725">
        <f t="shared" si="5"/>
        <v>2098.1523476826255</v>
      </c>
      <c r="G46" s="725">
        <f t="shared" ca="1" si="5"/>
        <v>10452.744580016948</v>
      </c>
      <c r="H46" s="725">
        <f t="shared" si="5"/>
        <v>0</v>
      </c>
      <c r="I46" s="725">
        <f t="shared" si="5"/>
        <v>0</v>
      </c>
      <c r="J46" s="725">
        <f t="shared" si="5"/>
        <v>0</v>
      </c>
      <c r="K46" s="725">
        <f t="shared" si="5"/>
        <v>87.07584577451442</v>
      </c>
      <c r="L46" s="725">
        <f t="shared" si="5"/>
        <v>0</v>
      </c>
      <c r="M46" s="725">
        <f t="shared" ca="1" si="5"/>
        <v>0</v>
      </c>
      <c r="N46" s="725">
        <f t="shared" si="5"/>
        <v>0</v>
      </c>
      <c r="O46" s="725">
        <f t="shared" ca="1" si="5"/>
        <v>0</v>
      </c>
      <c r="P46" s="725">
        <f t="shared" si="5"/>
        <v>0</v>
      </c>
      <c r="Q46" s="725">
        <f t="shared" si="5"/>
        <v>0</v>
      </c>
      <c r="R46" s="725">
        <f ca="1">SUM(R39:R45)</f>
        <v>18005.812698179667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223.68207377919006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223.68207377919006</v>
      </c>
    </row>
    <row r="50" spans="1:18">
      <c r="A50" s="827" t="s">
        <v>306</v>
      </c>
      <c r="B50" s="837"/>
      <c r="C50" s="695">
        <f ca="1">transport!B18</f>
        <v>0</v>
      </c>
      <c r="D50" s="695">
        <f>transport!C18</f>
        <v>0</v>
      </c>
      <c r="E50" s="695">
        <f>transport!D18</f>
        <v>46.95846259055071</v>
      </c>
      <c r="F50" s="695">
        <f>transport!E18</f>
        <v>31.26286256073924</v>
      </c>
      <c r="G50" s="695">
        <f>transport!F18</f>
        <v>0</v>
      </c>
      <c r="H50" s="695">
        <f>transport!G18</f>
        <v>15790.874162442946</v>
      </c>
      <c r="I50" s="695">
        <f>transport!H18</f>
        <v>3758.751968551775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19627.84745614601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0</v>
      </c>
      <c r="D52" s="725">
        <f t="shared" ref="D52:Q52" ca="1" si="6">SUM(D48:D51)</f>
        <v>0</v>
      </c>
      <c r="E52" s="725">
        <f t="shared" si="6"/>
        <v>46.95846259055071</v>
      </c>
      <c r="F52" s="725">
        <f t="shared" si="6"/>
        <v>31.26286256073924</v>
      </c>
      <c r="G52" s="725">
        <f t="shared" si="6"/>
        <v>0</v>
      </c>
      <c r="H52" s="725">
        <f t="shared" si="6"/>
        <v>16014.556236222135</v>
      </c>
      <c r="I52" s="725">
        <f t="shared" si="6"/>
        <v>3758.751968551775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19851.529529925199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0</v>
      </c>
      <c r="D54" s="695">
        <f ca="1">+landbouw!C12</f>
        <v>0</v>
      </c>
      <c r="E54" s="695">
        <f>+landbouw!D12</f>
        <v>37.449029089836003</v>
      </c>
      <c r="F54" s="695">
        <f>+landbouw!E12</f>
        <v>13.830156461431807</v>
      </c>
      <c r="G54" s="695">
        <f>+landbouw!F12</f>
        <v>1415.1975435299071</v>
      </c>
      <c r="H54" s="695">
        <f>+landbouw!G12</f>
        <v>0</v>
      </c>
      <c r="I54" s="695">
        <f>+landbouw!H12</f>
        <v>0</v>
      </c>
      <c r="J54" s="695">
        <f>+landbouw!I12</f>
        <v>0</v>
      </c>
      <c r="K54" s="695">
        <f>+landbouw!J12</f>
        <v>151.81474974462256</v>
      </c>
      <c r="L54" s="695">
        <f>+landbouw!K12</f>
        <v>0</v>
      </c>
      <c r="M54" s="695">
        <f>+landbouw!L12</f>
        <v>0</v>
      </c>
      <c r="N54" s="695">
        <f>+landbouw!M12</f>
        <v>0</v>
      </c>
      <c r="O54" s="695">
        <f>+landbouw!N12</f>
        <v>0</v>
      </c>
      <c r="P54" s="695">
        <f>+landbouw!O12</f>
        <v>0</v>
      </c>
      <c r="Q54" s="696">
        <f>+landbouw!P12</f>
        <v>0</v>
      </c>
      <c r="R54" s="724">
        <f ca="1">SUM(C54:Q54)</f>
        <v>1618.2914788257974</v>
      </c>
    </row>
    <row r="55" spans="1:18" ht="15" thickBot="1">
      <c r="A55" s="827" t="s">
        <v>714</v>
      </c>
      <c r="B55" s="837"/>
      <c r="C55" s="695">
        <f ca="1">C25*'EF ele_warmte'!B12</f>
        <v>0</v>
      </c>
      <c r="D55" s="695"/>
      <c r="E55" s="695">
        <f>E25*EF_CO2_aardgas</f>
        <v>40.699204824000006</v>
      </c>
      <c r="F55" s="695"/>
      <c r="G55" s="695"/>
      <c r="H55" s="695"/>
      <c r="I55" s="695"/>
      <c r="J55" s="695"/>
      <c r="K55" s="695"/>
      <c r="L55" s="695"/>
      <c r="M55" s="695"/>
      <c r="N55" s="695"/>
      <c r="O55" s="695"/>
      <c r="P55" s="695"/>
      <c r="Q55" s="696"/>
      <c r="R55" s="724">
        <f ca="1">SUM(C55:Q55)</f>
        <v>40.699204824000006</v>
      </c>
    </row>
    <row r="56" spans="1:18" ht="15.75" thickBot="1">
      <c r="A56" s="825" t="s">
        <v>715</v>
      </c>
      <c r="B56" s="838"/>
      <c r="C56" s="725">
        <f ca="1">SUM(C54:C55)</f>
        <v>0</v>
      </c>
      <c r="D56" s="725">
        <f t="shared" ref="D56:Q56" ca="1" si="7">SUM(D54:D55)</f>
        <v>0</v>
      </c>
      <c r="E56" s="725">
        <f t="shared" si="7"/>
        <v>78.148233913836009</v>
      </c>
      <c r="F56" s="725">
        <f t="shared" si="7"/>
        <v>13.830156461431807</v>
      </c>
      <c r="G56" s="725">
        <f t="shared" si="7"/>
        <v>1415.1975435299071</v>
      </c>
      <c r="H56" s="725">
        <f t="shared" si="7"/>
        <v>0</v>
      </c>
      <c r="I56" s="725">
        <f t="shared" si="7"/>
        <v>0</v>
      </c>
      <c r="J56" s="725">
        <f t="shared" si="7"/>
        <v>0</v>
      </c>
      <c r="K56" s="725">
        <f t="shared" si="7"/>
        <v>151.81474974462256</v>
      </c>
      <c r="L56" s="725">
        <f t="shared" si="7"/>
        <v>0</v>
      </c>
      <c r="M56" s="725">
        <f t="shared" si="7"/>
        <v>0</v>
      </c>
      <c r="N56" s="725">
        <f t="shared" si="7"/>
        <v>0</v>
      </c>
      <c r="O56" s="725">
        <f t="shared" si="7"/>
        <v>0</v>
      </c>
      <c r="P56" s="725">
        <f t="shared" si="7"/>
        <v>0</v>
      </c>
      <c r="Q56" s="726">
        <f t="shared" si="7"/>
        <v>0</v>
      </c>
      <c r="R56" s="727">
        <f ca="1">SUM(R54:R55)</f>
        <v>1658.9906836497973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0</v>
      </c>
      <c r="D61" s="733">
        <f t="shared" ref="D61:Q61" ca="1" si="8">D46+D52+D56</f>
        <v>0</v>
      </c>
      <c r="E61" s="733">
        <f t="shared" ca="1" si="8"/>
        <v>5492.9466212099678</v>
      </c>
      <c r="F61" s="733">
        <f t="shared" si="8"/>
        <v>2143.2453667047967</v>
      </c>
      <c r="G61" s="733">
        <f t="shared" ca="1" si="8"/>
        <v>11867.942123546854</v>
      </c>
      <c r="H61" s="733">
        <f t="shared" si="8"/>
        <v>16014.556236222135</v>
      </c>
      <c r="I61" s="733">
        <f t="shared" si="8"/>
        <v>3758.751968551775</v>
      </c>
      <c r="J61" s="733">
        <f t="shared" si="8"/>
        <v>0</v>
      </c>
      <c r="K61" s="733">
        <f t="shared" si="8"/>
        <v>238.89059551913698</v>
      </c>
      <c r="L61" s="733">
        <f t="shared" si="8"/>
        <v>0</v>
      </c>
      <c r="M61" s="733">
        <f t="shared" ca="1" si="8"/>
        <v>0</v>
      </c>
      <c r="N61" s="733">
        <f t="shared" si="8"/>
        <v>0</v>
      </c>
      <c r="O61" s="733">
        <f t="shared" ca="1" si="8"/>
        <v>0</v>
      </c>
      <c r="P61" s="733">
        <f t="shared" si="8"/>
        <v>0</v>
      </c>
      <c r="Q61" s="733">
        <f t="shared" si="8"/>
        <v>0</v>
      </c>
      <c r="R61" s="733">
        <f ca="1">R46+R52+R56</f>
        <v>39516.332911754667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v>
      </c>
      <c r="D63" s="779">
        <f t="shared" ca="1" si="9"/>
        <v>0</v>
      </c>
      <c r="E63" s="973">
        <f t="shared" ca="1" si="9"/>
        <v>0.20200000000000007</v>
      </c>
      <c r="F63" s="779">
        <f t="shared" si="9"/>
        <v>0.22700000000000004</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26111.016583821194</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4101.8558059594006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30212.872389780594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26111.016583821194</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4101.8558059594006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30212.872389780594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14967.176677024992</v>
      </c>
      <c r="C4" s="455">
        <f>huishoudens!C8</f>
        <v>0</v>
      </c>
      <c r="D4" s="455">
        <f>huishoudens!D8</f>
        <v>13070.132913684</v>
      </c>
      <c r="E4" s="455">
        <f>huishoudens!E8</f>
        <v>9201.1163337221751</v>
      </c>
      <c r="F4" s="455">
        <f>huishoudens!F8</f>
        <v>36803.332173585026</v>
      </c>
      <c r="G4" s="455">
        <f>huishoudens!G8</f>
        <v>0</v>
      </c>
      <c r="H4" s="455">
        <f>huishoudens!H8</f>
        <v>0</v>
      </c>
      <c r="I4" s="455">
        <f>huishoudens!I8</f>
        <v>0</v>
      </c>
      <c r="J4" s="455">
        <f>huishoudens!J8</f>
        <v>245.76270328678248</v>
      </c>
      <c r="K4" s="455">
        <f>huishoudens!K8</f>
        <v>0</v>
      </c>
      <c r="L4" s="455">
        <f>huishoudens!L8</f>
        <v>0</v>
      </c>
      <c r="M4" s="455">
        <f>huishoudens!M8</f>
        <v>0</v>
      </c>
      <c r="N4" s="455">
        <f>huishoudens!N8</f>
        <v>9130.2979824910908</v>
      </c>
      <c r="O4" s="455">
        <f>huishoudens!O8</f>
        <v>220.21936235196051</v>
      </c>
      <c r="P4" s="456">
        <f>huishoudens!P8</f>
        <v>516.16400607656612</v>
      </c>
      <c r="Q4" s="457">
        <f>SUM(B4:P4)</f>
        <v>84154.202152222599</v>
      </c>
    </row>
    <row r="5" spans="1:17">
      <c r="A5" s="454" t="s">
        <v>155</v>
      </c>
      <c r="B5" s="455">
        <f ca="1">tertiair!B16</f>
        <v>5593.9285579999996</v>
      </c>
      <c r="C5" s="455">
        <f ca="1">tertiair!C16</f>
        <v>0</v>
      </c>
      <c r="D5" s="455">
        <f ca="1">tertiair!D16</f>
        <v>12908.851510569002</v>
      </c>
      <c r="E5" s="455">
        <f>tertiair!E16</f>
        <v>35.838519068959101</v>
      </c>
      <c r="F5" s="455">
        <f ca="1">tertiair!F16</f>
        <v>1575.5365626052396</v>
      </c>
      <c r="G5" s="455">
        <f>tertiair!G16</f>
        <v>0</v>
      </c>
      <c r="H5" s="455">
        <f>tertiair!H16</f>
        <v>0</v>
      </c>
      <c r="I5" s="455">
        <f>tertiair!I16</f>
        <v>0</v>
      </c>
      <c r="J5" s="455">
        <f>tertiair!J16</f>
        <v>2.0585406514401879E-2</v>
      </c>
      <c r="K5" s="455">
        <f>tertiair!K16</f>
        <v>0</v>
      </c>
      <c r="L5" s="455">
        <f ca="1">tertiair!L16</f>
        <v>0</v>
      </c>
      <c r="M5" s="455">
        <f>tertiair!M16</f>
        <v>0</v>
      </c>
      <c r="N5" s="455">
        <f ca="1">tertiair!N16</f>
        <v>748.29410040362234</v>
      </c>
      <c r="O5" s="455">
        <f>tertiair!O16</f>
        <v>4.8972607658411542</v>
      </c>
      <c r="P5" s="456">
        <f>tertiair!P16</f>
        <v>262.69569153247511</v>
      </c>
      <c r="Q5" s="454">
        <f t="shared" ref="Q5:Q14" ca="1" si="0">SUM(B5:P5)</f>
        <v>21130.06278835165</v>
      </c>
    </row>
    <row r="6" spans="1:17">
      <c r="A6" s="454" t="s">
        <v>193</v>
      </c>
      <c r="B6" s="455">
        <f>'openbare verlichting'!B8</f>
        <v>500.53186999999997</v>
      </c>
      <c r="C6" s="455"/>
      <c r="D6" s="455"/>
      <c r="E6" s="455"/>
      <c r="F6" s="455"/>
      <c r="G6" s="455"/>
      <c r="H6" s="455"/>
      <c r="I6" s="455"/>
      <c r="J6" s="455"/>
      <c r="K6" s="455"/>
      <c r="L6" s="455"/>
      <c r="M6" s="455"/>
      <c r="N6" s="455"/>
      <c r="O6" s="455"/>
      <c r="P6" s="456"/>
      <c r="Q6" s="454">
        <f t="shared" si="0"/>
        <v>500.53186999999997</v>
      </c>
    </row>
    <row r="7" spans="1:17">
      <c r="A7" s="454" t="s">
        <v>111</v>
      </c>
      <c r="B7" s="455">
        <f>landbouw!B8</f>
        <v>1633.7034659999999</v>
      </c>
      <c r="C7" s="455">
        <f>landbouw!C8</f>
        <v>0</v>
      </c>
      <c r="D7" s="455">
        <f>landbouw!D8</f>
        <v>185.391233118</v>
      </c>
      <c r="E7" s="455">
        <f>landbouw!E8</f>
        <v>60.92579938956743</v>
      </c>
      <c r="F7" s="455">
        <f>landbouw!F8</f>
        <v>5300.3653315726851</v>
      </c>
      <c r="G7" s="455">
        <f>landbouw!G8</f>
        <v>0</v>
      </c>
      <c r="H7" s="455">
        <f>landbouw!H8</f>
        <v>0</v>
      </c>
      <c r="I7" s="455">
        <f>landbouw!I8</f>
        <v>0</v>
      </c>
      <c r="J7" s="455">
        <f>landbouw!J8</f>
        <v>428.8552252672954</v>
      </c>
      <c r="K7" s="455">
        <f>landbouw!K8</f>
        <v>0</v>
      </c>
      <c r="L7" s="455">
        <f>landbouw!L8</f>
        <v>0</v>
      </c>
      <c r="M7" s="455">
        <f>landbouw!M8</f>
        <v>0</v>
      </c>
      <c r="N7" s="455">
        <f>landbouw!N8</f>
        <v>0</v>
      </c>
      <c r="O7" s="455">
        <f>landbouw!O8</f>
        <v>0</v>
      </c>
      <c r="P7" s="456">
        <f>landbouw!P8</f>
        <v>0</v>
      </c>
      <c r="Q7" s="454">
        <f t="shared" si="0"/>
        <v>7609.2410553475474</v>
      </c>
    </row>
    <row r="8" spans="1:17">
      <c r="A8" s="454" t="s">
        <v>626</v>
      </c>
      <c r="B8" s="455">
        <f>industrie!B18</f>
        <v>1366.1820160000002</v>
      </c>
      <c r="C8" s="455">
        <f>industrie!C18</f>
        <v>0</v>
      </c>
      <c r="D8" s="455">
        <f>industrie!D18</f>
        <v>594.480549537</v>
      </c>
      <c r="E8" s="455">
        <f>industrie!E18</f>
        <v>6.0070312732953868</v>
      </c>
      <c r="F8" s="455">
        <f>industrie!F18</f>
        <v>769.9873687421275</v>
      </c>
      <c r="G8" s="455">
        <f>industrie!G18</f>
        <v>0</v>
      </c>
      <c r="H8" s="455">
        <f>industrie!H18</f>
        <v>0</v>
      </c>
      <c r="I8" s="455">
        <f>industrie!I18</f>
        <v>0</v>
      </c>
      <c r="J8" s="455">
        <f>industrie!J18</f>
        <v>0.19367677143310144</v>
      </c>
      <c r="K8" s="455">
        <f>industrie!K18</f>
        <v>0</v>
      </c>
      <c r="L8" s="455">
        <f>industrie!L18</f>
        <v>0</v>
      </c>
      <c r="M8" s="455">
        <f>industrie!M18</f>
        <v>0</v>
      </c>
      <c r="N8" s="455">
        <f>industrie!N18</f>
        <v>54.005608240234018</v>
      </c>
      <c r="O8" s="455">
        <f>industrie!O18</f>
        <v>0</v>
      </c>
      <c r="P8" s="456">
        <f>industrie!P18</f>
        <v>0</v>
      </c>
      <c r="Q8" s="454">
        <f t="shared" si="0"/>
        <v>2790.8562505640903</v>
      </c>
    </row>
    <row r="9" spans="1:17" s="460" customFormat="1">
      <c r="A9" s="458" t="s">
        <v>552</v>
      </c>
      <c r="B9" s="459">
        <f>transport!B14</f>
        <v>58.691073717223837</v>
      </c>
      <c r="C9" s="459">
        <f>transport!C14</f>
        <v>0</v>
      </c>
      <c r="D9" s="459">
        <f>transport!D14</f>
        <v>232.46763658688468</v>
      </c>
      <c r="E9" s="459">
        <f>transport!E14</f>
        <v>137.72186150105392</v>
      </c>
      <c r="F9" s="459">
        <f>transport!F14</f>
        <v>0</v>
      </c>
      <c r="G9" s="459">
        <f>transport!G14</f>
        <v>59141.850795666462</v>
      </c>
      <c r="H9" s="459">
        <f>transport!H14</f>
        <v>15095.38943193484</v>
      </c>
      <c r="I9" s="459">
        <f>transport!I14</f>
        <v>0</v>
      </c>
      <c r="J9" s="459">
        <f>transport!J14</f>
        <v>0</v>
      </c>
      <c r="K9" s="459">
        <f>transport!K14</f>
        <v>0</v>
      </c>
      <c r="L9" s="459">
        <f>transport!L14</f>
        <v>0</v>
      </c>
      <c r="M9" s="459">
        <f>transport!M14</f>
        <v>4379.1476518955087</v>
      </c>
      <c r="N9" s="459">
        <f>transport!N14</f>
        <v>0</v>
      </c>
      <c r="O9" s="459">
        <f>transport!O14</f>
        <v>0</v>
      </c>
      <c r="P9" s="459">
        <f>transport!P14</f>
        <v>0</v>
      </c>
      <c r="Q9" s="458">
        <f>SUM(B9:P9)</f>
        <v>79045.268451301963</v>
      </c>
    </row>
    <row r="10" spans="1:17">
      <c r="A10" s="454" t="s">
        <v>542</v>
      </c>
      <c r="B10" s="455">
        <f>transport!B54</f>
        <v>0</v>
      </c>
      <c r="C10" s="455">
        <f>transport!C54</f>
        <v>0</v>
      </c>
      <c r="D10" s="455">
        <f>transport!D54</f>
        <v>0</v>
      </c>
      <c r="E10" s="455">
        <f>transport!E54</f>
        <v>0</v>
      </c>
      <c r="F10" s="455">
        <f>transport!F54</f>
        <v>0</v>
      </c>
      <c r="G10" s="455">
        <f>transport!G54</f>
        <v>837.76057595202269</v>
      </c>
      <c r="H10" s="455">
        <f>transport!H54</f>
        <v>0</v>
      </c>
      <c r="I10" s="455">
        <f>transport!I54</f>
        <v>0</v>
      </c>
      <c r="J10" s="455">
        <f>transport!J54</f>
        <v>0</v>
      </c>
      <c r="K10" s="455">
        <f>transport!K54</f>
        <v>0</v>
      </c>
      <c r="L10" s="455">
        <f>transport!L54</f>
        <v>0</v>
      </c>
      <c r="M10" s="455">
        <f>transport!M54</f>
        <v>45.461660390533638</v>
      </c>
      <c r="N10" s="455">
        <f>transport!N54</f>
        <v>0</v>
      </c>
      <c r="O10" s="455">
        <f>transport!O54</f>
        <v>0</v>
      </c>
      <c r="P10" s="456">
        <f>transport!P54</f>
        <v>0</v>
      </c>
      <c r="Q10" s="454">
        <f t="shared" si="0"/>
        <v>883.22223634255636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228.81291099999999</v>
      </c>
      <c r="C14" s="462"/>
      <c r="D14" s="462">
        <f>'SEAP template'!E25</f>
        <v>201.481212</v>
      </c>
      <c r="E14" s="462"/>
      <c r="F14" s="462"/>
      <c r="G14" s="462"/>
      <c r="H14" s="462"/>
      <c r="I14" s="462"/>
      <c r="J14" s="462"/>
      <c r="K14" s="462"/>
      <c r="L14" s="462"/>
      <c r="M14" s="462"/>
      <c r="N14" s="462"/>
      <c r="O14" s="462"/>
      <c r="P14" s="463"/>
      <c r="Q14" s="454">
        <f t="shared" si="0"/>
        <v>430.29412300000001</v>
      </c>
    </row>
    <row r="15" spans="1:17" s="466" customFormat="1">
      <c r="A15" s="464" t="s">
        <v>546</v>
      </c>
      <c r="B15" s="465">
        <f ca="1">SUM(B4:B14)</f>
        <v>24349.026571742212</v>
      </c>
      <c r="C15" s="465">
        <f t="shared" ref="C15:Q15" ca="1" si="1">SUM(C4:C14)</f>
        <v>0</v>
      </c>
      <c r="D15" s="465">
        <f t="shared" ca="1" si="1"/>
        <v>27192.805055494882</v>
      </c>
      <c r="E15" s="465">
        <f t="shared" si="1"/>
        <v>9441.6095449550503</v>
      </c>
      <c r="F15" s="465">
        <f t="shared" ca="1" si="1"/>
        <v>44449.221436505075</v>
      </c>
      <c r="G15" s="465">
        <f t="shared" si="1"/>
        <v>59979.611371618485</v>
      </c>
      <c r="H15" s="465">
        <f t="shared" si="1"/>
        <v>15095.38943193484</v>
      </c>
      <c r="I15" s="465">
        <f t="shared" si="1"/>
        <v>0</v>
      </c>
      <c r="J15" s="465">
        <f t="shared" si="1"/>
        <v>674.83219073202531</v>
      </c>
      <c r="K15" s="465">
        <f t="shared" si="1"/>
        <v>0</v>
      </c>
      <c r="L15" s="465">
        <f t="shared" ca="1" si="1"/>
        <v>0</v>
      </c>
      <c r="M15" s="465">
        <f t="shared" si="1"/>
        <v>4424.609312286042</v>
      </c>
      <c r="N15" s="465">
        <f t="shared" ca="1" si="1"/>
        <v>9932.5976911349462</v>
      </c>
      <c r="O15" s="465">
        <f t="shared" si="1"/>
        <v>225.11662311780168</v>
      </c>
      <c r="P15" s="465">
        <f t="shared" si="1"/>
        <v>778.85969760904118</v>
      </c>
      <c r="Q15" s="465">
        <f t="shared" ca="1" si="1"/>
        <v>196543.67892713042</v>
      </c>
    </row>
    <row r="17" spans="1:17">
      <c r="A17" s="467" t="s">
        <v>547</v>
      </c>
      <c r="B17" s="784">
        <f ca="1">huishoudens!B10</f>
        <v>0</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0</v>
      </c>
      <c r="C22" s="455">
        <f t="shared" ref="C22:C32" ca="1" si="3">C4*$C$17</f>
        <v>0</v>
      </c>
      <c r="D22" s="455">
        <f t="shared" ref="D22:D32" si="4">D4*$D$17</f>
        <v>2640.166848564168</v>
      </c>
      <c r="E22" s="455">
        <f t="shared" ref="E22:E32" si="5">E4*$E$17</f>
        <v>2088.6534077549336</v>
      </c>
      <c r="F22" s="455">
        <f t="shared" ref="F22:F32" si="6">F4*$F$17</f>
        <v>9826.4896903472018</v>
      </c>
      <c r="G22" s="455">
        <f t="shared" ref="G22:G32" si="7">G4*$G$17</f>
        <v>0</v>
      </c>
      <c r="H22" s="455">
        <f t="shared" ref="H22:H32" si="8">H4*$H$17</f>
        <v>0</v>
      </c>
      <c r="I22" s="455">
        <f t="shared" ref="I22:I32" si="9">I4*$I$17</f>
        <v>0</v>
      </c>
      <c r="J22" s="455">
        <f t="shared" ref="J22:J32" si="10">J4*$J$17</f>
        <v>86.999996963520999</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14642.309943629825</v>
      </c>
    </row>
    <row r="23" spans="1:17">
      <c r="A23" s="454" t="s">
        <v>155</v>
      </c>
      <c r="B23" s="455">
        <f t="shared" ca="1" si="2"/>
        <v>0</v>
      </c>
      <c r="C23" s="455">
        <f t="shared" ca="1" si="3"/>
        <v>0</v>
      </c>
      <c r="D23" s="455">
        <f t="shared" ca="1" si="4"/>
        <v>2607.5880051349386</v>
      </c>
      <c r="E23" s="455">
        <f t="shared" si="5"/>
        <v>8.135343828653717</v>
      </c>
      <c r="F23" s="455">
        <f t="shared" ca="1" si="6"/>
        <v>420.66826221559899</v>
      </c>
      <c r="G23" s="455">
        <f t="shared" si="7"/>
        <v>0</v>
      </c>
      <c r="H23" s="455">
        <f t="shared" si="8"/>
        <v>0</v>
      </c>
      <c r="I23" s="455">
        <f t="shared" si="9"/>
        <v>0</v>
      </c>
      <c r="J23" s="455">
        <f t="shared" si="10"/>
        <v>7.2872339060982647E-3</v>
      </c>
      <c r="K23" s="455">
        <f t="shared" si="11"/>
        <v>0</v>
      </c>
      <c r="L23" s="455">
        <f t="shared" ca="1" si="12"/>
        <v>0</v>
      </c>
      <c r="M23" s="455">
        <f t="shared" si="13"/>
        <v>0</v>
      </c>
      <c r="N23" s="455">
        <f t="shared" ca="1" si="14"/>
        <v>0</v>
      </c>
      <c r="O23" s="455">
        <f t="shared" si="15"/>
        <v>0</v>
      </c>
      <c r="P23" s="456">
        <f t="shared" si="16"/>
        <v>0</v>
      </c>
      <c r="Q23" s="454">
        <f t="shared" ref="Q23:Q31" ca="1" si="17">SUM(B23:P23)</f>
        <v>3036.3988984130974</v>
      </c>
    </row>
    <row r="24" spans="1:17">
      <c r="A24" s="454" t="s">
        <v>193</v>
      </c>
      <c r="B24" s="455">
        <f t="shared" ca="1" si="2"/>
        <v>0</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0</v>
      </c>
    </row>
    <row r="25" spans="1:17">
      <c r="A25" s="454" t="s">
        <v>111</v>
      </c>
      <c r="B25" s="455">
        <f t="shared" ca="1" si="2"/>
        <v>0</v>
      </c>
      <c r="C25" s="455">
        <f t="shared" ca="1" si="3"/>
        <v>0</v>
      </c>
      <c r="D25" s="455">
        <f t="shared" si="4"/>
        <v>37.449029089836003</v>
      </c>
      <c r="E25" s="455">
        <f t="shared" si="5"/>
        <v>13.830156461431807</v>
      </c>
      <c r="F25" s="455">
        <f t="shared" si="6"/>
        <v>1415.1975435299071</v>
      </c>
      <c r="G25" s="455">
        <f t="shared" si="7"/>
        <v>0</v>
      </c>
      <c r="H25" s="455">
        <f t="shared" si="8"/>
        <v>0</v>
      </c>
      <c r="I25" s="455">
        <f t="shared" si="9"/>
        <v>0</v>
      </c>
      <c r="J25" s="455">
        <f t="shared" si="10"/>
        <v>151.81474974462256</v>
      </c>
      <c r="K25" s="455">
        <f t="shared" si="11"/>
        <v>0</v>
      </c>
      <c r="L25" s="455">
        <f t="shared" si="12"/>
        <v>0</v>
      </c>
      <c r="M25" s="455">
        <f t="shared" si="13"/>
        <v>0</v>
      </c>
      <c r="N25" s="455">
        <f t="shared" si="14"/>
        <v>0</v>
      </c>
      <c r="O25" s="455">
        <f t="shared" si="15"/>
        <v>0</v>
      </c>
      <c r="P25" s="456">
        <f t="shared" si="16"/>
        <v>0</v>
      </c>
      <c r="Q25" s="454">
        <f t="shared" ca="1" si="17"/>
        <v>1618.2914788257974</v>
      </c>
    </row>
    <row r="26" spans="1:17">
      <c r="A26" s="454" t="s">
        <v>626</v>
      </c>
      <c r="B26" s="455">
        <f t="shared" ca="1" si="2"/>
        <v>0</v>
      </c>
      <c r="C26" s="455">
        <f t="shared" ca="1" si="3"/>
        <v>0</v>
      </c>
      <c r="D26" s="455">
        <f t="shared" si="4"/>
        <v>120.08507100647401</v>
      </c>
      <c r="E26" s="455">
        <f t="shared" si="5"/>
        <v>1.3635960990380529</v>
      </c>
      <c r="F26" s="455">
        <f t="shared" si="6"/>
        <v>205.58662745414804</v>
      </c>
      <c r="G26" s="455">
        <f t="shared" si="7"/>
        <v>0</v>
      </c>
      <c r="H26" s="455">
        <f t="shared" si="8"/>
        <v>0</v>
      </c>
      <c r="I26" s="455">
        <f t="shared" si="9"/>
        <v>0</v>
      </c>
      <c r="J26" s="455">
        <f t="shared" si="10"/>
        <v>6.8561577087317901E-2</v>
      </c>
      <c r="K26" s="455">
        <f t="shared" si="11"/>
        <v>0</v>
      </c>
      <c r="L26" s="455">
        <f t="shared" si="12"/>
        <v>0</v>
      </c>
      <c r="M26" s="455">
        <f t="shared" si="13"/>
        <v>0</v>
      </c>
      <c r="N26" s="455">
        <f t="shared" si="14"/>
        <v>0</v>
      </c>
      <c r="O26" s="455">
        <f t="shared" si="15"/>
        <v>0</v>
      </c>
      <c r="P26" s="456">
        <f t="shared" si="16"/>
        <v>0</v>
      </c>
      <c r="Q26" s="454">
        <f t="shared" ca="1" si="17"/>
        <v>327.10385613674742</v>
      </c>
    </row>
    <row r="27" spans="1:17" s="460" customFormat="1">
      <c r="A27" s="458" t="s">
        <v>552</v>
      </c>
      <c r="B27" s="778">
        <f t="shared" ca="1" si="2"/>
        <v>0</v>
      </c>
      <c r="C27" s="459">
        <f t="shared" ca="1" si="3"/>
        <v>0</v>
      </c>
      <c r="D27" s="459">
        <f t="shared" si="4"/>
        <v>46.95846259055071</v>
      </c>
      <c r="E27" s="459">
        <f t="shared" si="5"/>
        <v>31.26286256073924</v>
      </c>
      <c r="F27" s="459">
        <f t="shared" si="6"/>
        <v>0</v>
      </c>
      <c r="G27" s="459">
        <f t="shared" si="7"/>
        <v>15790.874162442946</v>
      </c>
      <c r="H27" s="459">
        <f t="shared" si="8"/>
        <v>3758.751968551775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19627.84745614601</v>
      </c>
    </row>
    <row r="28" spans="1:17" ht="16.5" customHeight="1">
      <c r="A28" s="454" t="s">
        <v>542</v>
      </c>
      <c r="B28" s="455">
        <f t="shared" ca="1" si="2"/>
        <v>0</v>
      </c>
      <c r="C28" s="455">
        <f t="shared" ca="1" si="3"/>
        <v>0</v>
      </c>
      <c r="D28" s="455">
        <f t="shared" si="4"/>
        <v>0</v>
      </c>
      <c r="E28" s="455">
        <f t="shared" si="5"/>
        <v>0</v>
      </c>
      <c r="F28" s="455">
        <f t="shared" si="6"/>
        <v>0</v>
      </c>
      <c r="G28" s="455">
        <f t="shared" si="7"/>
        <v>223.68207377919006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223.68207377919006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0</v>
      </c>
      <c r="C32" s="455">
        <f t="shared" ca="1" si="3"/>
        <v>0</v>
      </c>
      <c r="D32" s="455">
        <f t="shared" si="4"/>
        <v>40.699204824000006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40.699204824000006</v>
      </c>
    </row>
    <row r="33" spans="1:17" s="466" customFormat="1">
      <c r="A33" s="464" t="s">
        <v>546</v>
      </c>
      <c r="B33" s="465">
        <f ca="1">SUM(B22:B32)</f>
        <v>0</v>
      </c>
      <c r="C33" s="465">
        <f t="shared" ref="C33:Q33" ca="1" si="19">SUM(C22:C32)</f>
        <v>0</v>
      </c>
      <c r="D33" s="465">
        <f t="shared" ca="1" si="19"/>
        <v>5492.9466212099678</v>
      </c>
      <c r="E33" s="465">
        <f t="shared" si="19"/>
        <v>2143.2453667047967</v>
      </c>
      <c r="F33" s="465">
        <f t="shared" ca="1" si="19"/>
        <v>11867.942123546854</v>
      </c>
      <c r="G33" s="465">
        <f t="shared" si="19"/>
        <v>16014.556236222135</v>
      </c>
      <c r="H33" s="465">
        <f t="shared" si="19"/>
        <v>3758.751968551775</v>
      </c>
      <c r="I33" s="465">
        <f t="shared" si="19"/>
        <v>0</v>
      </c>
      <c r="J33" s="465">
        <f t="shared" si="19"/>
        <v>238.89059551913695</v>
      </c>
      <c r="K33" s="465">
        <f t="shared" si="19"/>
        <v>0</v>
      </c>
      <c r="L33" s="465">
        <f t="shared" ca="1" si="19"/>
        <v>0</v>
      </c>
      <c r="M33" s="465">
        <f t="shared" si="19"/>
        <v>0</v>
      </c>
      <c r="N33" s="465">
        <f t="shared" ca="1" si="19"/>
        <v>0</v>
      </c>
      <c r="O33" s="465">
        <f t="shared" si="19"/>
        <v>0</v>
      </c>
      <c r="P33" s="465">
        <f t="shared" si="19"/>
        <v>0</v>
      </c>
      <c r="Q33" s="465">
        <f t="shared" ca="1" si="19"/>
        <v>39516.332911754667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26111.016583821194</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4101.8558059594006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30212.872389780594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2020-06-20T15:26:00Z</dcterms:modified>
</cp:coreProperties>
</file>