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0" i="17"/>
  <c r="C12" i="17" s="1"/>
  <c r="D54" i="14" s="1"/>
  <c r="D56" i="14" s="1"/>
  <c r="C18" i="15"/>
  <c r="C20" i="15" s="1"/>
  <c r="D40" i="14" s="1"/>
  <c r="C10" i="13"/>
  <c r="C12" i="13" s="1"/>
  <c r="D41" i="14" s="1"/>
  <c r="D46" i="14" s="1"/>
  <c r="D61" i="14" s="1"/>
  <c r="D63" i="14" s="1"/>
  <c r="C29" i="20"/>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<sst xmlns="http://schemas.openxmlformats.org/spreadsheetml/2006/main" count="2375" uniqueCount="871">
  <si>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</si>
  <si>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</si>
  <si>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</si>
  <si>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</si>
  <si>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</si>
  <si>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</si>
  <si>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</si>
  <si>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</si>
  <si>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</si>
  <si>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</si>
  <si>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</si>
  <si>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</si>
  <si>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</si>
  <si>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</si>
  <si>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</si>
  <si>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</si>
  <si>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</si>
  <si>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</si>
  <si>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</si>
  <si>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</si>
  <si>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</si>
  <si>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</si>
  <si>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</si>
  <si>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</si>
  <si>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</si>
  <si>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</si>
  <si>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</si>
  <si>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</si>
  <si>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</si>
  <si>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</si>
  <si>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</si>
  <si>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</si>
  <si>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</si>
  <si>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</si>
  <si>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</si>
  <si>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</si>
  <si>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</si>
  <si>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</si>
  <si>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</si>
  <si>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</si>
  <si>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</si>
  <si>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</si>
  <si>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</si>
  <si>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</si>
  <si>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</si>
  <si>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</si>
  <si>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</si>
  <si>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</si>
  <si>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</si>
  <si>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</si>
  <si>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</si>
  <si>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</si>
  <si>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</si>
  <si>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</si>
  <si>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</si>
  <si>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</si>
  <si>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</si>
  <si>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</si>
  <si>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</si>
  <si>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</si>
  <si>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</si>
  <si>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</si>
  <si>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</si>
  <si>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</si>
  <si>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</si>
  <si>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</si>
  <si>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</si>
  <si>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</si>
  <si>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</si>
  <si>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</si>
  <si>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</si>
  <si>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</si>
  <si>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</si>
  <si>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</si>
  <si>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</si>
  <si>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</si>
  <si>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</si>
  <si>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</si>
  <si>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</si>
  <si>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</si>
  <si>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</si>
  <si>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</si>
  <si>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</si>
  <si>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</si>
  <si>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</si>
  <si>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</si>
  <si>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</si>
  <si>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</si>
  <si>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</si>
  <si>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</si>
  <si>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</si>
  <si>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</si>
  <si>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</si>
  <si>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</si>
  <si>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</si>
  <si>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</si>
  <si>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</si>
  <si>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</si>
  <si>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</si>
  <si>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</si>
  <si>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</si>
  <si>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</si>
  <si>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</si>
  <si>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</si>
  <si>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</si>
  <si>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</si>
  <si>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</si>
  <si>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</si>
  <si>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</si>
  <si>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</si>
  <si>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</si>
  <si>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</si>
  <si>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</si>
  <si>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</si>
  <si>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</si>
  <si>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</si>
  <si>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</si>
  <si>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</si>
  <si>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</si>
  <si>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</si>
  <si>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</si>
  <si>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</si>
  <si>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</si>
  <si>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</si>
  <si>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</si>
  <si>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</si>
  <si>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</si>
  <si>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</si>
  <si>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</si>
  <si>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</si>
  <si>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</si>
  <si>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</si>
  <si>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</si>
  <si>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</si>
  <si>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</si>
  <si>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</si>
  <si>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</si>
  <si>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</si>
  <si>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</si>
  <si>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</si>
  <si>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</si>
  <si>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</si>
  <si>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</si>
  <si>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</si>
  <si>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</si>
  <si>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</si>
  <si>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</si>
  <si>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</si>
  <si>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</si>
  <si>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</si>
  <si>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</si>
  <si>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</si>
  <si>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</si>
  <si>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</si>
  <si>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</si>
  <si>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</si>
  <si>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</si>
  <si>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</si>
  <si>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</si>
  <si>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</si>
  <si>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</si>
  <si>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</si>
  <si>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</si>
  <si>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</si>
  <si>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</si>
  <si>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</si>
  <si>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</si>
  <si>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</si>
  <si>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</si>
  <si>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</si>
  <si>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</si>
  <si>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</si>
  <si>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</si>
  <si>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</si>
  <si>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</si>
  <si>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</si>
  <si>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</si>
  <si>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</si>
  <si>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</si>
  <si>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</si>
  <si>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</si>
  <si>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</si>
  <si>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</si>
  <si>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</si>
  <si>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</si>
  <si>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</si>
  <si>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</si>
  <si>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</si>
  <si>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</si>
  <si>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</si>
  <si>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</si>
  <si>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</si>
  <si>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</si>
  <si>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</si>
  <si>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</si>
  <si>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</si>
  <si>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</si>
  <si>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</si>
  <si>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</si>
  <si>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</si>
  <si>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</si>
  <si>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</si>
  <si>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</si>
  <si>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</si>
  <si>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</si>
  <si>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</si>
  <si>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</si>
  <si>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</si>
  <si>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</si>
  <si>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</si>
  <si>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</si>
  <si>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</si>
  <si>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</si>
  <si>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</si>
  <si>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</si>
  <si>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</si>
  <si>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</si>
  <si>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</si>
  <si>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</si>
  <si>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</si>
  <si>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</si>
  <si>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</si>
  <si>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</si>
  <si>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</si>
  <si>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</si>
  <si>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</si>
  <si>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</si>
  <si>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</si>
  <si>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</si>
  <si>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</si>
  <si>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</si>
  <si>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</si>
  <si>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</si>
  <si>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</si>
  <si>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</si>
  <si>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</si>
  <si>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</si>
  <si>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</si>
  <si>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</si>
  <si>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</si>
  <si>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</si>
  <si>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</si>
  <si>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</si>
  <si>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</si>
  <si>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</si>
  <si>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</si>
  <si>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</si>
  <si>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</si>
  <si>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</si>
  <si>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</si>
  <si>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</si>
  <si>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</si>
  <si>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</si>
  <si>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</si>
  <si>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</si>
  <si>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</si>
  <si>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</si>
  <si>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</si>
  <si>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</si>
  <si>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</si>
  <si>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</si>
  <si>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</si>
  <si>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</si>
  <si>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</si>
  <si>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</si>
  <si>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</si>
  <si>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</si>
  <si>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</si>
  <si>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</si>
  <si>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</si>
  <si>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</si>
  <si>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</si>
  <si>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</si>
  <si>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</si>
  <si>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</si>
  <si>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</si>
  <si>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</si>
  <si>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</si>
  <si>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</si>
  <si>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</si>
  <si>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</si>
  <si>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</si>
  <si>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</si>
  <si>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</si>
  <si>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</si>
  <si>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</si>
  <si>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</si>
  <si>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</si>
  <si>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</si>
  <si>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</si>
  <si>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</si>
  <si>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</si>
  <si>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</si>
  <si>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</si>
  <si>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</si>
  <si>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</si>
  <si>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</si>
  <si>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</si>
  <si>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</si>
  <si>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</si>
  <si>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</si>
  <si>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</si>
  <si>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</si>
  <si>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</si>
  <si>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</si>
  <si>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</si>
  <si>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</si>
  <si>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</si>
  <si>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</si>
  <si>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</si>
  <si>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</si>
  <si>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</si>
  <si>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</si>
  <si>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</si>
  <si>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</si>
  <si>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</si>
  <si>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</si>
  <si>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</si>
  <si>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</si>
  <si>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</si>
  <si>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</si>
  <si>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</si>
  <si>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</si>
  <si>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</si>
  <si>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</si>
  <si>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</si>
  <si>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</si>
  <si>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</si>
  <si>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</si>
  <si>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</si>
  <si>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</si>
  <si>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</si>
  <si>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</si>
  <si>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</si>
  <si>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</si>
  <si>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</si>
  <si>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</si>
  <si>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</si>
  <si>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</si>
  <si>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</si>
  <si>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</si>
  <si>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</si>
  <si>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</si>
  <si>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</si>
  <si>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</si>
  <si>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</si>
  <si>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</si>
  <si>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</si>
  <si>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</si>
  <si>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</si>
  <si>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</si>
  <si>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</si>
  <si>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</si>
  <si>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</si>
  <si>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</si>
  <si>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</si>
  <si>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</si>
  <si>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</si>
  <si>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</si>
  <si>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</si>
  <si>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</si>
  <si>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</si>
  <si>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</si>
  <si>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</si>
  <si>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</si>
  <si>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</si>
  <si>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</si>
  <si>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</si>
  <si>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</si>
  <si>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</si>
  <si>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</si>
  <si>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</si>
  <si>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</si>
  <si>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</si>
  <si>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</si>
  <si>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</si>
  <si>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</si>
  <si>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</si>
  <si>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</si>
  <si>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</si>
  <si>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</si>
  <si>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</si>
  <si>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</si>
  <si>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</si>
  <si>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</si>
  <si>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</si>
  <si>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</si>
  <si>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</si>
  <si>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</si>
  <si>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</si>
  <si>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</si>
  <si>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</si>
  <si>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</si>
  <si>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</si>
  <si>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</si>
  <si>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</si>
  <si>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</si>
  <si>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</si>
  <si>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</si>
  <si>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</si>
  <si>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</si>
  <si>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</si>
  <si>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</si>
  <si>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</si>
  <si>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</si>
  <si>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</si>
  <si>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</si>
  <si>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</si>
  <si>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</si>
  <si>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</si>
  <si>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</si>
  <si>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</si>
  <si>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</si>
  <si>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</si>
  <si>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</si>
  <si>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</si>
  <si>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</si>
  <si>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</si>
  <si>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</si>
  <si>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</si>
  <si>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</si>
  <si>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</si>
  <si>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</si>
  <si>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</si>
  <si>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</si>
  <si>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</si>
  <si>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</si>
  <si>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</si>
  <si>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</si>
  <si>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</si>
  <si>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</si>
  <si>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</si>
  <si>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</si>
  <si>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</si>
  <si>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</si>
  <si>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</si>
  <si>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</si>
  <si>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</si>
  <si>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</si>
  <si>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</si>
  <si>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</si>
  <si>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</si>
  <si>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</si>
  <si>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</si>
  <si>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</si>
  <si>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</si>
  <si>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</si>
  <si>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</si>
  <si>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</si>
  <si>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</si>
  <si>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</si>
  <si>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</si>
  <si>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</si>
  <si>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</si>
  <si>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</si>
  <si>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</si>
  <si>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</si>
  <si>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</si>
  <si>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</si>
  <si>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</si>
  <si>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</si>
  <si>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</si>
  <si>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</si>
  <si>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</si>
  <si>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</si>
  <si>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</si>
  <si>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</si>
  <si>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</si>
  <si>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</si>
  <si>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</si>
  <si>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</si>
  <si>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</si>
  <si>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</si>
  <si>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</si>
  <si>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</si>
  <si>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</si>
  <si>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</si>
  <si>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</si>
  <si>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</si>
  <si>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</si>
  <si>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</si>
  <si>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</si>
  <si>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</si>
  <si>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</si>
  <si>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</si>
  <si>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</si>
  <si>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</si>
  <si>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</si>
  <si>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</si>
  <si>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</si>
  <si>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</si>
  <si>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</si>
  <si>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</si>
  <si>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</si>
  <si>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</si>
  <si>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</si>
  <si>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</si>
  <si>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</si>
  <si>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</si>
  <si>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</si>
  <si>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</si>
  <si>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</si>
  <si>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</si>
  <si>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</si>
  <si>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</si>
  <si>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</si>
  <si>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</si>
  <si>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</si>
  <si>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</si>
  <si>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</si>
  <si>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</si>
  <si>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</si>
  <si>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</si>
  <si>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</si>
  <si>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</si>
  <si>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</si>
  <si>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</si>
  <si>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</si>
  <si>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</si>
  <si>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</si>
  <si>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</si>
  <si>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</si>
  <si>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</si>
  <si>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</si>
  <si>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</si>
  <si>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</si>
  <si>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</si>
  <si>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</si>
  <si>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</si>
  <si>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</si>
  <si>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</si>
  <si>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</si>
  <si>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</si>
  <si>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</si>
  <si>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</si>
  <si>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</si>
  <si>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</si>
  <si>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</si>
  <si>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</si>
  <si>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</si>
  <si>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</si>
  <si>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</si>
  <si>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</si>
  <si>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</si>
  <si>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</si>
  <si>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</si>
  <si>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</si>
  <si>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</si>
  <si>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</si>
  <si>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</si>
  <si>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</si>
  <si>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</si>
  <si>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</si>
  <si>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</si>
  <si>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</si>
  <si>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</si>
  <si>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</si>
  <si>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</si>
  <si>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</si>
  <si>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</si>
  <si>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</si>
  <si>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</si>
  <si>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</si>
  <si>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</si>
  <si>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</si>
  <si>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</si>
  <si>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</si>
  <si>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</si>
  <si>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</si>
  <si>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</si>
  <si>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</si>
  <si>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</si>
  <si>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</si>
  <si>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</si>
  <si>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</si>
  <si>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</si>
  <si>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</si>
  <si>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</si>
  <si>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</si>
  <si>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</si>
  <si>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</si>
  <si>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</si>
  <si>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</si>
  <si>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</si>
  <si>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</si>
  <si>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</si>
  <si>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</si>
  <si>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</si>
  <si>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</si>
  <si>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</si>
  <si>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</si>
  <si>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</si>
  <si>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</si>
  <si>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</si>
  <si>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</si>
  <si>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</si>
  <si>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</si>
  <si>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</si>
  <si>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</si>
  <si>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</si>
  <si>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</si>
  <si>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</si>
  <si>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</si>
  <si>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</si>
  <si>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</si>
  <si>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</si>
  <si>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</si>
  <si>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</si>
  <si>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</si>
  <si>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</si>
  <si>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</si>
  <si>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</si>
  <si>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</si>
  <si>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</si>
  <si>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</si>
  <si>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</si>
  <si>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</si>
  <si>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</si>
  <si>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</si>
  <si>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</si>
  <si>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</si>
  <si>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</si>
  <si>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</si>
  <si>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</si>
  <si>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</si>
  <si>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</si>
  <si>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</si>
  <si>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</si>
  <si>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</si>
  <si>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</si>
  <si>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</si>
  <si>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</si>
  <si>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</si>
  <si>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</si>
  <si>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</si>
  <si>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</si>
  <si>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</si>
  <si>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</si>
  <si>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</si>
  <si>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</si>
  <si>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</si>
  <si>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</si>
  <si>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</si>
  <si>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</si>
  <si>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</si>
  <si>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</si>
  <si>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</si>
  <si>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</si>
  <si>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</si>
  <si>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</si>
  <si>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</si>
  <si>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</si>
  <si>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</si>
  <si>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</si>
  <si>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</si>
  <si>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</si>
  <si>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</si>
  <si>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</si>
  <si>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</si>
  <si>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</si>
  <si>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</si>
  <si>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</si>
  <si>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</si>
  <si>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</si>
  <si>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</si>
  <si>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</si>
  <si>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</si>
  <si>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</si>
  <si>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</si>
  <si>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</si>
  <si>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</si>
  <si>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</si>
  <si>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</si>
  <si>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</si>
  <si>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</si>
  <si>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</si>
  <si>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</si>
  <si>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</si>
  <si>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</si>
  <si>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</si>
  <si>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</si>
  <si>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</si>
  <si>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</si>
  <si>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</si>
  <si>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</si>
  <si>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</si>
  <si>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</si>
  <si>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</si>
  <si>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</si>
  <si>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</si>
  <si>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</si>
  <si>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</si>
  <si>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</si>
  <si>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</si>
  <si>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</si>
  <si>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</si>
  <si>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</si>
  <si>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</si>
  <si>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</si>
  <si>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</si>
  <si>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</si>
  <si>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</si>
  <si>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</si>
  <si>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</si>
  <si>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</si>
  <si>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</si>
  <si>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</si>
  <si>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</si>
  <si>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</si>
  <si>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</si>
  <si>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</si>
  <si>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</si>
  <si>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</si>
  <si>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</si>
  <si>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</si>
  <si>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</si>
  <si>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</si>
  <si>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</si>
  <si>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</si>
  <si>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</si>
  <si>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</si>
  <si>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</si>
  <si>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</si>
  <si>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</si>
  <si>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</si>
  <si>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</si>
  <si>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</si>
  <si>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</si>
  <si>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</si>
  <si>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</si>
  <si>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</si>
  <si>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</si>
  <si>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</si>
  <si>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</si>
  <si>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</si>
  <si>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</si>
  <si>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</si>
  <si>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</si>
  <si>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</si>
  <si>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</si>
  <si>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</si>
  <si>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</si>
  <si>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</si>
  <si>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</si>
  <si>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</si>
  <si>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</si>
  <si>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</si>
  <si>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</si>
  <si>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</si>
  <si>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</si>
  <si>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</si>
  <si>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</si>
  <si>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</si>
  <si>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</si>
  <si>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</si>
  <si>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</si>
  <si>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</si>
  <si>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</si>
  <si>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</si>
  <si>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</si>
  <si>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</si>
  <si>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</si>
  <si>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</si>
  <si>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</si>
  <si>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</si>
  <si>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</si>
  <si>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</si>
  <si>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</si>
  <si>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</si>
  <si>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</si>
  <si>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</si>
  <si>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</si>
  <si>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</si>
  <si>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</si>
  <si>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</si>
  <si>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</si>
  <si>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</si>
  <si>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</si>
  <si>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</si>
  <si>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</si>
  <si>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</si>
  <si>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</si>
  <si>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</si>
  <si>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</si>
  <si>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</si>
  <si>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</si>
  <si>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</si>
  <si>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</si>
  <si>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</si>
  <si>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</si>
  <si>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</si>
  <si>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</si>
  <si>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</si>
  <si>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</si>
  <si>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</si>
  <si>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</si>
  <si>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</si>
  <si>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</si>
  <si>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</si>
  <si>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</si>
  <si>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</si>
  <si>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</si>
  <si>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</si>
  <si>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</si>
  <si>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</si>
  <si>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</si>
  <si>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</si>
  <si>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</si>
  <si>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</si>
  <si>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</si>
  <si>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</si>
  <si>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</si>
  <si>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</si>
  <si>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</si>
  <si>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</si>
  <si>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</si>
  <si>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</si>
  <si>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</si>
  <si>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</si>
  <si>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</si>
  <si>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</si>
  <si>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</si>
  <si>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</si>
  <si>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</si>
  <si>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</si>
  <si>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</si>
  <si>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</si>
  <si>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</si>
  <si>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</si>
  <si>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</si>
  <si>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</si>
  <si>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</si>
  <si>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</si>
  <si>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</si>
  <si>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</si>
  <si>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</si>
  <si>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</si>
  <si>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</si>
  <si>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</si>
  <si>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</si>
  <si>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</si>
  <si>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</si>
  <si>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</si>
  <si>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</si>
  <si>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</si>
  <si>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</si>
  <si>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</si>
  <si>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</si>
  <si>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</si>
  <si>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</si>
  <si>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</si>
  <si>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</si>
  <si>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</si>
  <si>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</si>
  <si>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</si>
  <si>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</si>
  <si>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</si>
  <si>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</si>
  <si>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</si>
  <si>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</si>
  <si>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</si>
  <si>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</si>
  <si>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46025</t>
  </si>
  <si>
    <t>TEMSE</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</si>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</sst>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198829.19619277699</c:v>
                </c:pt>
                <c:pt idx="1">
                  <c:v>98690.143010555039</c:v>
                </c:pt>
                <c:pt idx="2">
                  <c:v>1572.1759999999999</c:v>
                </c:pt>
                <c:pt idx="3">
                  <c:v>6564.0616881448159</c:v>
                </c:pt>
                <c:pt idx="4">
                  <c:v>80937.954612637317</c:v>
                </c:pt>
                <c:pt idx="5">
                  <c:v>357723.92034467967</c:v>
                </c:pt>
                <c:pt idx="6">
                  <c:v>2302.7542214343248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198829.19619277699</c:v>
                </c:pt>
                <c:pt idx="1">
                  <c:v>98690.143010555039</c:v>
                </c:pt>
                <c:pt idx="2">
                  <c:v>1572.1759999999999</c:v>
                </c:pt>
                <c:pt idx="3">
                  <c:v>6564.0616881448159</c:v>
                </c:pt>
                <c:pt idx="4">
                  <c:v>80937.954612637317</c:v>
                </c:pt>
                <c:pt idx="5">
                  <c:v>357723.92034467967</c:v>
                </c:pt>
                <c:pt idx="6">
                  <c:v>2302.7542214343248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35316.872803067956</c:v>
                </c:pt>
                <c:pt idx="1">
                  <c:v>19424.513844257981</c:v>
                </c:pt>
                <c:pt idx="2">
                  <c:v>297.09809566637927</c:v>
                </c:pt>
                <c:pt idx="3">
                  <c:v>1632.7312505044317</c:v>
                </c:pt>
                <c:pt idx="4">
                  <c:v>16274.829195112094</c:v>
                </c:pt>
                <c:pt idx="5">
                  <c:v>89084.940842113894</c:v>
                </c:pt>
                <c:pt idx="6">
                  <c:v>583.18826050756184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35316.872803067956</c:v>
                </c:pt>
                <c:pt idx="1">
                  <c:v>19424.513844257981</c:v>
                </c:pt>
                <c:pt idx="2">
                  <c:v>297.09809566637927</c:v>
                </c:pt>
                <c:pt idx="3">
                  <c:v>1632.7312505044317</c:v>
                </c:pt>
                <c:pt idx="4">
                  <c:v>16274.829195112094</c:v>
                </c:pt>
                <c:pt idx="5">
                  <c:v>89084.940842113894</c:v>
                </c:pt>
                <c:pt idx="6">
                  <c:v>583.18826050756184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46025</v>
      </c>
      <c r="B6" s="392"/>
      <c r="C6" s="393"/>
    </row>
    <row r="7" spans="1:7" s="390" customFormat="1" ht="15.75" customHeight="1">
      <c r="A7" s="394" t="str">
        <f>txtMunicipality</f>
        <v>TEMSE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42765.181892537461</v>
      </c>
      <c r="D10" s="689">
        <f ca="1">tertiair!C16</f>
        <v>0</v>
      </c>
      <c r="E10" s="689">
        <f ca="1">tertiair!D16</f>
        <v>49010.777137039615</v>
      </c>
      <c r="F10" s="689">
        <f>tertiair!E16</f>
        <v>136.13264531180019</v>
      </c>
      <c r="G10" s="689">
        <f ca="1">tertiair!F16</f>
        <v>6401.0114317361022</v>
      </c>
      <c r="H10" s="689">
        <f>tertiair!G16</f>
        <v>0</v>
      </c>
      <c r="I10" s="689">
        <f>tertiair!H16</f>
        <v>0</v>
      </c>
      <c r="J10" s="689">
        <f>tertiair!I16</f>
        <v>0</v>
      </c>
      <c r="K10" s="689">
        <f>tertiair!J16</f>
        <v>4.9862253131749863E-2</v>
      </c>
      <c r="L10" s="689">
        <f>tertiair!K16</f>
        <v>0</v>
      </c>
      <c r="M10" s="689">
        <f ca="1">tertiair!L16</f>
        <v>0</v>
      </c>
      <c r="N10" s="689">
        <f>tertiair!M16</f>
        <v>0</v>
      </c>
      <c r="O10" s="689">
        <f ca="1">tertiair!N16</f>
        <v>1829.3959827664257</v>
      </c>
      <c r="P10" s="689">
        <f>tertiair!O16</f>
        <v>14.691782297523464</v>
      </c>
      <c r="Q10" s="690">
        <f>tertiair!P16</f>
        <v>105.07827661299004</v>
      </c>
      <c r="R10" s="692">
        <f ca="1">SUM(C10:Q10)</f>
        <v>100262.31901055503</v>
      </c>
      <c r="S10" s="67"/>
    </row>
    <row r="11" spans="1:19" s="451" customFormat="1">
      <c r="A11" s="811" t="s">
        <v>224</v>
      </c>
      <c r="B11" s="816"/>
      <c r="C11" s="689">
        <f>huishoudens!B8</f>
        <v>48554.632135458873</v>
      </c>
      <c r="D11" s="689">
        <f>huishoudens!C8</f>
        <v>0</v>
      </c>
      <c r="E11" s="689">
        <f>huishoudens!D8</f>
        <v>118934.78190631171</v>
      </c>
      <c r="F11" s="689">
        <f>huishoudens!E8</f>
        <v>8868.497234072358</v>
      </c>
      <c r="G11" s="689">
        <f>huishoudens!F8</f>
        <v>0</v>
      </c>
      <c r="H11" s="689">
        <f>huishoudens!G8</f>
        <v>0</v>
      </c>
      <c r="I11" s="689">
        <f>huishoudens!H8</f>
        <v>0</v>
      </c>
      <c r="J11" s="689">
        <f>huishoudens!I8</f>
        <v>0</v>
      </c>
      <c r="K11" s="689">
        <f>huishoudens!J8</f>
        <v>292.10652733514655</v>
      </c>
      <c r="L11" s="689">
        <f>huishoudens!K8</f>
        <v>0</v>
      </c>
      <c r="M11" s="689">
        <f>huishoudens!L8</f>
        <v>0</v>
      </c>
      <c r="N11" s="689">
        <f>huishoudens!M8</f>
        <v>0</v>
      </c>
      <c r="O11" s="689">
        <f>huishoudens!N8</f>
        <v>20510.234342334606</v>
      </c>
      <c r="P11" s="689">
        <f>huishoudens!O8</f>
        <v>436.47080826514696</v>
      </c>
      <c r="Q11" s="690">
        <f>huishoudens!P8</f>
        <v>1232.4732389991477</v>
      </c>
      <c r="R11" s="692">
        <f>SUM(C11:Q11)</f>
        <v>198829.19619277699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40887.284373982104</v>
      </c>
      <c r="D13" s="689">
        <f>industrie!C18</f>
        <v>0</v>
      </c>
      <c r="E13" s="689">
        <f>industrie!D18</f>
        <v>26727.297055288083</v>
      </c>
      <c r="F13" s="689">
        <f>industrie!E18</f>
        <v>98.282853755418131</v>
      </c>
      <c r="G13" s="689">
        <f>industrie!F18</f>
        <v>11708.414310051936</v>
      </c>
      <c r="H13" s="689">
        <f>industrie!G18</f>
        <v>0</v>
      </c>
      <c r="I13" s="689">
        <f>industrie!H18</f>
        <v>0</v>
      </c>
      <c r="J13" s="689">
        <f>industrie!I18</f>
        <v>0</v>
      </c>
      <c r="K13" s="689">
        <f>industrie!J18</f>
        <v>2.49798128918238</v>
      </c>
      <c r="L13" s="689">
        <f>industrie!K18</f>
        <v>0</v>
      </c>
      <c r="M13" s="689">
        <f>industrie!L18</f>
        <v>0</v>
      </c>
      <c r="N13" s="689">
        <f>industrie!M18</f>
        <v>0</v>
      </c>
      <c r="O13" s="689">
        <f>industrie!N18</f>
        <v>1514.1780382706063</v>
      </c>
      <c r="P13" s="689">
        <f>industrie!O18</f>
        <v>0</v>
      </c>
      <c r="Q13" s="690">
        <f>industrie!P18</f>
        <v>0</v>
      </c>
      <c r="R13" s="692">
        <f>SUM(C13:Q13)</f>
        <v>80937.954612637317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132207.09840197844</v>
      </c>
      <c r="D16" s="725">
        <f t="shared" ref="D16:R16" ca="1" si="0">SUM(D9:D15)</f>
        <v>0</v>
      </c>
      <c r="E16" s="725">
        <f t="shared" ca="1" si="0"/>
        <v>194672.8560986394</v>
      </c>
      <c r="F16" s="725">
        <f t="shared" si="0"/>
        <v>9102.9127331395757</v>
      </c>
      <c r="G16" s="725">
        <f t="shared" ca="1" si="0"/>
        <v>18109.425741788036</v>
      </c>
      <c r="H16" s="725">
        <f t="shared" si="0"/>
        <v>0</v>
      </c>
      <c r="I16" s="725">
        <f t="shared" si="0"/>
        <v>0</v>
      </c>
      <c r="J16" s="725">
        <f t="shared" si="0"/>
        <v>0</v>
      </c>
      <c r="K16" s="725">
        <f t="shared" si="0"/>
        <v>294.65437087746074</v>
      </c>
      <c r="L16" s="725">
        <f t="shared" si="0"/>
        <v>0</v>
      </c>
      <c r="M16" s="725">
        <f t="shared" ca="1" si="0"/>
        <v>0</v>
      </c>
      <c r="N16" s="725">
        <f t="shared" si="0"/>
        <v>0</v>
      </c>
      <c r="O16" s="725">
        <f t="shared" ca="1" si="0"/>
        <v>23853.808363371638</v>
      </c>
      <c r="P16" s="725">
        <f t="shared" si="0"/>
        <v>451.1625905626704</v>
      </c>
      <c r="Q16" s="725">
        <f t="shared" si="0"/>
        <v>1337.5515156121378</v>
      </c>
      <c r="R16" s="725">
        <f t="shared" ca="1" si="0"/>
        <v>380029.46981596935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2184.2256947848755</v>
      </c>
      <c r="I19" s="689">
        <f>transport!H54</f>
        <v>0</v>
      </c>
      <c r="J19" s="689">
        <f>transport!I54</f>
        <v>0</v>
      </c>
      <c r="K19" s="689">
        <f>transport!J54</f>
        <v>0</v>
      </c>
      <c r="L19" s="689">
        <f>transport!K54</f>
        <v>0</v>
      </c>
      <c r="M19" s="689">
        <f>transport!L54</f>
        <v>0</v>
      </c>
      <c r="N19" s="689">
        <f>transport!M54</f>
        <v>118.52852664944936</v>
      </c>
      <c r="O19" s="689">
        <f>transport!N54</f>
        <v>0</v>
      </c>
      <c r="P19" s="689">
        <f>transport!O54</f>
        <v>0</v>
      </c>
      <c r="Q19" s="690">
        <f>transport!P54</f>
        <v>0</v>
      </c>
      <c r="R19" s="692">
        <f>SUM(C19:Q19)</f>
        <v>2302.7542214343248</v>
      </c>
      <c r="S19" s="67"/>
    </row>
    <row r="20" spans="1:19" s="451" customFormat="1">
      <c r="A20" s="811" t="s">
        <v>306</v>
      </c>
      <c r="B20" s="816"/>
      <c r="C20" s="689">
        <f>transport!B14</f>
        <v>214.70577198620788</v>
      </c>
      <c r="D20" s="689">
        <f>transport!C14</f>
        <v>0</v>
      </c>
      <c r="E20" s="689">
        <f>transport!D14</f>
        <v>916.06568432588779</v>
      </c>
      <c r="F20" s="689">
        <f>transport!E14</f>
        <v>530.2276765061024</v>
      </c>
      <c r="G20" s="689">
        <f>transport!F14</f>
        <v>0</v>
      </c>
      <c r="H20" s="689">
        <f>transport!G14</f>
        <v>277178.07839596394</v>
      </c>
      <c r="I20" s="689">
        <f>transport!H14</f>
        <v>59166.319132576828</v>
      </c>
      <c r="J20" s="689">
        <f>transport!I14</f>
        <v>0</v>
      </c>
      <c r="K20" s="689">
        <f>transport!J14</f>
        <v>0</v>
      </c>
      <c r="L20" s="689">
        <f>transport!K14</f>
        <v>0</v>
      </c>
      <c r="M20" s="689">
        <f>transport!L14</f>
        <v>0</v>
      </c>
      <c r="N20" s="689">
        <f>transport!M14</f>
        <v>19718.52368332072</v>
      </c>
      <c r="O20" s="689">
        <f>transport!N14</f>
        <v>0</v>
      </c>
      <c r="P20" s="689">
        <f>transport!O14</f>
        <v>0</v>
      </c>
      <c r="Q20" s="690">
        <f>transport!P14</f>
        <v>0</v>
      </c>
      <c r="R20" s="692">
        <f>SUM(C20:Q20)</f>
        <v>357723.92034467967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214.70577198620788</v>
      </c>
      <c r="D22" s="814">
        <f t="shared" ref="D22:R22" si="1">SUM(D18:D21)</f>
        <v>0</v>
      </c>
      <c r="E22" s="814">
        <f t="shared" si="1"/>
        <v>916.06568432588779</v>
      </c>
      <c r="F22" s="814">
        <f t="shared" si="1"/>
        <v>530.2276765061024</v>
      </c>
      <c r="G22" s="814">
        <f t="shared" si="1"/>
        <v>0</v>
      </c>
      <c r="H22" s="814">
        <f t="shared" si="1"/>
        <v>279362.30409074883</v>
      </c>
      <c r="I22" s="814">
        <f t="shared" si="1"/>
        <v>59166.319132576828</v>
      </c>
      <c r="J22" s="814">
        <f t="shared" si="1"/>
        <v>0</v>
      </c>
      <c r="K22" s="814">
        <f t="shared" si="1"/>
        <v>0</v>
      </c>
      <c r="L22" s="814">
        <f t="shared" si="1"/>
        <v>0</v>
      </c>
      <c r="M22" s="814">
        <f t="shared" si="1"/>
        <v>0</v>
      </c>
      <c r="N22" s="814">
        <f t="shared" si="1"/>
        <v>19837.05220997017</v>
      </c>
      <c r="O22" s="814">
        <f t="shared" si="1"/>
        <v>0</v>
      </c>
      <c r="P22" s="814">
        <f t="shared" si="1"/>
        <v>0</v>
      </c>
      <c r="Q22" s="814">
        <f t="shared" si="1"/>
        <v>0</v>
      </c>
      <c r="R22" s="814">
        <f t="shared" si="1"/>
        <v>360026.67456611397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1338.07845868194</v>
      </c>
      <c r="D24" s="689">
        <f>+landbouw!C8</f>
        <v>62.357142857142847</v>
      </c>
      <c r="E24" s="689">
        <f>+landbouw!D8</f>
        <v>421.22927278487924</v>
      </c>
      <c r="F24" s="689">
        <f>+landbouw!E8</f>
        <v>49.901038614285142</v>
      </c>
      <c r="G24" s="689">
        <f>+landbouw!F8</f>
        <v>4341.2435738334716</v>
      </c>
      <c r="H24" s="689">
        <f>+landbouw!G8</f>
        <v>0</v>
      </c>
      <c r="I24" s="689">
        <f>+landbouw!H8</f>
        <v>0</v>
      </c>
      <c r="J24" s="689">
        <f>+landbouw!I8</f>
        <v>0</v>
      </c>
      <c r="K24" s="689">
        <f>+landbouw!J8</f>
        <v>351.25220137309719</v>
      </c>
      <c r="L24" s="689">
        <f>+landbouw!K8</f>
        <v>0</v>
      </c>
      <c r="M24" s="689">
        <f>+landbouw!L8</f>
        <v>0</v>
      </c>
      <c r="N24" s="689">
        <f>+landbouw!M8</f>
        <v>0</v>
      </c>
      <c r="O24" s="689">
        <f>+landbouw!N8</f>
        <v>0</v>
      </c>
      <c r="P24" s="689">
        <f>+landbouw!O8</f>
        <v>0</v>
      </c>
      <c r="Q24" s="690">
        <f>+landbouw!P8</f>
        <v>0</v>
      </c>
      <c r="R24" s="692">
        <f>SUM(C24:Q24)</f>
        <v>6564.0616881448159</v>
      </c>
      <c r="S24" s="67"/>
    </row>
    <row r="25" spans="1:19" s="451" customFormat="1" ht="15" thickBot="1">
      <c r="A25" s="833" t="s">
        <v>714</v>
      </c>
      <c r="B25" s="947"/>
      <c r="C25" s="948">
        <f>IF(Onbekend_ele_kWh="---",0,Onbekend_ele_kWh)/1000+IF(REST_rest_ele_kWh="---",0,REST_rest_ele_kWh)/1000</f>
        <v>1422.1950993442802</v>
      </c>
      <c r="D25" s="948"/>
      <c r="E25" s="948">
        <f>IF(onbekend_gas_kWh="---",0,onbekend_gas_kWh)/1000+IF(REST_rest_gas_kWh="---",0,REST_rest_gas_kWh)/1000</f>
        <v>3826.4370547713302</v>
      </c>
      <c r="F25" s="948"/>
      <c r="G25" s="948"/>
      <c r="H25" s="948"/>
      <c r="I25" s="948"/>
      <c r="J25" s="948"/>
      <c r="K25" s="948"/>
      <c r="L25" s="948"/>
      <c r="M25" s="948"/>
      <c r="N25" s="948"/>
      <c r="O25" s="948"/>
      <c r="P25" s="948"/>
      <c r="Q25" s="949"/>
      <c r="R25" s="692">
        <f>SUM(C25:Q25)</f>
        <v>5248.6321541156103</v>
      </c>
      <c r="S25" s="67"/>
    </row>
    <row r="26" spans="1:19" s="451" customFormat="1" ht="15.75" thickBot="1">
      <c r="A26" s="697" t="s">
        <v>715</v>
      </c>
      <c r="B26" s="819"/>
      <c r="C26" s="814">
        <f>SUM(C24:C25)</f>
        <v>2760.2735580262201</v>
      </c>
      <c r="D26" s="814">
        <f t="shared" ref="D26:R26" si="2">SUM(D24:D25)</f>
        <v>62.357142857142847</v>
      </c>
      <c r="E26" s="814">
        <f t="shared" si="2"/>
        <v>4247.6663275562096</v>
      </c>
      <c r="F26" s="814">
        <f t="shared" si="2"/>
        <v>49.901038614285142</v>
      </c>
      <c r="G26" s="814">
        <f t="shared" si="2"/>
        <v>4341.2435738334716</v>
      </c>
      <c r="H26" s="814">
        <f t="shared" si="2"/>
        <v>0</v>
      </c>
      <c r="I26" s="814">
        <f t="shared" si="2"/>
        <v>0</v>
      </c>
      <c r="J26" s="814">
        <f t="shared" si="2"/>
        <v>0</v>
      </c>
      <c r="K26" s="814">
        <f t="shared" si="2"/>
        <v>351.25220137309719</v>
      </c>
      <c r="L26" s="814">
        <f t="shared" si="2"/>
        <v>0</v>
      </c>
      <c r="M26" s="814">
        <f t="shared" si="2"/>
        <v>0</v>
      </c>
      <c r="N26" s="814">
        <f t="shared" si="2"/>
        <v>0</v>
      </c>
      <c r="O26" s="814">
        <f t="shared" si="2"/>
        <v>0</v>
      </c>
      <c r="P26" s="814">
        <f t="shared" si="2"/>
        <v>0</v>
      </c>
      <c r="Q26" s="814">
        <f t="shared" si="2"/>
        <v>0</v>
      </c>
      <c r="R26" s="814">
        <f t="shared" si="2"/>
        <v>11812.693842260425</v>
      </c>
      <c r="S26" s="67"/>
    </row>
    <row r="27" spans="1:19" s="451" customFormat="1" ht="17.25" thickTop="1" thickBot="1">
      <c r="A27" s="698" t="s">
        <v>115</v>
      </c>
      <c r="B27" s="806"/>
      <c r="C27" s="699">
        <f ca="1">C22+C16+C26</f>
        <v>135182.07773199087</v>
      </c>
      <c r="D27" s="699">
        <f t="shared" ref="D27:R27" ca="1" si="3">D22+D16+D26</f>
        <v>62.357142857142847</v>
      </c>
      <c r="E27" s="699">
        <f t="shared" ca="1" si="3"/>
        <v>199836.58811052149</v>
      </c>
      <c r="F27" s="699">
        <f t="shared" si="3"/>
        <v>9683.0414482599645</v>
      </c>
      <c r="G27" s="699">
        <f t="shared" ca="1" si="3"/>
        <v>22450.669315621508</v>
      </c>
      <c r="H27" s="699">
        <f t="shared" si="3"/>
        <v>279362.30409074883</v>
      </c>
      <c r="I27" s="699">
        <f t="shared" si="3"/>
        <v>59166.319132576828</v>
      </c>
      <c r="J27" s="699">
        <f t="shared" si="3"/>
        <v>0</v>
      </c>
      <c r="K27" s="699">
        <f t="shared" si="3"/>
        <v>645.90657225055793</v>
      </c>
      <c r="L27" s="699">
        <f t="shared" si="3"/>
        <v>0</v>
      </c>
      <c r="M27" s="699">
        <f t="shared" ca="1" si="3"/>
        <v>0</v>
      </c>
      <c r="N27" s="699">
        <f t="shared" si="3"/>
        <v>19837.05220997017</v>
      </c>
      <c r="O27" s="699">
        <f t="shared" ca="1" si="3"/>
        <v>23853.808363371638</v>
      </c>
      <c r="P27" s="699">
        <f t="shared" si="3"/>
        <v>451.1625905626704</v>
      </c>
      <c r="Q27" s="699">
        <f t="shared" si="3"/>
        <v>1337.5515156121378</v>
      </c>
      <c r="R27" s="699">
        <f t="shared" ca="1" si="3"/>
        <v>751868.83822434372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8081.445144245431</v>
      </c>
      <c r="D40" s="689">
        <f ca="1">tertiair!C20</f>
        <v>0</v>
      </c>
      <c r="E40" s="689">
        <f ca="1">tertiair!D20</f>
        <v>9900.1769816820033</v>
      </c>
      <c r="F40" s="689">
        <f>tertiair!E20</f>
        <v>30.902110485778643</v>
      </c>
      <c r="G40" s="689">
        <f ca="1">tertiair!F20</f>
        <v>1709.0700522735394</v>
      </c>
      <c r="H40" s="689">
        <f>tertiair!G20</f>
        <v>0</v>
      </c>
      <c r="I40" s="689">
        <f>tertiair!H20</f>
        <v>0</v>
      </c>
      <c r="J40" s="689">
        <f>tertiair!I20</f>
        <v>0</v>
      </c>
      <c r="K40" s="689">
        <f>tertiair!J20</f>
        <v>1.7651237608639452E-2</v>
      </c>
      <c r="L40" s="689">
        <f>tertiair!K20</f>
        <v>0</v>
      </c>
      <c r="M40" s="689">
        <f ca="1">tertiair!L20</f>
        <v>0</v>
      </c>
      <c r="N40" s="689">
        <f>tertiair!M20</f>
        <v>0</v>
      </c>
      <c r="O40" s="689">
        <f ca="1">tertiair!N20</f>
        <v>0</v>
      </c>
      <c r="P40" s="689">
        <f>tertiair!O20</f>
        <v>0</v>
      </c>
      <c r="Q40" s="772">
        <f>tertiair!P20</f>
        <v>0</v>
      </c>
      <c r="R40" s="852">
        <f t="shared" ca="1" si="4"/>
        <v>19721.611939924362</v>
      </c>
    </row>
    <row r="41" spans="1:18">
      <c r="A41" s="824" t="s">
        <v>224</v>
      </c>
      <c r="B41" s="831"/>
      <c r="C41" s="689">
        <f ca="1">huishoudens!B12</f>
        <v>9175.4922751819231</v>
      </c>
      <c r="D41" s="689">
        <f ca="1">huishoudens!C12</f>
        <v>0</v>
      </c>
      <c r="E41" s="689">
        <f>huishoudens!D12</f>
        <v>24024.825945074965</v>
      </c>
      <c r="F41" s="689">
        <f>huishoudens!E12</f>
        <v>2013.1488721344253</v>
      </c>
      <c r="G41" s="689">
        <f>huishoudens!F12</f>
        <v>0</v>
      </c>
      <c r="H41" s="689">
        <f>huishoudens!G12</f>
        <v>0</v>
      </c>
      <c r="I41" s="689">
        <f>huishoudens!H12</f>
        <v>0</v>
      </c>
      <c r="J41" s="689">
        <f>huishoudens!I12</f>
        <v>0</v>
      </c>
      <c r="K41" s="689">
        <f>huishoudens!J12</f>
        <v>103.40571067664187</v>
      </c>
      <c r="L41" s="689">
        <f>huishoudens!K12</f>
        <v>0</v>
      </c>
      <c r="M41" s="689">
        <f>huishoudens!L12</f>
        <v>0</v>
      </c>
      <c r="N41" s="689">
        <f>huishoudens!M12</f>
        <v>0</v>
      </c>
      <c r="O41" s="689">
        <f>huishoudens!N12</f>
        <v>0</v>
      </c>
      <c r="P41" s="689">
        <f>huishoudens!O12</f>
        <v>0</v>
      </c>
      <c r="Q41" s="772">
        <f>huishoudens!P12</f>
        <v>0</v>
      </c>
      <c r="R41" s="852">
        <f t="shared" ca="1" si="4"/>
        <v>35316.872803067956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7726.5740759811815</v>
      </c>
      <c r="D43" s="689">
        <f ca="1">industrie!C22</f>
        <v>0</v>
      </c>
      <c r="E43" s="689">
        <f>industrie!D22</f>
        <v>5398.9140051681934</v>
      </c>
      <c r="F43" s="689">
        <f>industrie!E22</f>
        <v>22.310207802479916</v>
      </c>
      <c r="G43" s="689">
        <f>industrie!F22</f>
        <v>3126.1466207838671</v>
      </c>
      <c r="H43" s="689">
        <f>industrie!G22</f>
        <v>0</v>
      </c>
      <c r="I43" s="689">
        <f>industrie!H22</f>
        <v>0</v>
      </c>
      <c r="J43" s="689">
        <f>industrie!I22</f>
        <v>0</v>
      </c>
      <c r="K43" s="689">
        <f>industrie!J22</f>
        <v>0.88428537637056248</v>
      </c>
      <c r="L43" s="689">
        <f>industrie!K22</f>
        <v>0</v>
      </c>
      <c r="M43" s="689">
        <f>industrie!L22</f>
        <v>0</v>
      </c>
      <c r="N43" s="689">
        <f>industrie!M22</f>
        <v>0</v>
      </c>
      <c r="O43" s="689">
        <f>industrie!N22</f>
        <v>0</v>
      </c>
      <c r="P43" s="689">
        <f>industrie!O22</f>
        <v>0</v>
      </c>
      <c r="Q43" s="772">
        <f>industrie!P22</f>
        <v>0</v>
      </c>
      <c r="R43" s="851">
        <f t="shared" ca="1" si="4"/>
        <v>16274.829195112094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24983.511495408537</v>
      </c>
      <c r="D46" s="725">
        <f t="shared" ref="D46:Q46" ca="1" si="5">SUM(D39:D45)</f>
        <v>0</v>
      </c>
      <c r="E46" s="725">
        <f t="shared" ca="1" si="5"/>
        <v>39323.916931925167</v>
      </c>
      <c r="F46" s="725">
        <f t="shared" si="5"/>
        <v>2066.3611904226841</v>
      </c>
      <c r="G46" s="725">
        <f t="shared" ca="1" si="5"/>
        <v>4835.2166730574063</v>
      </c>
      <c r="H46" s="725">
        <f t="shared" si="5"/>
        <v>0</v>
      </c>
      <c r="I46" s="725">
        <f t="shared" si="5"/>
        <v>0</v>
      </c>
      <c r="J46" s="725">
        <f t="shared" si="5"/>
        <v>0</v>
      </c>
      <c r="K46" s="725">
        <f t="shared" si="5"/>
        <v>104.30764729062108</v>
      </c>
      <c r="L46" s="725">
        <f t="shared" si="5"/>
        <v>0</v>
      </c>
      <c r="M46" s="725">
        <f t="shared" ca="1" si="5"/>
        <v>0</v>
      </c>
      <c r="N46" s="725">
        <f t="shared" si="5"/>
        <v>0</v>
      </c>
      <c r="O46" s="725">
        <f t="shared" ca="1" si="5"/>
        <v>0</v>
      </c>
      <c r="P46" s="725">
        <f t="shared" si="5"/>
        <v>0</v>
      </c>
      <c r="Q46" s="725">
        <f t="shared" si="5"/>
        <v>0</v>
      </c>
      <c r="R46" s="725">
        <f ca="1">SUM(R39:R45)</f>
        <v>71313.313938104417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583.18826050756184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583.18826050756184</v>
      </c>
    </row>
    <row r="50" spans="1:18">
      <c r="A50" s="827" t="s">
        <v>306</v>
      </c>
      <c r="B50" s="837"/>
      <c r="C50" s="695">
        <f ca="1">transport!B18</f>
        <v>40.573495579173198</v>
      </c>
      <c r="D50" s="695">
        <f>transport!C18</f>
        <v>0</v>
      </c>
      <c r="E50" s="695">
        <f>transport!D18</f>
        <v>185.04526823382935</v>
      </c>
      <c r="F50" s="695">
        <f>transport!E18</f>
        <v>120.36168256688525</v>
      </c>
      <c r="G50" s="695">
        <f>transport!F18</f>
        <v>0</v>
      </c>
      <c r="H50" s="695">
        <f>transport!G18</f>
        <v>74006.546931722376</v>
      </c>
      <c r="I50" s="695">
        <f>transport!H18</f>
        <v>14732.41346401163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89084.940842113894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40.573495579173198</v>
      </c>
      <c r="D52" s="725">
        <f t="shared" ref="D52:Q52" ca="1" si="6">SUM(D48:D51)</f>
        <v>0</v>
      </c>
      <c r="E52" s="725">
        <f t="shared" si="6"/>
        <v>185.04526823382935</v>
      </c>
      <c r="F52" s="725">
        <f t="shared" si="6"/>
        <v>120.36168256688525</v>
      </c>
      <c r="G52" s="725">
        <f t="shared" si="6"/>
        <v>0</v>
      </c>
      <c r="H52" s="725">
        <f t="shared" si="6"/>
        <v>74589.735192229942</v>
      </c>
      <c r="I52" s="725">
        <f t="shared" si="6"/>
        <v>14732.41346401163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89668.12910262146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252.86008813682969</v>
      </c>
      <c r="D54" s="695">
        <f ca="1">+landbouw!C12</f>
        <v>0</v>
      </c>
      <c r="E54" s="695">
        <f>+landbouw!D12</f>
        <v>85.088313102545612</v>
      </c>
      <c r="F54" s="695">
        <f>+landbouw!E12</f>
        <v>11.327535765442727</v>
      </c>
      <c r="G54" s="695">
        <f>+landbouw!F12</f>
        <v>1159.1120342135371</v>
      </c>
      <c r="H54" s="695">
        <f>+landbouw!G12</f>
        <v>0</v>
      </c>
      <c r="I54" s="695">
        <f>+landbouw!H12</f>
        <v>0</v>
      </c>
      <c r="J54" s="695">
        <f>+landbouw!I12</f>
        <v>0</v>
      </c>
      <c r="K54" s="695">
        <f>+landbouw!J12</f>
        <v>124.3432792860764</v>
      </c>
      <c r="L54" s="695">
        <f>+landbouw!K12</f>
        <v>0</v>
      </c>
      <c r="M54" s="695">
        <f>+landbouw!L12</f>
        <v>0</v>
      </c>
      <c r="N54" s="695">
        <f>+landbouw!M12</f>
        <v>0</v>
      </c>
      <c r="O54" s="695">
        <f>+landbouw!N12</f>
        <v>0</v>
      </c>
      <c r="P54" s="695">
        <f>+landbouw!O12</f>
        <v>0</v>
      </c>
      <c r="Q54" s="696">
        <f>+landbouw!P12</f>
        <v>0</v>
      </c>
      <c r="R54" s="724">
        <f ca="1">SUM(C54:Q54)</f>
        <v>1632.7312505044317</v>
      </c>
    </row>
    <row r="55" spans="1:18" ht="15" thickBot="1">
      <c r="A55" s="827" t="s">
        <v>714</v>
      </c>
      <c r="B55" s="837"/>
      <c r="C55" s="695">
        <f ca="1">C25*'EF ele_warmte'!B12</f>
        <v>268.75582357270605</v>
      </c>
      <c r="D55" s="695"/>
      <c r="E55" s="695">
        <f>E25*EF_CO2_aardgas</f>
        <v>772.94028506380869</v>
      </c>
      <c r="F55" s="695"/>
      <c r="G55" s="695"/>
      <c r="H55" s="695"/>
      <c r="I55" s="695"/>
      <c r="J55" s="695"/>
      <c r="K55" s="695"/>
      <c r="L55" s="695"/>
      <c r="M55" s="695"/>
      <c r="N55" s="695"/>
      <c r="O55" s="695"/>
      <c r="P55" s="695"/>
      <c r="Q55" s="696"/>
      <c r="R55" s="724">
        <f ca="1">SUM(C55:Q55)</f>
        <v>1041.6961086365147</v>
      </c>
    </row>
    <row r="56" spans="1:18" ht="15.75" thickBot="1">
      <c r="A56" s="825" t="s">
        <v>715</v>
      </c>
      <c r="B56" s="838"/>
      <c r="C56" s="725">
        <f ca="1">SUM(C54:C55)</f>
        <v>521.61591170953579</v>
      </c>
      <c r="D56" s="725">
        <f t="shared" ref="D56:Q56" ca="1" si="7">SUM(D54:D55)</f>
        <v>0</v>
      </c>
      <c r="E56" s="725">
        <f t="shared" si="7"/>
        <v>858.0285981663543</v>
      </c>
      <c r="F56" s="725">
        <f t="shared" si="7"/>
        <v>11.327535765442727</v>
      </c>
      <c r="G56" s="725">
        <f t="shared" si="7"/>
        <v>1159.1120342135371</v>
      </c>
      <c r="H56" s="725">
        <f t="shared" si="7"/>
        <v>0</v>
      </c>
      <c r="I56" s="725">
        <f t="shared" si="7"/>
        <v>0</v>
      </c>
      <c r="J56" s="725">
        <f t="shared" si="7"/>
        <v>0</v>
      </c>
      <c r="K56" s="725">
        <f t="shared" si="7"/>
        <v>124.3432792860764</v>
      </c>
      <c r="L56" s="725">
        <f t="shared" si="7"/>
        <v>0</v>
      </c>
      <c r="M56" s="725">
        <f t="shared" si="7"/>
        <v>0</v>
      </c>
      <c r="N56" s="725">
        <f t="shared" si="7"/>
        <v>0</v>
      </c>
      <c r="O56" s="725">
        <f t="shared" si="7"/>
        <v>0</v>
      </c>
      <c r="P56" s="725">
        <f t="shared" si="7"/>
        <v>0</v>
      </c>
      <c r="Q56" s="726">
        <f t="shared" si="7"/>
        <v>0</v>
      </c>
      <c r="R56" s="727">
        <f ca="1">SUM(R54:R55)</f>
        <v>2674.4273591409465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25545.700902697245</v>
      </c>
      <c r="D61" s="733">
        <f t="shared" ref="D61:Q61" ca="1" si="8">D46+D52+D56</f>
        <v>0</v>
      </c>
      <c r="E61" s="733">
        <f t="shared" ca="1" si="8"/>
        <v>40366.990798325351</v>
      </c>
      <c r="F61" s="733">
        <f t="shared" si="8"/>
        <v>2198.0504087550121</v>
      </c>
      <c r="G61" s="733">
        <f t="shared" ca="1" si="8"/>
        <v>5994.3287072709436</v>
      </c>
      <c r="H61" s="733">
        <f t="shared" si="8"/>
        <v>74589.735192229942</v>
      </c>
      <c r="I61" s="733">
        <f t="shared" si="8"/>
        <v>14732.41346401163</v>
      </c>
      <c r="J61" s="733">
        <f t="shared" si="8"/>
        <v>0</v>
      </c>
      <c r="K61" s="733">
        <f t="shared" si="8"/>
        <v>228.65092657669749</v>
      </c>
      <c r="L61" s="733">
        <f t="shared" si="8"/>
        <v>0</v>
      </c>
      <c r="M61" s="733">
        <f t="shared" ca="1" si="8"/>
        <v>0</v>
      </c>
      <c r="N61" s="733">
        <f t="shared" si="8"/>
        <v>0</v>
      </c>
      <c r="O61" s="733">
        <f t="shared" ca="1" si="8"/>
        <v>0</v>
      </c>
      <c r="P61" s="733">
        <f t="shared" si="8"/>
        <v>0</v>
      </c>
      <c r="Q61" s="733">
        <f t="shared" si="8"/>
        <v>0</v>
      </c>
      <c r="R61" s="733">
        <f ca="1">R46+R52+R56</f>
        <v>163655.87039986684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0.18897254230212093</v>
      </c>
      <c r="D63" s="779">
        <f t="shared" ca="1" si="9"/>
        <v>0</v>
      </c>
      <c r="E63" s="973">
        <f t="shared" ca="1" si="9"/>
        <v>0.20200000000000004</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19547.020932455835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19590.670932455836</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48554.632135458873</v>
      </c>
      <c r="C4" s="455">
        <f>huishoudens!C8</f>
        <v>0</v>
      </c>
      <c r="D4" s="455">
        <f>huishoudens!D8</f>
        <v>118934.78190631171</v>
      </c>
      <c r="E4" s="455">
        <f>huishoudens!E8</f>
        <v>8868.497234072358</v>
      </c>
      <c r="F4" s="455">
        <f>huishoudens!F8</f>
        <v>0</v>
      </c>
      <c r="G4" s="455">
        <f>huishoudens!G8</f>
        <v>0</v>
      </c>
      <c r="H4" s="455">
        <f>huishoudens!H8</f>
        <v>0</v>
      </c>
      <c r="I4" s="455">
        <f>huishoudens!I8</f>
        <v>0</v>
      </c>
      <c r="J4" s="455">
        <f>huishoudens!J8</f>
        <v>292.10652733514655</v>
      </c>
      <c r="K4" s="455">
        <f>huishoudens!K8</f>
        <v>0</v>
      </c>
      <c r="L4" s="455">
        <f>huishoudens!L8</f>
        <v>0</v>
      </c>
      <c r="M4" s="455">
        <f>huishoudens!M8</f>
        <v>0</v>
      </c>
      <c r="N4" s="455">
        <f>huishoudens!N8</f>
        <v>20510.234342334606</v>
      </c>
      <c r="O4" s="455">
        <f>huishoudens!O8</f>
        <v>436.47080826514696</v>
      </c>
      <c r="P4" s="456">
        <f>huishoudens!P8</f>
        <v>1232.4732389991477</v>
      </c>
      <c r="Q4" s="457">
        <f>SUM(B4:P4)</f>
        <v>198829.19619277699</v>
      </c>
    </row>
    <row r="5" spans="1:17">
      <c r="A5" s="454" t="s">
        <v>155</v>
      </c>
      <c r="B5" s="455">
        <f ca="1">tertiair!B16</f>
        <v>41193.005892537461</v>
      </c>
      <c r="C5" s="455">
        <f ca="1">tertiair!C16</f>
        <v>0</v>
      </c>
      <c r="D5" s="455">
        <f ca="1">tertiair!D16</f>
        <v>49010.777137039615</v>
      </c>
      <c r="E5" s="455">
        <f>tertiair!E16</f>
        <v>136.13264531180019</v>
      </c>
      <c r="F5" s="455">
        <f ca="1">tertiair!F16</f>
        <v>6401.0114317361022</v>
      </c>
      <c r="G5" s="455">
        <f>tertiair!G16</f>
        <v>0</v>
      </c>
      <c r="H5" s="455">
        <f>tertiair!H16</f>
        <v>0</v>
      </c>
      <c r="I5" s="455">
        <f>tertiair!I16</f>
        <v>0</v>
      </c>
      <c r="J5" s="455">
        <f>tertiair!J16</f>
        <v>4.9862253131749863E-2</v>
      </c>
      <c r="K5" s="455">
        <f>tertiair!K16</f>
        <v>0</v>
      </c>
      <c r="L5" s="455">
        <f ca="1">tertiair!L16</f>
        <v>0</v>
      </c>
      <c r="M5" s="455">
        <f>tertiair!M16</f>
        <v>0</v>
      </c>
      <c r="N5" s="455">
        <f ca="1">tertiair!N16</f>
        <v>1829.3959827664257</v>
      </c>
      <c r="O5" s="455">
        <f>tertiair!O16</f>
        <v>14.691782297523464</v>
      </c>
      <c r="P5" s="456">
        <f>tertiair!P16</f>
        <v>105.07827661299004</v>
      </c>
      <c r="Q5" s="454">
        <f t="shared" ref="Q5:Q14" ca="1" si="0">SUM(B5:P5)</f>
        <v>98690.143010555039</v>
      </c>
    </row>
    <row r="6" spans="1:17">
      <c r="A6" s="454" t="s">
        <v>193</v>
      </c>
      <c r="B6" s="455">
        <f>'openbare verlichting'!B8</f>
        <v>1572.1759999999999</v>
      </c>
      <c r="C6" s="455"/>
      <c r="D6" s="455"/>
      <c r="E6" s="455"/>
      <c r="F6" s="455"/>
      <c r="G6" s="455"/>
      <c r="H6" s="455"/>
      <c r="I6" s="455"/>
      <c r="J6" s="455"/>
      <c r="K6" s="455"/>
      <c r="L6" s="455"/>
      <c r="M6" s="455"/>
      <c r="N6" s="455"/>
      <c r="O6" s="455"/>
      <c r="P6" s="456"/>
      <c r="Q6" s="454">
        <f t="shared" si="0"/>
        <v>1572.1759999999999</v>
      </c>
    </row>
    <row r="7" spans="1:17">
      <c r="A7" s="454" t="s">
        <v>111</v>
      </c>
      <c r="B7" s="455">
        <f>landbouw!B8</f>
        <v>1338.07845868194</v>
      </c>
      <c r="C7" s="455">
        <f>landbouw!C8</f>
        <v>62.357142857142847</v>
      </c>
      <c r="D7" s="455">
        <f>landbouw!D8</f>
        <v>421.22927278487924</v>
      </c>
      <c r="E7" s="455">
        <f>landbouw!E8</f>
        <v>49.901038614285142</v>
      </c>
      <c r="F7" s="455">
        <f>landbouw!F8</f>
        <v>4341.2435738334716</v>
      </c>
      <c r="G7" s="455">
        <f>landbouw!G8</f>
        <v>0</v>
      </c>
      <c r="H7" s="455">
        <f>landbouw!H8</f>
        <v>0</v>
      </c>
      <c r="I7" s="455">
        <f>landbouw!I8</f>
        <v>0</v>
      </c>
      <c r="J7" s="455">
        <f>landbouw!J8</f>
        <v>351.25220137309719</v>
      </c>
      <c r="K7" s="455">
        <f>landbouw!K8</f>
        <v>0</v>
      </c>
      <c r="L7" s="455">
        <f>landbouw!L8</f>
        <v>0</v>
      </c>
      <c r="M7" s="455">
        <f>landbouw!M8</f>
        <v>0</v>
      </c>
      <c r="N7" s="455">
        <f>landbouw!N8</f>
        <v>0</v>
      </c>
      <c r="O7" s="455">
        <f>landbouw!O8</f>
        <v>0</v>
      </c>
      <c r="P7" s="456">
        <f>landbouw!P8</f>
        <v>0</v>
      </c>
      <c r="Q7" s="454">
        <f t="shared" si="0"/>
        <v>6564.0616881448159</v>
      </c>
    </row>
    <row r="8" spans="1:17">
      <c r="A8" s="454" t="s">
        <v>626</v>
      </c>
      <c r="B8" s="455">
        <f>industrie!B18</f>
        <v>40887.284373982104</v>
      </c>
      <c r="C8" s="455">
        <f>industrie!C18</f>
        <v>0</v>
      </c>
      <c r="D8" s="455">
        <f>industrie!D18</f>
        <v>26727.297055288083</v>
      </c>
      <c r="E8" s="455">
        <f>industrie!E18</f>
        <v>98.282853755418131</v>
      </c>
      <c r="F8" s="455">
        <f>industrie!F18</f>
        <v>11708.414310051936</v>
      </c>
      <c r="G8" s="455">
        <f>industrie!G18</f>
        <v>0</v>
      </c>
      <c r="H8" s="455">
        <f>industrie!H18</f>
        <v>0</v>
      </c>
      <c r="I8" s="455">
        <f>industrie!I18</f>
        <v>0</v>
      </c>
      <c r="J8" s="455">
        <f>industrie!J18</f>
        <v>2.49798128918238</v>
      </c>
      <c r="K8" s="455">
        <f>industrie!K18</f>
        <v>0</v>
      </c>
      <c r="L8" s="455">
        <f>industrie!L18</f>
        <v>0</v>
      </c>
      <c r="M8" s="455">
        <f>industrie!M18</f>
        <v>0</v>
      </c>
      <c r="N8" s="455">
        <f>industrie!N18</f>
        <v>1514.1780382706063</v>
      </c>
      <c r="O8" s="455">
        <f>industrie!O18</f>
        <v>0</v>
      </c>
      <c r="P8" s="456">
        <f>industrie!P18</f>
        <v>0</v>
      </c>
      <c r="Q8" s="454">
        <f t="shared" si="0"/>
        <v>80937.954612637317</v>
      </c>
    </row>
    <row r="9" spans="1:17" s="460" customFormat="1">
      <c r="A9" s="458" t="s">
        <v>552</v>
      </c>
      <c r="B9" s="459">
        <f>transport!B14</f>
        <v>214.70577198620788</v>
      </c>
      <c r="C9" s="459">
        <f>transport!C14</f>
        <v>0</v>
      </c>
      <c r="D9" s="459">
        <f>transport!D14</f>
        <v>916.06568432588779</v>
      </c>
      <c r="E9" s="459">
        <f>transport!E14</f>
        <v>530.2276765061024</v>
      </c>
      <c r="F9" s="459">
        <f>transport!F14</f>
        <v>0</v>
      </c>
      <c r="G9" s="459">
        <f>transport!G14</f>
        <v>277178.07839596394</v>
      </c>
      <c r="H9" s="459">
        <f>transport!H14</f>
        <v>59166.319132576828</v>
      </c>
      <c r="I9" s="459">
        <f>transport!I14</f>
        <v>0</v>
      </c>
      <c r="J9" s="459">
        <f>transport!J14</f>
        <v>0</v>
      </c>
      <c r="K9" s="459">
        <f>transport!K14</f>
        <v>0</v>
      </c>
      <c r="L9" s="459">
        <f>transport!L14</f>
        <v>0</v>
      </c>
      <c r="M9" s="459">
        <f>transport!M14</f>
        <v>19718.52368332072</v>
      </c>
      <c r="N9" s="459">
        <f>transport!N14</f>
        <v>0</v>
      </c>
      <c r="O9" s="459">
        <f>transport!O14</f>
        <v>0</v>
      </c>
      <c r="P9" s="459">
        <f>transport!P14</f>
        <v>0</v>
      </c>
      <c r="Q9" s="458">
        <f>SUM(B9:P9)</f>
        <v>357723.92034467967</v>
      </c>
    </row>
    <row r="10" spans="1:17">
      <c r="A10" s="454" t="s">
        <v>542</v>
      </c>
      <c r="B10" s="455">
        <f>transport!B54</f>
        <v>0</v>
      </c>
      <c r="C10" s="455">
        <f>transport!C54</f>
        <v>0</v>
      </c>
      <c r="D10" s="455">
        <f>transport!D54</f>
        <v>0</v>
      </c>
      <c r="E10" s="455">
        <f>transport!E54</f>
        <v>0</v>
      </c>
      <c r="F10" s="455">
        <f>transport!F54</f>
        <v>0</v>
      </c>
      <c r="G10" s="455">
        <f>transport!G54</f>
        <v>2184.2256947848755</v>
      </c>
      <c r="H10" s="455">
        <f>transport!H54</f>
        <v>0</v>
      </c>
      <c r="I10" s="455">
        <f>transport!I54</f>
        <v>0</v>
      </c>
      <c r="J10" s="455">
        <f>transport!J54</f>
        <v>0</v>
      </c>
      <c r="K10" s="455">
        <f>transport!K54</f>
        <v>0</v>
      </c>
      <c r="L10" s="455">
        <f>transport!L54</f>
        <v>0</v>
      </c>
      <c r="M10" s="455">
        <f>transport!M54</f>
        <v>118.52852664944936</v>
      </c>
      <c r="N10" s="455">
        <f>transport!N54</f>
        <v>0</v>
      </c>
      <c r="O10" s="455">
        <f>transport!O54</f>
        <v>0</v>
      </c>
      <c r="P10" s="456">
        <f>transport!P54</f>
        <v>0</v>
      </c>
      <c r="Q10" s="454">
        <f t="shared" si="0"/>
        <v>2302.7542214343248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1422.1950993442802</v>
      </c>
      <c r="C14" s="462"/>
      <c r="D14" s="462">
        <f>'SEAP template'!E25</f>
        <v>3826.4370547713302</v>
      </c>
      <c r="E14" s="462"/>
      <c r="F14" s="462"/>
      <c r="G14" s="462"/>
      <c r="H14" s="462"/>
      <c r="I14" s="462"/>
      <c r="J14" s="462"/>
      <c r="K14" s="462"/>
      <c r="L14" s="462"/>
      <c r="M14" s="462"/>
      <c r="N14" s="462"/>
      <c r="O14" s="462"/>
      <c r="P14" s="463"/>
      <c r="Q14" s="454">
        <f t="shared" si="0"/>
        <v>5248.6321541156103</v>
      </c>
    </row>
    <row r="15" spans="1:17" s="466" customFormat="1">
      <c r="A15" s="464" t="s">
        <v>546</v>
      </c>
      <c r="B15" s="465">
        <f ca="1">SUM(B4:B14)</f>
        <v>135182.07773199087</v>
      </c>
      <c r="C15" s="465">
        <f t="shared" ref="C15:Q15" ca="1" si="1">SUM(C4:C14)</f>
        <v>62.357142857142847</v>
      </c>
      <c r="D15" s="465">
        <f t="shared" ca="1" si="1"/>
        <v>199836.58811052146</v>
      </c>
      <c r="E15" s="465">
        <f t="shared" si="1"/>
        <v>9683.0414482599626</v>
      </c>
      <c r="F15" s="465">
        <f t="shared" ca="1" si="1"/>
        <v>22450.669315621511</v>
      </c>
      <c r="G15" s="465">
        <f t="shared" si="1"/>
        <v>279362.30409074883</v>
      </c>
      <c r="H15" s="465">
        <f t="shared" si="1"/>
        <v>59166.319132576828</v>
      </c>
      <c r="I15" s="465">
        <f t="shared" si="1"/>
        <v>0</v>
      </c>
      <c r="J15" s="465">
        <f t="shared" si="1"/>
        <v>645.90657225055782</v>
      </c>
      <c r="K15" s="465">
        <f t="shared" si="1"/>
        <v>0</v>
      </c>
      <c r="L15" s="465">
        <f t="shared" ca="1" si="1"/>
        <v>0</v>
      </c>
      <c r="M15" s="465">
        <f t="shared" si="1"/>
        <v>19837.05220997017</v>
      </c>
      <c r="N15" s="465">
        <f t="shared" ca="1" si="1"/>
        <v>23853.808363371638</v>
      </c>
      <c r="O15" s="465">
        <f t="shared" si="1"/>
        <v>451.1625905626704</v>
      </c>
      <c r="P15" s="465">
        <f t="shared" si="1"/>
        <v>1337.5515156121378</v>
      </c>
      <c r="Q15" s="465">
        <f t="shared" ca="1" si="1"/>
        <v>751868.83822434372</v>
      </c>
    </row>
    <row r="17" spans="1:17">
      <c r="A17" s="467" t="s">
        <v>547</v>
      </c>
      <c r="B17" s="784">
        <f ca="1">huishoudens!B10</f>
        <v>0.18897254230212093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9175.4922751819231</v>
      </c>
      <c r="C22" s="455">
        <f t="shared" ref="C22:C32" ca="1" si="3">C4*$C$17</f>
        <v>0</v>
      </c>
      <c r="D22" s="455">
        <f t="shared" ref="D22:D32" si="4">D4*$D$17</f>
        <v>24024.825945074965</v>
      </c>
      <c r="E22" s="455">
        <f t="shared" ref="E22:E32" si="5">E4*$E$17</f>
        <v>2013.1488721344253</v>
      </c>
      <c r="F22" s="455">
        <f t="shared" ref="F22:F32" si="6">F4*$F$17</f>
        <v>0</v>
      </c>
      <c r="G22" s="455">
        <f t="shared" ref="G22:G32" si="7">G4*$G$17</f>
        <v>0</v>
      </c>
      <c r="H22" s="455">
        <f t="shared" ref="H22:H32" si="8">H4*$H$17</f>
        <v>0</v>
      </c>
      <c r="I22" s="455">
        <f t="shared" ref="I22:I32" si="9">I4*$I$17</f>
        <v>0</v>
      </c>
      <c r="J22" s="455">
        <f t="shared" ref="J22:J32" si="10">J4*$J$17</f>
        <v>103.40571067664187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35316.872803067956</v>
      </c>
    </row>
    <row r="23" spans="1:17">
      <c r="A23" s="454" t="s">
        <v>155</v>
      </c>
      <c r="B23" s="455">
        <f t="shared" ca="1" si="2"/>
        <v>7784.3470485790522</v>
      </c>
      <c r="C23" s="455">
        <f t="shared" ca="1" si="3"/>
        <v>0</v>
      </c>
      <c r="D23" s="455">
        <f t="shared" ca="1" si="4"/>
        <v>9900.1769816820033</v>
      </c>
      <c r="E23" s="455">
        <f t="shared" si="5"/>
        <v>30.902110485778643</v>
      </c>
      <c r="F23" s="455">
        <f t="shared" ca="1" si="6"/>
        <v>1709.0700522735394</v>
      </c>
      <c r="G23" s="455">
        <f t="shared" si="7"/>
        <v>0</v>
      </c>
      <c r="H23" s="455">
        <f t="shared" si="8"/>
        <v>0</v>
      </c>
      <c r="I23" s="455">
        <f t="shared" si="9"/>
        <v>0</v>
      </c>
      <c r="J23" s="455">
        <f t="shared" si="10"/>
        <v>1.7651237608639452E-2</v>
      </c>
      <c r="K23" s="455">
        <f t="shared" si="11"/>
        <v>0</v>
      </c>
      <c r="L23" s="455">
        <f t="shared" ca="1" si="12"/>
        <v>0</v>
      </c>
      <c r="M23" s="455">
        <f t="shared" si="13"/>
        <v>0</v>
      </c>
      <c r="N23" s="455">
        <f t="shared" ca="1" si="14"/>
        <v>0</v>
      </c>
      <c r="O23" s="455">
        <f t="shared" si="15"/>
        <v>0</v>
      </c>
      <c r="P23" s="456">
        <f t="shared" si="16"/>
        <v>0</v>
      </c>
      <c r="Q23" s="454">
        <f t="shared" ref="Q23:Q31" ca="1" si="17">SUM(B23:P23)</f>
        <v>19424.513844257981</v>
      </c>
    </row>
    <row r="24" spans="1:17">
      <c r="A24" s="454" t="s">
        <v>193</v>
      </c>
      <c r="B24" s="455">
        <f t="shared" ca="1" si="2"/>
        <v>297.09809566637927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297.09809566637927</v>
      </c>
    </row>
    <row r="25" spans="1:17">
      <c r="A25" s="454" t="s">
        <v>111</v>
      </c>
      <c r="B25" s="455">
        <f t="shared" ca="1" si="2"/>
        <v>252.86008813682969</v>
      </c>
      <c r="C25" s="455">
        <f t="shared" ca="1" si="3"/>
        <v>0</v>
      </c>
      <c r="D25" s="455">
        <f t="shared" si="4"/>
        <v>85.088313102545612</v>
      </c>
      <c r="E25" s="455">
        <f t="shared" si="5"/>
        <v>11.327535765442727</v>
      </c>
      <c r="F25" s="455">
        <f t="shared" si="6"/>
        <v>1159.1120342135371</v>
      </c>
      <c r="G25" s="455">
        <f t="shared" si="7"/>
        <v>0</v>
      </c>
      <c r="H25" s="455">
        <f t="shared" si="8"/>
        <v>0</v>
      </c>
      <c r="I25" s="455">
        <f t="shared" si="9"/>
        <v>0</v>
      </c>
      <c r="J25" s="455">
        <f t="shared" si="10"/>
        <v>124.3432792860764</v>
      </c>
      <c r="K25" s="455">
        <f t="shared" si="11"/>
        <v>0</v>
      </c>
      <c r="L25" s="455">
        <f t="shared" si="12"/>
        <v>0</v>
      </c>
      <c r="M25" s="455">
        <f t="shared" si="13"/>
        <v>0</v>
      </c>
      <c r="N25" s="455">
        <f t="shared" si="14"/>
        <v>0</v>
      </c>
      <c r="O25" s="455">
        <f t="shared" si="15"/>
        <v>0</v>
      </c>
      <c r="P25" s="456">
        <f t="shared" si="16"/>
        <v>0</v>
      </c>
      <c r="Q25" s="454">
        <f t="shared" ca="1" si="17"/>
        <v>1632.7312505044317</v>
      </c>
    </row>
    <row r="26" spans="1:17">
      <c r="A26" s="454" t="s">
        <v>626</v>
      </c>
      <c r="B26" s="455">
        <f t="shared" ca="1" si="2"/>
        <v>7726.5740759811815</v>
      </c>
      <c r="C26" s="455">
        <f t="shared" ca="1" si="3"/>
        <v>0</v>
      </c>
      <c r="D26" s="455">
        <f t="shared" si="4"/>
        <v>5398.9140051681934</v>
      </c>
      <c r="E26" s="455">
        <f t="shared" si="5"/>
        <v>22.310207802479916</v>
      </c>
      <c r="F26" s="455">
        <f t="shared" si="6"/>
        <v>3126.1466207838671</v>
      </c>
      <c r="G26" s="455">
        <f t="shared" si="7"/>
        <v>0</v>
      </c>
      <c r="H26" s="455">
        <f t="shared" si="8"/>
        <v>0</v>
      </c>
      <c r="I26" s="455">
        <f t="shared" si="9"/>
        <v>0</v>
      </c>
      <c r="J26" s="455">
        <f t="shared" si="10"/>
        <v>0.88428537637056248</v>
      </c>
      <c r="K26" s="455">
        <f t="shared" si="11"/>
        <v>0</v>
      </c>
      <c r="L26" s="455">
        <f t="shared" si="12"/>
        <v>0</v>
      </c>
      <c r="M26" s="455">
        <f t="shared" si="13"/>
        <v>0</v>
      </c>
      <c r="N26" s="455">
        <f t="shared" si="14"/>
        <v>0</v>
      </c>
      <c r="O26" s="455">
        <f t="shared" si="15"/>
        <v>0</v>
      </c>
      <c r="P26" s="456">
        <f t="shared" si="16"/>
        <v>0</v>
      </c>
      <c r="Q26" s="454">
        <f t="shared" ca="1" si="17"/>
        <v>16274.829195112094</v>
      </c>
    </row>
    <row r="27" spans="1:17" s="460" customFormat="1">
      <c r="A27" s="458" t="s">
        <v>552</v>
      </c>
      <c r="B27" s="778">
        <f t="shared" ca="1" si="2"/>
        <v>40.573495579173198</v>
      </c>
      <c r="C27" s="459">
        <f t="shared" ca="1" si="3"/>
        <v>0</v>
      </c>
      <c r="D27" s="459">
        <f t="shared" si="4"/>
        <v>185.04526823382935</v>
      </c>
      <c r="E27" s="459">
        <f t="shared" si="5"/>
        <v>120.36168256688525</v>
      </c>
      <c r="F27" s="459">
        <f t="shared" si="6"/>
        <v>0</v>
      </c>
      <c r="G27" s="459">
        <f t="shared" si="7"/>
        <v>74006.546931722376</v>
      </c>
      <c r="H27" s="459">
        <f t="shared" si="8"/>
        <v>14732.41346401163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89084.940842113894</v>
      </c>
    </row>
    <row r="28" spans="1:17" ht="16.5" customHeight="1">
      <c r="A28" s="454" t="s">
        <v>542</v>
      </c>
      <c r="B28" s="455">
        <f t="shared" ca="1" si="2"/>
        <v>0</v>
      </c>
      <c r="C28" s="455">
        <f t="shared" ca="1" si="3"/>
        <v>0</v>
      </c>
      <c r="D28" s="455">
        <f t="shared" si="4"/>
        <v>0</v>
      </c>
      <c r="E28" s="455">
        <f t="shared" si="5"/>
        <v>0</v>
      </c>
      <c r="F28" s="455">
        <f t="shared" si="6"/>
        <v>0</v>
      </c>
      <c r="G28" s="455">
        <f t="shared" si="7"/>
        <v>583.18826050756184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583.18826050756184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268.75582357270605</v>
      </c>
      <c r="C32" s="455">
        <f t="shared" ca="1" si="3"/>
        <v>0</v>
      </c>
      <c r="D32" s="455">
        <f t="shared" si="4"/>
        <v>772.94028506380869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1041.6961086365147</v>
      </c>
    </row>
    <row r="33" spans="1:17" s="466" customFormat="1">
      <c r="A33" s="464" t="s">
        <v>546</v>
      </c>
      <c r="B33" s="465">
        <f ca="1">SUM(B22:B32)</f>
        <v>25545.700902697245</v>
      </c>
      <c r="C33" s="465">
        <f t="shared" ref="C33:Q33" ca="1" si="19">SUM(C22:C32)</f>
        <v>0</v>
      </c>
      <c r="D33" s="465">
        <f t="shared" ca="1" si="19"/>
        <v>40366.990798325351</v>
      </c>
      <c r="E33" s="465">
        <f t="shared" si="19"/>
        <v>2198.0504087550116</v>
      </c>
      <c r="F33" s="465">
        <f t="shared" ca="1" si="19"/>
        <v>5994.3287072709436</v>
      </c>
      <c r="G33" s="465">
        <f t="shared" si="19"/>
        <v>74589.735192229942</v>
      </c>
      <c r="H33" s="465">
        <f t="shared" si="19"/>
        <v>14732.41346401163</v>
      </c>
      <c r="I33" s="465">
        <f t="shared" si="19"/>
        <v>0</v>
      </c>
      <c r="J33" s="465">
        <f t="shared" si="19"/>
        <v>228.65092657669749</v>
      </c>
      <c r="K33" s="465">
        <f t="shared" si="19"/>
        <v>0</v>
      </c>
      <c r="L33" s="465">
        <f t="shared" ca="1" si="19"/>
        <v>0</v>
      </c>
      <c r="M33" s="465">
        <f t="shared" si="19"/>
        <v>0</v>
      </c>
      <c r="N33" s="465">
        <f t="shared" ca="1" si="19"/>
        <v>0</v>
      </c>
      <c r="O33" s="465">
        <f t="shared" si="19"/>
        <v>0</v>
      </c>
      <c r="P33" s="465">
        <f t="shared" si="19"/>
        <v>0</v>
      </c>
      <c r="Q33" s="465">
        <f t="shared" ca="1" si="19"/>
        <v>163655.87039986681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19547.020932455835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19590.670932455836</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0.18897254230212093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0.18897254230212093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0.18897254230212093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0.18897254230212093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12356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1815.41</v>
      </c>
      <c r="C14" s="332"/>
      <c r="D14" s="332"/>
      <c r="E14" s="332"/>
      <c r="F14" s="332"/>
    </row>
    <row r="15" spans="1:6">
      <c r="A15" s="1310" t="s">
        <v>183</v>
      </c>
      <c r="B15" s="1311">
        <v>462</v>
      </c>
      <c r="C15" s="332"/>
      <c r="D15" s="332"/>
      <c r="E15" s="332"/>
      <c r="F15" s="332"/>
    </row>
    <row r="16" spans="1:6">
      <c r="A16" s="1310" t="s">
        <v>6</v>
      </c>
      <c r="B16" s="1311">
        <v>1295</v>
      </c>
      <c r="C16" s="332"/>
      <c r="D16" s="332"/>
      <c r="E16" s="332"/>
      <c r="F16" s="332"/>
    </row>
    <row r="17" spans="1:6">
      <c r="A17" s="1310" t="s">
        <v>7</v>
      </c>
      <c r="B17" s="1311">
        <v>638</v>
      </c>
      <c r="C17" s="332"/>
      <c r="D17" s="332"/>
      <c r="E17" s="332"/>
      <c r="F17" s="332"/>
    </row>
    <row r="18" spans="1:6">
      <c r="A18" s="1310" t="s">
        <v>8</v>
      </c>
      <c r="B18" s="1311">
        <v>1078</v>
      </c>
      <c r="C18" s="332"/>
      <c r="D18" s="332"/>
      <c r="E18" s="332"/>
      <c r="F18" s="332"/>
    </row>
    <row r="19" spans="1:6">
      <c r="A19" s="1310" t="s">
        <v>9</v>
      </c>
      <c r="B19" s="1311">
        <v>907</v>
      </c>
      <c r="C19" s="332"/>
      <c r="D19" s="332"/>
      <c r="E19" s="332"/>
      <c r="F19" s="332"/>
    </row>
    <row r="20" spans="1:6">
      <c r="A20" s="1310" t="s">
        <v>10</v>
      </c>
      <c r="B20" s="1311">
        <v>538</v>
      </c>
      <c r="C20" s="332"/>
      <c r="D20" s="332"/>
      <c r="E20" s="332"/>
      <c r="F20" s="332"/>
    </row>
    <row r="21" spans="1:6">
      <c r="A21" s="1310" t="s">
        <v>11</v>
      </c>
      <c r="B21" s="1311">
        <v>4460</v>
      </c>
      <c r="C21" s="332"/>
      <c r="D21" s="332"/>
      <c r="E21" s="332"/>
      <c r="F21" s="332"/>
    </row>
    <row r="22" spans="1:6">
      <c r="A22" s="1310" t="s">
        <v>12</v>
      </c>
      <c r="B22" s="1311">
        <v>7058</v>
      </c>
      <c r="C22" s="332"/>
      <c r="D22" s="332"/>
      <c r="E22" s="332"/>
      <c r="F22" s="332"/>
    </row>
    <row r="23" spans="1:6">
      <c r="A23" s="1310" t="s">
        <v>13</v>
      </c>
      <c r="B23" s="1311">
        <v>130</v>
      </c>
      <c r="C23" s="332"/>
      <c r="D23" s="332"/>
      <c r="E23" s="332"/>
      <c r="F23" s="332"/>
    </row>
    <row r="24" spans="1:6">
      <c r="A24" s="1310" t="s">
        <v>14</v>
      </c>
      <c r="B24" s="1311">
        <v>10</v>
      </c>
      <c r="C24" s="332"/>
      <c r="D24" s="332"/>
      <c r="E24" s="332"/>
      <c r="F24" s="332"/>
    </row>
    <row r="25" spans="1:6">
      <c r="A25" s="1310" t="s">
        <v>15</v>
      </c>
      <c r="B25" s="1311">
        <v>986</v>
      </c>
      <c r="C25" s="332"/>
      <c r="D25" s="332"/>
      <c r="E25" s="332"/>
      <c r="F25" s="332"/>
    </row>
    <row r="26" spans="1:6">
      <c r="A26" s="1310" t="s">
        <v>16</v>
      </c>
      <c r="B26" s="1311">
        <v>358</v>
      </c>
      <c r="C26" s="332"/>
      <c r="D26" s="332"/>
      <c r="E26" s="332"/>
      <c r="F26" s="332"/>
    </row>
    <row r="27" spans="1:6">
      <c r="A27" s="1310" t="s">
        <v>17</v>
      </c>
      <c r="B27" s="1311">
        <v>0</v>
      </c>
      <c r="C27" s="332"/>
      <c r="D27" s="332"/>
      <c r="E27" s="332"/>
      <c r="F27" s="332"/>
    </row>
    <row r="28" spans="1:6" s="43" customFormat="1">
      <c r="A28" s="1312" t="s">
        <v>18</v>
      </c>
      <c r="B28" s="1313">
        <v>68216</v>
      </c>
      <c r="C28" s="338"/>
      <c r="D28" s="338"/>
      <c r="E28" s="338"/>
      <c r="F28" s="338"/>
    </row>
    <row r="29" spans="1:6">
      <c r="A29" s="1312" t="s">
        <v>699</v>
      </c>
      <c r="B29" s="1313">
        <v>169</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22568.205944713402</v>
      </c>
    </row>
    <row r="37" spans="1:6">
      <c r="A37" s="1310" t="s">
        <v>24</v>
      </c>
      <c r="B37" s="1310" t="s">
        <v>27</v>
      </c>
      <c r="C37" s="1311">
        <v>0</v>
      </c>
      <c r="D37" s="1311">
        <v>0</v>
      </c>
      <c r="E37" s="1311">
        <v>0</v>
      </c>
      <c r="F37" s="1311">
        <v>0</v>
      </c>
    </row>
    <row r="38" spans="1:6">
      <c r="A38" s="1310" t="s">
        <v>24</v>
      </c>
      <c r="B38" s="1310" t="s">
        <v>28</v>
      </c>
      <c r="C38" s="1311">
        <v>1</v>
      </c>
      <c r="D38" s="1311">
        <v>163443.14626139001</v>
      </c>
      <c r="E38" s="1311">
        <v>0</v>
      </c>
      <c r="F38" s="1311">
        <v>0</v>
      </c>
    </row>
    <row r="39" spans="1:6">
      <c r="A39" s="1310" t="s">
        <v>29</v>
      </c>
      <c r="B39" s="1310" t="s">
        <v>30</v>
      </c>
      <c r="C39" s="1311">
        <v>9583</v>
      </c>
      <c r="D39" s="1311">
        <v>131710721.9339</v>
      </c>
      <c r="E39" s="1311">
        <v>12110</v>
      </c>
      <c r="F39" s="1311">
        <v>41070824.294264697</v>
      </c>
    </row>
    <row r="40" spans="1:6">
      <c r="A40" s="1310" t="s">
        <v>29</v>
      </c>
      <c r="B40" s="1310" t="s">
        <v>28</v>
      </c>
      <c r="C40" s="1311">
        <v>0</v>
      </c>
      <c r="D40" s="1311">
        <v>0</v>
      </c>
      <c r="E40" s="1311">
        <v>1</v>
      </c>
      <c r="F40" s="1311">
        <v>3029</v>
      </c>
    </row>
    <row r="41" spans="1:6">
      <c r="A41" s="1310" t="s">
        <v>31</v>
      </c>
      <c r="B41" s="1310" t="s">
        <v>32</v>
      </c>
      <c r="C41" s="1311">
        <v>203</v>
      </c>
      <c r="D41" s="1311">
        <v>10241194.325484799</v>
      </c>
      <c r="E41" s="1311">
        <v>298</v>
      </c>
      <c r="F41" s="1311">
        <v>18407355.9754568</v>
      </c>
    </row>
    <row r="42" spans="1:6">
      <c r="A42" s="1310" t="s">
        <v>31</v>
      </c>
      <c r="B42" s="1310" t="s">
        <v>33</v>
      </c>
      <c r="C42" s="1311">
        <v>0</v>
      </c>
      <c r="D42" s="1311">
        <v>0</v>
      </c>
      <c r="E42" s="1311">
        <v>3</v>
      </c>
      <c r="F42" s="1311">
        <v>20918.437666736601</v>
      </c>
    </row>
    <row r="43" spans="1:6">
      <c r="A43" s="1310" t="s">
        <v>31</v>
      </c>
      <c r="B43" s="1310" t="s">
        <v>34</v>
      </c>
      <c r="C43" s="1311">
        <v>0</v>
      </c>
      <c r="D43" s="1311">
        <v>0</v>
      </c>
      <c r="E43" s="1311">
        <v>0</v>
      </c>
      <c r="F43" s="1311">
        <v>0</v>
      </c>
    </row>
    <row r="44" spans="1:6">
      <c r="A44" s="1310" t="s">
        <v>31</v>
      </c>
      <c r="B44" s="1310" t="s">
        <v>35</v>
      </c>
      <c r="C44" s="1311">
        <v>32</v>
      </c>
      <c r="D44" s="1311">
        <v>2559564.5566413598</v>
      </c>
      <c r="E44" s="1311">
        <v>46</v>
      </c>
      <c r="F44" s="1311">
        <v>2610697.4519825499</v>
      </c>
    </row>
    <row r="45" spans="1:6">
      <c r="A45" s="1310" t="s">
        <v>31</v>
      </c>
      <c r="B45" s="1310" t="s">
        <v>36</v>
      </c>
      <c r="C45" s="1311">
        <v>6</v>
      </c>
      <c r="D45" s="1311">
        <v>311126.78594349598</v>
      </c>
      <c r="E45" s="1311">
        <v>9</v>
      </c>
      <c r="F45" s="1311">
        <v>1867917.8759722</v>
      </c>
    </row>
    <row r="46" spans="1:6">
      <c r="A46" s="1310" t="s">
        <v>31</v>
      </c>
      <c r="B46" s="1310" t="s">
        <v>37</v>
      </c>
      <c r="C46" s="1311">
        <v>0</v>
      </c>
      <c r="D46" s="1311">
        <v>0</v>
      </c>
      <c r="E46" s="1311">
        <v>0</v>
      </c>
      <c r="F46" s="1311">
        <v>0</v>
      </c>
    </row>
    <row r="47" spans="1:6">
      <c r="A47" s="1310" t="s">
        <v>31</v>
      </c>
      <c r="B47" s="1310" t="s">
        <v>38</v>
      </c>
      <c r="C47" s="1311">
        <v>10</v>
      </c>
      <c r="D47" s="1311">
        <v>402296.16146389698</v>
      </c>
      <c r="E47" s="1311">
        <v>14</v>
      </c>
      <c r="F47" s="1311">
        <v>6654938.78371571</v>
      </c>
    </row>
    <row r="48" spans="1:6">
      <c r="A48" s="1310" t="s">
        <v>31</v>
      </c>
      <c r="B48" s="1310" t="s">
        <v>28</v>
      </c>
      <c r="C48" s="1311">
        <v>1</v>
      </c>
      <c r="D48" s="1311">
        <v>46815.057085018801</v>
      </c>
      <c r="E48" s="1311">
        <v>0</v>
      </c>
      <c r="F48" s="1311">
        <v>0</v>
      </c>
    </row>
    <row r="49" spans="1:6">
      <c r="A49" s="1310" t="s">
        <v>31</v>
      </c>
      <c r="B49" s="1310" t="s">
        <v>39</v>
      </c>
      <c r="C49" s="1311">
        <v>8</v>
      </c>
      <c r="D49" s="1311">
        <v>8154610.4480390903</v>
      </c>
      <c r="E49" s="1311">
        <v>10</v>
      </c>
      <c r="F49" s="1311">
        <v>1826669.26854943</v>
      </c>
    </row>
    <row r="50" spans="1:6">
      <c r="A50" s="1310" t="s">
        <v>31</v>
      </c>
      <c r="B50" s="1310" t="s">
        <v>40</v>
      </c>
      <c r="C50" s="1311">
        <v>28</v>
      </c>
      <c r="D50" s="1311">
        <v>7882728.2747422103</v>
      </c>
      <c r="E50" s="1311">
        <v>36</v>
      </c>
      <c r="F50" s="1311">
        <v>9498786.5806386694</v>
      </c>
    </row>
    <row r="51" spans="1:6">
      <c r="A51" s="1310" t="s">
        <v>41</v>
      </c>
      <c r="B51" s="1310" t="s">
        <v>42</v>
      </c>
      <c r="C51" s="1311">
        <v>19</v>
      </c>
      <c r="D51" s="1311">
        <v>466477.59998325497</v>
      </c>
      <c r="E51" s="1311">
        <v>95</v>
      </c>
      <c r="F51" s="1311">
        <v>1338078.4586819401</v>
      </c>
    </row>
    <row r="52" spans="1:6">
      <c r="A52" s="1310" t="s">
        <v>41</v>
      </c>
      <c r="B52" s="1310" t="s">
        <v>28</v>
      </c>
      <c r="C52" s="1311">
        <v>0</v>
      </c>
      <c r="D52" s="1311">
        <v>0</v>
      </c>
      <c r="E52" s="1311">
        <v>0</v>
      </c>
      <c r="F52" s="1311">
        <v>0</v>
      </c>
    </row>
    <row r="53" spans="1:6">
      <c r="A53" s="1310" t="s">
        <v>43</v>
      </c>
      <c r="B53" s="1310" t="s">
        <v>44</v>
      </c>
      <c r="C53" s="1311">
        <v>191</v>
      </c>
      <c r="D53" s="1311">
        <v>3826437.0547713302</v>
      </c>
      <c r="E53" s="1311">
        <v>436</v>
      </c>
      <c r="F53" s="1311">
        <v>1422195.0993442801</v>
      </c>
    </row>
    <row r="54" spans="1:6">
      <c r="A54" s="1310" t="s">
        <v>45</v>
      </c>
      <c r="B54" s="1310" t="s">
        <v>46</v>
      </c>
      <c r="C54" s="1311">
        <v>0</v>
      </c>
      <c r="D54" s="1311">
        <v>0</v>
      </c>
      <c r="E54" s="1311">
        <v>1</v>
      </c>
      <c r="F54" s="1311">
        <v>1572176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141</v>
      </c>
      <c r="D57" s="1311">
        <v>9690386.4801975507</v>
      </c>
      <c r="E57" s="1311">
        <v>224</v>
      </c>
      <c r="F57" s="1311">
        <v>5048922.7822057595</v>
      </c>
    </row>
    <row r="58" spans="1:6">
      <c r="A58" s="1310" t="s">
        <v>48</v>
      </c>
      <c r="B58" s="1310" t="s">
        <v>50</v>
      </c>
      <c r="C58" s="1311">
        <v>53</v>
      </c>
      <c r="D58" s="1311">
        <v>2939944.67223702</v>
      </c>
      <c r="E58" s="1311">
        <v>70</v>
      </c>
      <c r="F58" s="1311">
        <v>1529765.5263999701</v>
      </c>
    </row>
    <row r="59" spans="1:6">
      <c r="A59" s="1310" t="s">
        <v>48</v>
      </c>
      <c r="B59" s="1310" t="s">
        <v>51</v>
      </c>
      <c r="C59" s="1311">
        <v>250</v>
      </c>
      <c r="D59" s="1311">
        <v>16251595.578108899</v>
      </c>
      <c r="E59" s="1311">
        <v>416</v>
      </c>
      <c r="F59" s="1311">
        <v>17189251.969362099</v>
      </c>
    </row>
    <row r="60" spans="1:6">
      <c r="A60" s="1310" t="s">
        <v>48</v>
      </c>
      <c r="B60" s="1310" t="s">
        <v>52</v>
      </c>
      <c r="C60" s="1311">
        <v>98</v>
      </c>
      <c r="D60" s="1311">
        <v>6093352.47397302</v>
      </c>
      <c r="E60" s="1311">
        <v>104</v>
      </c>
      <c r="F60" s="1311">
        <v>2519326.0768365501</v>
      </c>
    </row>
    <row r="61" spans="1:6">
      <c r="A61" s="1310" t="s">
        <v>48</v>
      </c>
      <c r="B61" s="1310" t="s">
        <v>53</v>
      </c>
      <c r="C61" s="1311">
        <v>307</v>
      </c>
      <c r="D61" s="1311">
        <v>17695442.947524201</v>
      </c>
      <c r="E61" s="1311">
        <v>609</v>
      </c>
      <c r="F61" s="1311">
        <v>14233886.348109299</v>
      </c>
    </row>
    <row r="62" spans="1:6">
      <c r="A62" s="1310" t="s">
        <v>48</v>
      </c>
      <c r="B62" s="1310" t="s">
        <v>54</v>
      </c>
      <c r="C62" s="1311">
        <v>18</v>
      </c>
      <c r="D62" s="1311">
        <v>1604778.55342954</v>
      </c>
      <c r="E62" s="1311">
        <v>26</v>
      </c>
      <c r="F62" s="1311">
        <v>671853.18962378695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28820.170966972801</v>
      </c>
      <c r="E65" s="1311">
        <v>0</v>
      </c>
      <c r="F65" s="1311">
        <v>0</v>
      </c>
    </row>
    <row r="66" spans="1:6">
      <c r="A66" s="1310" t="s">
        <v>55</v>
      </c>
      <c r="B66" s="1310" t="s">
        <v>57</v>
      </c>
      <c r="C66" s="1311">
        <v>0</v>
      </c>
      <c r="D66" s="1311">
        <v>0</v>
      </c>
      <c r="E66" s="1311">
        <v>20</v>
      </c>
      <c r="F66" s="1311">
        <v>664868.772429656</v>
      </c>
    </row>
    <row r="67" spans="1:6">
      <c r="A67" s="1312" t="s">
        <v>55</v>
      </c>
      <c r="B67" s="1312" t="s">
        <v>58</v>
      </c>
      <c r="C67" s="1311">
        <v>0</v>
      </c>
      <c r="D67" s="1311">
        <v>0</v>
      </c>
      <c r="E67" s="1311">
        <v>0</v>
      </c>
      <c r="F67" s="1311">
        <v>0</v>
      </c>
    </row>
    <row r="68" spans="1:6">
      <c r="A68" s="1305" t="s">
        <v>55</v>
      </c>
      <c r="B68" s="1305" t="s">
        <v>59</v>
      </c>
      <c r="C68" s="1314">
        <v>16</v>
      </c>
      <c r="D68" s="1314">
        <v>1185564.0077993399</v>
      </c>
      <c r="E68" s="1314">
        <v>31</v>
      </c>
      <c r="F68" s="1314">
        <v>828787.74681615399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108858377</v>
      </c>
      <c r="E73" s="453"/>
      <c r="F73" s="332"/>
    </row>
    <row r="74" spans="1:6">
      <c r="A74" s="1310" t="s">
        <v>63</v>
      </c>
      <c r="B74" s="1310" t="s">
        <v>648</v>
      </c>
      <c r="C74" s="1324" t="s">
        <v>650</v>
      </c>
      <c r="D74" s="1325">
        <v>11780223.953429151</v>
      </c>
      <c r="E74" s="453"/>
      <c r="F74" s="332"/>
    </row>
    <row r="75" spans="1:6">
      <c r="A75" s="1310" t="s">
        <v>64</v>
      </c>
      <c r="B75" s="1310" t="s">
        <v>647</v>
      </c>
      <c r="C75" s="1324" t="s">
        <v>651</v>
      </c>
      <c r="D75" s="1325">
        <v>82166505</v>
      </c>
      <c r="E75" s="453"/>
      <c r="F75" s="332"/>
    </row>
    <row r="76" spans="1:6">
      <c r="A76" s="1310" t="s">
        <v>64</v>
      </c>
      <c r="B76" s="1310" t="s">
        <v>648</v>
      </c>
      <c r="C76" s="1324" t="s">
        <v>652</v>
      </c>
      <c r="D76" s="1325">
        <v>3940515.9534291523</v>
      </c>
      <c r="E76" s="453"/>
      <c r="F76" s="332"/>
    </row>
    <row r="77" spans="1:6">
      <c r="A77" s="1310" t="s">
        <v>65</v>
      </c>
      <c r="B77" s="1310" t="s">
        <v>647</v>
      </c>
      <c r="C77" s="1324" t="s">
        <v>653</v>
      </c>
      <c r="D77" s="1325">
        <v>126816099</v>
      </c>
      <c r="E77" s="453"/>
      <c r="F77" s="332"/>
    </row>
    <row r="78" spans="1:6">
      <c r="A78" s="1305" t="s">
        <v>65</v>
      </c>
      <c r="B78" s="1305" t="s">
        <v>648</v>
      </c>
      <c r="C78" s="1305" t="s">
        <v>654</v>
      </c>
      <c r="D78" s="1326">
        <v>31414034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638728.09314169595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7480.7788411941756</v>
      </c>
      <c r="C91" s="332"/>
      <c r="D91" s="332"/>
      <c r="E91" s="332"/>
      <c r="F91" s="332"/>
    </row>
    <row r="92" spans="1:6">
      <c r="A92" s="1305" t="s">
        <v>68</v>
      </c>
      <c r="B92" s="1306">
        <v>12066.24209126166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5711</v>
      </c>
      <c r="C97" s="332"/>
      <c r="D97" s="332"/>
      <c r="E97" s="332"/>
      <c r="F97" s="332"/>
    </row>
    <row r="98" spans="1:6">
      <c r="A98" s="1310" t="s">
        <v>71</v>
      </c>
      <c r="B98" s="1311">
        <v>8</v>
      </c>
      <c r="C98" s="332"/>
      <c r="D98" s="332"/>
      <c r="E98" s="332"/>
      <c r="F98" s="332"/>
    </row>
    <row r="99" spans="1:6">
      <c r="A99" s="1310" t="s">
        <v>72</v>
      </c>
      <c r="B99" s="1311">
        <v>124</v>
      </c>
      <c r="C99" s="332"/>
      <c r="D99" s="332"/>
      <c r="E99" s="332"/>
      <c r="F99" s="332"/>
    </row>
    <row r="100" spans="1:6">
      <c r="A100" s="1310" t="s">
        <v>73</v>
      </c>
      <c r="B100" s="1311">
        <v>1048</v>
      </c>
      <c r="C100" s="332"/>
      <c r="D100" s="332"/>
      <c r="E100" s="332"/>
      <c r="F100" s="332"/>
    </row>
    <row r="101" spans="1:6">
      <c r="A101" s="1310" t="s">
        <v>74</v>
      </c>
      <c r="B101" s="1311">
        <v>153</v>
      </c>
      <c r="C101" s="332"/>
      <c r="D101" s="332"/>
      <c r="E101" s="332"/>
      <c r="F101" s="332"/>
    </row>
    <row r="102" spans="1:6">
      <c r="A102" s="1310" t="s">
        <v>75</v>
      </c>
      <c r="B102" s="1311">
        <v>273</v>
      </c>
      <c r="C102" s="332"/>
      <c r="D102" s="332"/>
      <c r="E102" s="332"/>
      <c r="F102" s="332"/>
    </row>
    <row r="103" spans="1:6">
      <c r="A103" s="1310" t="s">
        <v>76</v>
      </c>
      <c r="B103" s="1311">
        <v>408</v>
      </c>
      <c r="C103" s="332"/>
      <c r="D103" s="332"/>
      <c r="E103" s="332"/>
      <c r="F103" s="332"/>
    </row>
    <row r="104" spans="1:6">
      <c r="A104" s="1310" t="s">
        <v>77</v>
      </c>
      <c r="B104" s="1311">
        <v>2212</v>
      </c>
      <c r="C104" s="332"/>
      <c r="D104" s="332"/>
      <c r="E104" s="332"/>
      <c r="F104" s="332"/>
    </row>
    <row r="105" spans="1:6">
      <c r="A105" s="1305" t="s">
        <v>78</v>
      </c>
      <c r="B105" s="1314">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84</v>
      </c>
      <c r="C123" s="1311">
        <v>40</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180</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33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135182.07773199087</v>
      </c>
      <c r="C3" s="43" t="s">
        <v>169</v>
      </c>
      <c r="D3" s="43"/>
      <c r="E3" s="154"/>
      <c r="F3" s="43"/>
      <c r="G3" s="43"/>
      <c r="H3" s="43"/>
      <c r="I3" s="43"/>
      <c r="J3" s="43"/>
      <c r="K3" s="96"/>
    </row>
    <row r="4" spans="1:11">
      <c r="A4" s="360" t="s">
        <v>170</v>
      </c>
      <c r="B4" s="49">
        <f>IF(ISERROR('SEAP template'!B78+'SEAP template'!C78),0,'SEAP template'!B78+'SEAP template'!C78)</f>
        <v>19590.670932455836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0.18897254230212093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1572.1759999999999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1572.1759999999999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0.18897254230212093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297.09809566637927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41073.8532942647</v>
      </c>
      <c r="C5" s="17">
        <f>IF(ISERROR('Eigen informatie GS &amp; warmtenet'!B59),0,'Eigen informatie GS &amp; warmtenet'!B59)</f>
        <v>0</v>
      </c>
      <c r="D5" s="30">
        <f>(SUM(HH_hh_gas_kWh,HH_rest_gas_kWh)/1000)*0.903</f>
        <v>118934.78190631171</v>
      </c>
      <c r="E5" s="17">
        <f>B46*B57</f>
        <v>8868.497234072358</v>
      </c>
      <c r="F5" s="17">
        <f>B51*B62</f>
        <v>0</v>
      </c>
      <c r="G5" s="18"/>
      <c r="H5" s="17"/>
      <c r="I5" s="17"/>
      <c r="J5" s="17">
        <f>B50*B61+C50*C61</f>
        <v>292.10652733514655</v>
      </c>
      <c r="K5" s="17"/>
      <c r="L5" s="17"/>
      <c r="M5" s="17"/>
      <c r="N5" s="17">
        <f>B48*B59+C48*C59</f>
        <v>20510.234342334606</v>
      </c>
      <c r="O5" s="17">
        <f>B69*B70*B71</f>
        <v>436.47080826514696</v>
      </c>
      <c r="P5" s="17">
        <f>B77*B78*B79/1000-B77*B78*B79/1000/B80</f>
        <v>1232.4732389991477</v>
      </c>
    </row>
    <row r="6" spans="1:16">
      <c r="A6" s="16" t="s">
        <v>612</v>
      </c>
      <c r="B6" s="786">
        <f>kWh_PV_kleiner_dan_10kW</f>
        <v>7480.7788411941756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48554.632135458873</v>
      </c>
      <c r="C8" s="21">
        <f>C5</f>
        <v>0</v>
      </c>
      <c r="D8" s="21">
        <f>D5</f>
        <v>118934.78190631171</v>
      </c>
      <c r="E8" s="21">
        <f>E5</f>
        <v>8868.497234072358</v>
      </c>
      <c r="F8" s="21">
        <f>F5</f>
        <v>0</v>
      </c>
      <c r="G8" s="21"/>
      <c r="H8" s="21"/>
      <c r="I8" s="21"/>
      <c r="J8" s="21">
        <f>J5</f>
        <v>292.10652733514655</v>
      </c>
      <c r="K8" s="21"/>
      <c r="L8" s="21">
        <f>L5</f>
        <v>0</v>
      </c>
      <c r="M8" s="21">
        <f>M5</f>
        <v>0</v>
      </c>
      <c r="N8" s="21">
        <f>N5</f>
        <v>20510.234342334606</v>
      </c>
      <c r="O8" s="21">
        <f>O5</f>
        <v>436.47080826514696</v>
      </c>
      <c r="P8" s="21">
        <f>P5</f>
        <v>1232.4732389991477</v>
      </c>
    </row>
    <row r="9" spans="1:16">
      <c r="B9" s="19"/>
      <c r="C9" s="19"/>
      <c r="D9" s="258"/>
      <c r="E9" s="19"/>
      <c r="F9" s="19"/>
      <c r="G9" s="19"/>
      <c r="H9" s="19"/>
      <c r="I9" s="19"/>
      <c r="J9" s="19"/>
      <c r="K9" s="19"/>
      <c r="L9" s="19"/>
      <c r="M9" s="19"/>
      <c r="N9" s="19"/>
      <c r="O9" s="19"/>
      <c r="P9" s="19"/>
    </row>
    <row r="10" spans="1:16">
      <c r="A10" s="24" t="s">
        <v>213</v>
      </c>
      <c r="B10" s="25">
        <f ca="1">'EF ele_warmte'!B12</f>
        <v>0.18897254230212093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9175.4922751819231</v>
      </c>
      <c r="C12" s="23">
        <f ca="1">C10*C8</f>
        <v>0</v>
      </c>
      <c r="D12" s="23">
        <f>D8*D10</f>
        <v>24024.825945074965</v>
      </c>
      <c r="E12" s="23">
        <f>E10*E8</f>
        <v>2013.1488721344253</v>
      </c>
      <c r="F12" s="23">
        <f>F10*F8</f>
        <v>0</v>
      </c>
      <c r="G12" s="23"/>
      <c r="H12" s="23"/>
      <c r="I12" s="23"/>
      <c r="J12" s="23">
        <f>J10*J8</f>
        <v>103.40571067664187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5711</v>
      </c>
      <c r="C18" s="166" t="s">
        <v>110</v>
      </c>
      <c r="D18" s="228"/>
      <c r="E18" s="15"/>
    </row>
    <row r="19" spans="1:7">
      <c r="A19" s="171" t="s">
        <v>71</v>
      </c>
      <c r="B19" s="37">
        <f>aantalw2001_ander</f>
        <v>8</v>
      </c>
      <c r="C19" s="166" t="s">
        <v>110</v>
      </c>
      <c r="D19" s="229"/>
      <c r="E19" s="15"/>
    </row>
    <row r="20" spans="1:7">
      <c r="A20" s="171" t="s">
        <v>72</v>
      </c>
      <c r="B20" s="37">
        <f>aantalw2001_propaan</f>
        <v>124</v>
      </c>
      <c r="C20" s="167">
        <f>IF(ISERROR(B20/SUM($B$20,$B$21,$B$22)*100),0,B20/SUM($B$20,$B$21,$B$22)*100)</f>
        <v>9.3584905660377355</v>
      </c>
      <c r="D20" s="229"/>
      <c r="E20" s="15"/>
    </row>
    <row r="21" spans="1:7">
      <c r="A21" s="171" t="s">
        <v>73</v>
      </c>
      <c r="B21" s="37">
        <f>aantalw2001_elektriciteit</f>
        <v>1048</v>
      </c>
      <c r="C21" s="167">
        <f>IF(ISERROR(B21/SUM($B$20,$B$21,$B$22)*100),0,B21/SUM($B$20,$B$21,$B$22)*100)</f>
        <v>79.094339622641513</v>
      </c>
      <c r="D21" s="229"/>
      <c r="E21" s="15"/>
    </row>
    <row r="22" spans="1:7">
      <c r="A22" s="171" t="s">
        <v>74</v>
      </c>
      <c r="B22" s="37">
        <f>aantalw2001_hout</f>
        <v>153</v>
      </c>
      <c r="C22" s="167">
        <f>IF(ISERROR(B22/SUM($B$20,$B$21,$B$22)*100),0,B22/SUM($B$20,$B$21,$B$22)*100)</f>
        <v>11.547169811320755</v>
      </c>
      <c r="D22" s="229"/>
      <c r="E22" s="15"/>
    </row>
    <row r="23" spans="1:7">
      <c r="A23" s="171" t="s">
        <v>75</v>
      </c>
      <c r="B23" s="37">
        <f>aantalw2001_niet_gespec</f>
        <v>273</v>
      </c>
      <c r="C23" s="166" t="s">
        <v>110</v>
      </c>
      <c r="D23" s="228"/>
      <c r="E23" s="15"/>
    </row>
    <row r="24" spans="1:7">
      <c r="A24" s="171" t="s">
        <v>76</v>
      </c>
      <c r="B24" s="37">
        <f>aantalw2001_steenkool</f>
        <v>408</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838</v>
      </c>
      <c r="B28" s="37">
        <f>aantalHuishoudens</f>
        <v>12356</v>
      </c>
      <c r="C28" s="36"/>
      <c r="D28" s="228"/>
    </row>
    <row r="29" spans="1:7" s="15" customFormat="1">
      <c r="A29" s="230" t="s">
        <v>839</v>
      </c>
      <c r="B29" s="37">
        <f>SUM(HH_hh_gas_aantal,HH_rest_gas_aantal)</f>
        <v>9583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9583</v>
      </c>
      <c r="C32" s="167">
        <f>IF(ISERROR(B32/SUM($B$32,$B$34,$B$35,$B$36,$B$38,$B$39)*100),0,B32/SUM($B$32,$B$34,$B$35,$B$36,$B$38,$B$39)*100)</f>
        <v>78.298880627502257</v>
      </c>
      <c r="D32" s="233"/>
      <c r="G32" s="15"/>
    </row>
    <row r="33" spans="1:7">
      <c r="A33" s="171" t="s">
        <v>71</v>
      </c>
      <c r="B33" s="34" t="s">
        <v>110</v>
      </c>
      <c r="C33" s="167"/>
      <c r="D33" s="233"/>
      <c r="G33" s="15"/>
    </row>
    <row r="34" spans="1:7">
      <c r="A34" s="171" t="s">
        <v>72</v>
      </c>
      <c r="B34" s="33">
        <f>IF((($B$28-$B$32-$B$39-$B$77-$B$38)*C20/100)&lt;0,0,($B$28-$B$32-$B$39-$B$77-$B$38)*C20/100)</f>
        <v>246.61494339622638</v>
      </c>
      <c r="C34" s="167">
        <f>IF(ISERROR(B34/SUM($B$32,$B$34,$B$35,$B$36,$B$38,$B$39)*100),0,B34/SUM($B$32,$B$34,$B$35,$B$36,$B$38,$B$39)*100)</f>
        <v>2.0149925925012373</v>
      </c>
      <c r="D34" s="233"/>
      <c r="G34" s="15"/>
    </row>
    <row r="35" spans="1:7">
      <c r="A35" s="171" t="s">
        <v>73</v>
      </c>
      <c r="B35" s="33">
        <f>IF((($B$28-$B$32-$B$39-$B$77-$B$38)*C21/100)&lt;0,0,($B$28-$B$32-$B$39-$B$77-$B$38)*C21/100)</f>
        <v>2084.2940377358491</v>
      </c>
      <c r="C35" s="167">
        <f>IF(ISERROR(B35/SUM($B$32,$B$34,$B$35,$B$36,$B$38,$B$39)*100),0,B35/SUM($B$32,$B$34,$B$35,$B$36,$B$38,$B$39)*100)</f>
        <v>17.029937394687877</v>
      </c>
      <c r="D35" s="233"/>
      <c r="G35" s="15"/>
    </row>
    <row r="36" spans="1:7">
      <c r="A36" s="171" t="s">
        <v>74</v>
      </c>
      <c r="B36" s="33">
        <f>IF((($B$28-$B$32-$B$39-$B$77-$B$38)*C22/100)&lt;0,0,($B$28-$B$32-$B$39-$B$77-$B$38)*C22/100)</f>
        <v>304.29101886792449</v>
      </c>
      <c r="C36" s="167">
        <f>IF(ISERROR(B36/SUM($B$32,$B$34,$B$35,$B$36,$B$38,$B$39)*100),0,B36/SUM($B$32,$B$34,$B$35,$B$36,$B$38,$B$39)*100)</f>
        <v>2.4862408601023329</v>
      </c>
      <c r="D36" s="233"/>
      <c r="G36" s="15"/>
    </row>
    <row r="37" spans="1:7">
      <c r="A37" s="171" t="s">
        <v>75</v>
      </c>
      <c r="B37" s="34" t="s">
        <v>110</v>
      </c>
      <c r="C37" s="167"/>
      <c r="D37" s="173"/>
      <c r="G37" s="15"/>
    </row>
    <row r="38" spans="1:7">
      <c r="A38" s="171" t="s">
        <v>76</v>
      </c>
      <c r="B38" s="33">
        <f>IF((B24-(B29-B18)*0.1)&lt;0,0,B24-(B29-B18)*0.1)</f>
        <v>20.799999999999955</v>
      </c>
      <c r="C38" s="167">
        <f>IF(ISERROR(B38/SUM($B$32,$B$34,$B$35,$B$36,$B$38,$B$39)*100),0,B38/SUM($B$32,$B$34,$B$35,$B$36,$B$38,$B$39)*100)</f>
        <v>0.16994852520630738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9583</v>
      </c>
      <c r="C44" s="34" t="s">
        <v>110</v>
      </c>
      <c r="D44" s="174"/>
    </row>
    <row r="45" spans="1:7">
      <c r="A45" s="171" t="s">
        <v>71</v>
      </c>
      <c r="B45" s="33" t="str">
        <f t="shared" si="0"/>
        <v>-</v>
      </c>
      <c r="C45" s="34" t="s">
        <v>110</v>
      </c>
      <c r="D45" s="174"/>
    </row>
    <row r="46" spans="1:7">
      <c r="A46" s="171" t="s">
        <v>72</v>
      </c>
      <c r="B46" s="33">
        <f t="shared" si="0"/>
        <v>246.61494339622638</v>
      </c>
      <c r="C46" s="34" t="s">
        <v>110</v>
      </c>
      <c r="D46" s="174"/>
    </row>
    <row r="47" spans="1:7">
      <c r="A47" s="171" t="s">
        <v>73</v>
      </c>
      <c r="B47" s="33">
        <f t="shared" si="0"/>
        <v>2084.2940377358491</v>
      </c>
      <c r="C47" s="34" t="s">
        <v>110</v>
      </c>
      <c r="D47" s="174"/>
    </row>
    <row r="48" spans="1:7">
      <c r="A48" s="171" t="s">
        <v>74</v>
      </c>
      <c r="B48" s="33">
        <f t="shared" si="0"/>
        <v>304.29101886792449</v>
      </c>
      <c r="C48" s="33">
        <f>B48*10</f>
        <v>3042.910188679245</v>
      </c>
      <c r="D48" s="234"/>
    </row>
    <row r="49" spans="1:6">
      <c r="A49" s="171" t="s">
        <v>75</v>
      </c>
      <c r="B49" s="33" t="str">
        <f t="shared" si="0"/>
        <v>-</v>
      </c>
      <c r="C49" s="34" t="s">
        <v>110</v>
      </c>
      <c r="D49" s="234"/>
    </row>
    <row r="50" spans="1:6">
      <c r="A50" s="171" t="s">
        <v>76</v>
      </c>
      <c r="B50" s="33">
        <f t="shared" si="0"/>
        <v>20.799999999999955</v>
      </c>
      <c r="C50" s="33">
        <f>B50*2</f>
        <v>41.599999999999909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41193.005892537461</v>
      </c>
      <c r="C5" s="17">
        <f>IF(ISERROR('Eigen informatie GS &amp; warmtenet'!B60),0,'Eigen informatie GS &amp; warmtenet'!B60)</f>
        <v>0</v>
      </c>
      <c r="D5" s="30">
        <f>SUM(D6:D12)</f>
        <v>49010.777137039615</v>
      </c>
      <c r="E5" s="17">
        <f>SUM(E6:E12)</f>
        <v>136.13264531180019</v>
      </c>
      <c r="F5" s="17">
        <f>SUM(F6:F12)</f>
        <v>6401.0114317361022</v>
      </c>
      <c r="G5" s="18"/>
      <c r="H5" s="17"/>
      <c r="I5" s="17"/>
      <c r="J5" s="17">
        <f>SUM(J6:J12)</f>
        <v>4.9862253131749863E-2</v>
      </c>
      <c r="K5" s="17"/>
      <c r="L5" s="17"/>
      <c r="M5" s="17"/>
      <c r="N5" s="17">
        <f>SUM(N6:N12)</f>
        <v>1829.3959827664257</v>
      </c>
      <c r="O5" s="17">
        <f>B38*B39*B40</f>
        <v>14.691782297523464</v>
      </c>
      <c r="P5" s="17">
        <f>B46*B47*B48/1000-B46*B47*B48/1000/B49</f>
        <v>105.07827661299004</v>
      </c>
      <c r="R5" s="32"/>
    </row>
    <row r="6" spans="1:18">
      <c r="A6" s="32" t="s">
        <v>53</v>
      </c>
      <c r="B6" s="37">
        <f>B26</f>
        <v>14233.886348109299</v>
      </c>
      <c r="C6" s="33"/>
      <c r="D6" s="37">
        <f>IF(ISERROR(TER_kantoor_gas_kWh/1000),0,TER_kantoor_gas_kWh/1000)*0.903</f>
        <v>15978.984981614352</v>
      </c>
      <c r="E6" s="33">
        <f>$C$26*'E Balans VL '!I12/100/3.6*1000000</f>
        <v>3.410100834951086</v>
      </c>
      <c r="F6" s="33">
        <f>$C$26*('E Balans VL '!L12+'E Balans VL '!N12)/100/3.6*1000000</f>
        <v>1349.7827242450765</v>
      </c>
      <c r="G6" s="34"/>
      <c r="H6" s="33"/>
      <c r="I6" s="33"/>
      <c r="J6" s="33">
        <f>$C$26*('E Balans VL '!D12+'E Balans VL '!E12)/100/3.6*1000000</f>
        <v>0</v>
      </c>
      <c r="K6" s="33"/>
      <c r="L6" s="33"/>
      <c r="M6" s="33"/>
      <c r="N6" s="33">
        <f>$C$26*'E Balans VL '!Y12/100/3.6*1000000</f>
        <v>7.2300780356316396</v>
      </c>
      <c r="O6" s="33"/>
      <c r="P6" s="33"/>
      <c r="R6" s="32"/>
    </row>
    <row r="7" spans="1:18">
      <c r="A7" s="32" t="s">
        <v>52</v>
      </c>
      <c r="B7" s="37">
        <f t="shared" ref="B7:B12" si="0">B27</f>
        <v>2519.3260768365503</v>
      </c>
      <c r="C7" s="33"/>
      <c r="D7" s="37">
        <f>IF(ISERROR(TER_horeca_gas_kWh/1000),0,TER_horeca_gas_kWh/1000)*0.903</f>
        <v>5502.2972839976374</v>
      </c>
      <c r="E7" s="33">
        <f>$C$27*'E Balans VL '!I9/100/3.6*1000000</f>
        <v>0</v>
      </c>
      <c r="F7" s="33">
        <f>$C$27*('E Balans VL '!L9+'E Balans VL '!N9)/100/3.6*1000000</f>
        <v>206.57881614774919</v>
      </c>
      <c r="G7" s="34"/>
      <c r="H7" s="33"/>
      <c r="I7" s="33"/>
      <c r="J7" s="33">
        <f>$C$27*('E Balans VL '!D9+'E Balans VL '!E9)/100/3.6*1000000</f>
        <v>0</v>
      </c>
      <c r="K7" s="33"/>
      <c r="L7" s="33"/>
      <c r="M7" s="33"/>
      <c r="N7" s="33">
        <f>$C$27*'E Balans VL '!Y9/100/3.6*1000000</f>
        <v>0.77227466164940073</v>
      </c>
      <c r="O7" s="33"/>
      <c r="P7" s="33"/>
      <c r="R7" s="32"/>
    </row>
    <row r="8" spans="1:18">
      <c r="A8" s="6" t="s">
        <v>51</v>
      </c>
      <c r="B8" s="37">
        <f t="shared" si="0"/>
        <v>17189.2519693621</v>
      </c>
      <c r="C8" s="33"/>
      <c r="D8" s="37">
        <f>IF(ISERROR(TER_handel_gas_kWh/1000),0,TER_handel_gas_kWh/1000)*0.903</f>
        <v>14675.190807032337</v>
      </c>
      <c r="E8" s="33">
        <f>$C$28*'E Balans VL '!I13/100/3.6*1000000</f>
        <v>60.410825833316949</v>
      </c>
      <c r="F8" s="33">
        <f>$C$28*('E Balans VL '!L13+'E Balans VL '!N13)/100/3.6*1000000</f>
        <v>1572.7856861809883</v>
      </c>
      <c r="G8" s="34"/>
      <c r="H8" s="33"/>
      <c r="I8" s="33"/>
      <c r="J8" s="33">
        <f>$C$28*('E Balans VL '!D13+'E Balans VL '!E13)/100/3.6*1000000</f>
        <v>0</v>
      </c>
      <c r="K8" s="33"/>
      <c r="L8" s="33"/>
      <c r="M8" s="33"/>
      <c r="N8" s="33">
        <f>$C$28*'E Balans VL '!Y13/100/3.6*1000000</f>
        <v>6.2252070383105051</v>
      </c>
      <c r="O8" s="33"/>
      <c r="P8" s="33"/>
      <c r="R8" s="32"/>
    </row>
    <row r="9" spans="1:18">
      <c r="A9" s="32" t="s">
        <v>50</v>
      </c>
      <c r="B9" s="37">
        <f t="shared" si="0"/>
        <v>1529.76552639997</v>
      </c>
      <c r="C9" s="33"/>
      <c r="D9" s="37">
        <f>IF(ISERROR(TER_gezond_gas_kWh/1000),0,TER_gezond_gas_kWh/1000)*0.903</f>
        <v>2654.7700390300288</v>
      </c>
      <c r="E9" s="33">
        <f>$C$29*'E Balans VL '!I10/100/3.6*1000000</f>
        <v>0</v>
      </c>
      <c r="F9" s="33">
        <f>$C$29*('E Balans VL '!L10+'E Balans VL '!N10)/100/3.6*1000000</f>
        <v>187.52116253139491</v>
      </c>
      <c r="G9" s="34"/>
      <c r="H9" s="33"/>
      <c r="I9" s="33"/>
      <c r="J9" s="33">
        <f>$C$29*('E Balans VL '!D10+'E Balans VL '!E10)/100/3.6*1000000</f>
        <v>0</v>
      </c>
      <c r="K9" s="33"/>
      <c r="L9" s="33"/>
      <c r="M9" s="33"/>
      <c r="N9" s="33">
        <f>$C$29*'E Balans VL '!Y10/100/3.6*1000000</f>
        <v>11.28095473269579</v>
      </c>
      <c r="O9" s="33"/>
      <c r="P9" s="33"/>
      <c r="R9" s="32"/>
    </row>
    <row r="10" spans="1:18">
      <c r="A10" s="32" t="s">
        <v>49</v>
      </c>
      <c r="B10" s="37">
        <f t="shared" si="0"/>
        <v>5048.9227822057592</v>
      </c>
      <c r="C10" s="33"/>
      <c r="D10" s="37">
        <f>IF(ISERROR(TER_ander_gas_kWh/1000),0,TER_ander_gas_kWh/1000)*0.903</f>
        <v>8750.4189916183877</v>
      </c>
      <c r="E10" s="33">
        <f>$C$30*'E Balans VL '!I14/100/3.6*1000000</f>
        <v>72.31171864353216</v>
      </c>
      <c r="F10" s="33">
        <f>$C$30*('E Balans VL '!L14+'E Balans VL '!N14)/100/3.6*1000000</f>
        <v>3005.7954040587574</v>
      </c>
      <c r="G10" s="34"/>
      <c r="H10" s="33"/>
      <c r="I10" s="33"/>
      <c r="J10" s="33">
        <f>$C$30*('E Balans VL '!D14+'E Balans VL '!E14)/100/3.6*1000000</f>
        <v>4.9862253131749863E-2</v>
      </c>
      <c r="K10" s="33"/>
      <c r="L10" s="33"/>
      <c r="M10" s="33"/>
      <c r="N10" s="33">
        <f>$C$30*'E Balans VL '!Y14/100/3.6*1000000</f>
        <v>1801.9956068658773</v>
      </c>
      <c r="O10" s="33"/>
      <c r="P10" s="33"/>
      <c r="R10" s="32"/>
    </row>
    <row r="11" spans="1:18">
      <c r="A11" s="32" t="s">
        <v>54</v>
      </c>
      <c r="B11" s="37">
        <f t="shared" si="0"/>
        <v>671.85318962378699</v>
      </c>
      <c r="C11" s="33"/>
      <c r="D11" s="37">
        <f>IF(ISERROR(TER_onderwijs_gas_kWh/1000),0,TER_onderwijs_gas_kWh/1000)*0.903</f>
        <v>1449.1150337468748</v>
      </c>
      <c r="E11" s="33">
        <f>$C$31*'E Balans VL '!I11/100/3.6*1000000</f>
        <v>0</v>
      </c>
      <c r="F11" s="33">
        <f>$C$31*('E Balans VL '!L11+'E Balans VL '!N11)/100/3.6*1000000</f>
        <v>78.547638572135909</v>
      </c>
      <c r="G11" s="34"/>
      <c r="H11" s="33"/>
      <c r="I11" s="33"/>
      <c r="J11" s="33">
        <f>$C$31*('E Balans VL '!D11+'E Balans VL '!E11)/100/3.6*1000000</f>
        <v>0</v>
      </c>
      <c r="K11" s="33"/>
      <c r="L11" s="33"/>
      <c r="M11" s="33"/>
      <c r="N11" s="33">
        <f>$C$31*'E Balans VL '!Y11/100/3.6*1000000</f>
        <v>1.8918614322609795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41193.005892537461</v>
      </c>
      <c r="C16" s="21">
        <f t="shared" ca="1" si="1"/>
        <v>0</v>
      </c>
      <c r="D16" s="21">
        <f t="shared" ca="1" si="1"/>
        <v>49010.777137039615</v>
      </c>
      <c r="E16" s="21">
        <f t="shared" si="1"/>
        <v>136.13264531180019</v>
      </c>
      <c r="F16" s="21">
        <f t="shared" ca="1" si="1"/>
        <v>6401.0114317361022</v>
      </c>
      <c r="G16" s="21">
        <f t="shared" si="1"/>
        <v>0</v>
      </c>
      <c r="H16" s="21">
        <f t="shared" si="1"/>
        <v>0</v>
      </c>
      <c r="I16" s="21">
        <f t="shared" si="1"/>
        <v>0</v>
      </c>
      <c r="J16" s="21">
        <f t="shared" si="1"/>
        <v>4.9862253131749863E-2</v>
      </c>
      <c r="K16" s="21">
        <f t="shared" si="1"/>
        <v>0</v>
      </c>
      <c r="L16" s="21">
        <f t="shared" ca="1" si="1"/>
        <v>0</v>
      </c>
      <c r="M16" s="21">
        <f t="shared" si="1"/>
        <v>0</v>
      </c>
      <c r="N16" s="21">
        <f t="shared" ca="1" si="1"/>
        <v>1829.3959827664257</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0.18897254230212093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7784.3470485790522</v>
      </c>
      <c r="C20" s="23">
        <f t="shared" ref="C20:P20" ca="1" si="2">C16*C18</f>
        <v>0</v>
      </c>
      <c r="D20" s="23">
        <f t="shared" ca="1" si="2"/>
        <v>9900.1769816820033</v>
      </c>
      <c r="E20" s="23">
        <f t="shared" si="2"/>
        <v>30.902110485778643</v>
      </c>
      <c r="F20" s="23">
        <f t="shared" ca="1" si="2"/>
        <v>1709.0700522735394</v>
      </c>
      <c r="G20" s="23">
        <f t="shared" si="2"/>
        <v>0</v>
      </c>
      <c r="H20" s="23">
        <f t="shared" si="2"/>
        <v>0</v>
      </c>
      <c r="I20" s="23">
        <f t="shared" si="2"/>
        <v>0</v>
      </c>
      <c r="J20" s="23">
        <f t="shared" si="2"/>
        <v>1.7651237608639452E-2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14233.886348109299</v>
      </c>
      <c r="C26" s="39">
        <f>IF(ISERROR(B26*3.6/1000000/'E Balans VL '!Z12*100),0,B26*3.6/1000000/'E Balans VL '!Z12*100)</f>
        <v>0.40143328825614744</v>
      </c>
      <c r="D26" s="237" t="s">
        <v>702</v>
      </c>
      <c r="F26" s="6"/>
    </row>
    <row r="27" spans="1:18">
      <c r="A27" s="231" t="s">
        <v>52</v>
      </c>
      <c r="B27" s="33">
        <f>IF(ISERROR(TER_horeca_ele_kWh/1000),0,TER_horeca_ele_kWh/1000)</f>
        <v>2519.3260768365503</v>
      </c>
      <c r="C27" s="39">
        <f>IF(ISERROR(B27*3.6/1000000/'E Balans VL '!Z9*100),0,B27*3.6/1000000/'E Balans VL '!Z9*100)</f>
        <v>0.18677707948973835</v>
      </c>
      <c r="D27" s="237" t="s">
        <v>702</v>
      </c>
      <c r="F27" s="6"/>
    </row>
    <row r="28" spans="1:18">
      <c r="A28" s="171" t="s">
        <v>51</v>
      </c>
      <c r="B28" s="33">
        <f>IF(ISERROR(TER_handel_ele_kWh/1000),0,TER_handel_ele_kWh/1000)</f>
        <v>17189.2519693621</v>
      </c>
      <c r="C28" s="39">
        <f>IF(ISERROR(B28*3.6/1000000/'E Balans VL '!Z13*100),0,B28*3.6/1000000/'E Balans VL '!Z13*100)</f>
        <v>0.51494912002965554</v>
      </c>
      <c r="D28" s="237" t="s">
        <v>702</v>
      </c>
      <c r="F28" s="6"/>
    </row>
    <row r="29" spans="1:18">
      <c r="A29" s="231" t="s">
        <v>50</v>
      </c>
      <c r="B29" s="33">
        <f>IF(ISERROR(TER_gezond_ele_kWh/1000),0,TER_gezond_ele_kWh/1000)</f>
        <v>1529.76552639997</v>
      </c>
      <c r="C29" s="39">
        <f>IF(ISERROR(B29*3.6/1000000/'E Balans VL '!Z10*100),0,B29*3.6/1000000/'E Balans VL '!Z10*100)</f>
        <v>0.15126381483913875</v>
      </c>
      <c r="D29" s="237" t="s">
        <v>702</v>
      </c>
      <c r="F29" s="6"/>
    </row>
    <row r="30" spans="1:18">
      <c r="A30" s="231" t="s">
        <v>49</v>
      </c>
      <c r="B30" s="33">
        <f>IF(ISERROR(TER_ander_ele_kWh/1000),0,TER_ander_ele_kWh/1000)</f>
        <v>5048.9227822057592</v>
      </c>
      <c r="C30" s="39">
        <f>IF(ISERROR(B30*3.6/1000000/'E Balans VL '!Z14*100),0,B30*3.6/1000000/'E Balans VL '!Z14*100)</f>
        <v>0.20421400600034073</v>
      </c>
      <c r="D30" s="237" t="s">
        <v>702</v>
      </c>
      <c r="F30" s="6"/>
    </row>
    <row r="31" spans="1:18">
      <c r="A31" s="231" t="s">
        <v>54</v>
      </c>
      <c r="B31" s="33">
        <f>IF(ISERROR(TER_onderwijs_ele_kWh/1000),0,TER_onderwijs_ele_kWh/1000)</f>
        <v>671.85318962378699</v>
      </c>
      <c r="C31" s="39">
        <f>IF(ISERROR(B31*3.6/1000000/'E Balans VL '!Z11*100),0,B31*3.6/1000000/'E Balans VL '!Z11*100)</f>
        <v>0.18458745444437377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40887.284373982104</v>
      </c>
      <c r="C5" s="17">
        <f>IF(ISERROR('Eigen informatie GS &amp; warmtenet'!B61),0,'Eigen informatie GS &amp; warmtenet'!B61)</f>
        <v>0</v>
      </c>
      <c r="D5" s="30">
        <f>SUM(D6:D15)</f>
        <v>26727.297055288083</v>
      </c>
      <c r="E5" s="17">
        <f>SUM(E6:E15)</f>
        <v>98.282853755418131</v>
      </c>
      <c r="F5" s="17">
        <f>SUM(F6:F15)</f>
        <v>11708.414310051936</v>
      </c>
      <c r="G5" s="18"/>
      <c r="H5" s="17"/>
      <c r="I5" s="17"/>
      <c r="J5" s="17">
        <f>SUM(J6:J15)</f>
        <v>2.49798128918238</v>
      </c>
      <c r="K5" s="17"/>
      <c r="L5" s="17"/>
      <c r="M5" s="17"/>
      <c r="N5" s="17">
        <f>SUM(N6:N15)</f>
        <v>1514.1780382706063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2610.6974519825499</v>
      </c>
      <c r="C8" s="33"/>
      <c r="D8" s="37">
        <f>IF( ISERROR(IND_metaal_Gas_kWH/1000),0,IND_metaal_Gas_kWH/1000)*0.903</f>
        <v>2311.2867946471483</v>
      </c>
      <c r="E8" s="33">
        <f>C30*'E Balans VL '!I18/100/3.6*1000000</f>
        <v>13.163592065627327</v>
      </c>
      <c r="F8" s="33">
        <f>C30*'E Balans VL '!L18/100/3.6*1000000+C30*'E Balans VL '!N18/100/3.6*1000000</f>
        <v>178.36818475183784</v>
      </c>
      <c r="G8" s="34"/>
      <c r="H8" s="33"/>
      <c r="I8" s="33"/>
      <c r="J8" s="40">
        <f>C30*'E Balans VL '!D18/100/3.6*1000000+C30*'E Balans VL '!E18/100/3.6*1000000</f>
        <v>2.3146059865440525</v>
      </c>
      <c r="K8" s="33"/>
      <c r="L8" s="33"/>
      <c r="M8" s="33"/>
      <c r="N8" s="33">
        <f>C30*'E Balans VL '!Y18/100/3.6*1000000</f>
        <v>34.69618463010336</v>
      </c>
      <c r="O8" s="33"/>
      <c r="P8" s="33"/>
      <c r="R8" s="32"/>
    </row>
    <row r="9" spans="1:18">
      <c r="A9" s="6" t="s">
        <v>32</v>
      </c>
      <c r="B9" s="37">
        <f t="shared" si="0"/>
        <v>18407.355975456801</v>
      </c>
      <c r="C9" s="33"/>
      <c r="D9" s="37">
        <f>IF( ISERROR(IND_andere_gas_kWh/1000),0,IND_andere_gas_kWh/1000)*0.903</f>
        <v>9247.7984759127739</v>
      </c>
      <c r="E9" s="33">
        <f>C31*'E Balans VL '!I19/100/3.6*1000000</f>
        <v>58.024336489996983</v>
      </c>
      <c r="F9" s="33">
        <f>C31*'E Balans VL '!L19/100/3.6*1000000+C31*'E Balans VL '!N19/100/3.6*1000000</f>
        <v>11268.209138501943</v>
      </c>
      <c r="G9" s="34"/>
      <c r="H9" s="33"/>
      <c r="I9" s="33"/>
      <c r="J9" s="40">
        <f>C31*'E Balans VL '!D19/100/3.6*1000000+C31*'E Balans VL '!E19/100/3.6*1000000</f>
        <v>0</v>
      </c>
      <c r="K9" s="33"/>
      <c r="L9" s="33"/>
      <c r="M9" s="33"/>
      <c r="N9" s="33">
        <f>C31*'E Balans VL '!Y19/100/3.6*1000000</f>
        <v>771.84542994288938</v>
      </c>
      <c r="O9" s="33"/>
      <c r="P9" s="33"/>
      <c r="R9" s="32"/>
    </row>
    <row r="10" spans="1:18">
      <c r="A10" s="6" t="s">
        <v>40</v>
      </c>
      <c r="B10" s="37">
        <f t="shared" si="0"/>
        <v>9498.786580638669</v>
      </c>
      <c r="C10" s="33"/>
      <c r="D10" s="37">
        <f>IF( ISERROR(IND_voed_gas_kWh/1000),0,IND_voed_gas_kWh/1000)*0.903</f>
        <v>7118.1036320922167</v>
      </c>
      <c r="E10" s="33">
        <f>C32*'E Balans VL '!I20/100/3.6*1000000</f>
        <v>15.138398139864256</v>
      </c>
      <c r="F10" s="33">
        <f>C32*'E Balans VL '!L20/100/3.6*1000000+C32*'E Balans VL '!N20/100/3.6*1000000</f>
        <v>154.33220676710863</v>
      </c>
      <c r="G10" s="34"/>
      <c r="H10" s="33"/>
      <c r="I10" s="33"/>
      <c r="J10" s="40">
        <f>C32*'E Balans VL '!D20/100/3.6*1000000+C32*'E Balans VL '!E20/100/3.6*1000000</f>
        <v>0</v>
      </c>
      <c r="K10" s="33"/>
      <c r="L10" s="33"/>
      <c r="M10" s="33"/>
      <c r="N10" s="33">
        <f>C32*'E Balans VL '!Y20/100/3.6*1000000</f>
        <v>300.01912068955465</v>
      </c>
      <c r="O10" s="33"/>
      <c r="P10" s="33"/>
      <c r="R10" s="32"/>
    </row>
    <row r="11" spans="1:18">
      <c r="A11" s="6" t="s">
        <v>39</v>
      </c>
      <c r="B11" s="37">
        <f t="shared" si="0"/>
        <v>1826.6692685494299</v>
      </c>
      <c r="C11" s="33"/>
      <c r="D11" s="37">
        <f>IF( ISERROR(IND_textiel_gas_kWh/1000),0,IND_textiel_gas_kWh/1000)*0.903</f>
        <v>7363.6132345792985</v>
      </c>
      <c r="E11" s="33">
        <f>C33*'E Balans VL '!I21/100/3.6*1000000</f>
        <v>2.6501633238681226</v>
      </c>
      <c r="F11" s="33">
        <f>C33*'E Balans VL '!L21/100/3.6*1000000+C33*'E Balans VL '!N21/100/3.6*1000000</f>
        <v>35.749091251866112</v>
      </c>
      <c r="G11" s="34"/>
      <c r="H11" s="33"/>
      <c r="I11" s="33"/>
      <c r="J11" s="40">
        <f>C33*'E Balans VL '!D21/100/3.6*1000000+C33*'E Balans VL '!E21/100/3.6*1000000</f>
        <v>0</v>
      </c>
      <c r="K11" s="33"/>
      <c r="L11" s="33"/>
      <c r="M11" s="33"/>
      <c r="N11" s="33">
        <f>C33*'E Balans VL '!Y21/100/3.6*1000000</f>
        <v>88.991181059181358</v>
      </c>
      <c r="O11" s="33"/>
      <c r="P11" s="33"/>
      <c r="R11" s="32"/>
    </row>
    <row r="12" spans="1:18">
      <c r="A12" s="6" t="s">
        <v>36</v>
      </c>
      <c r="B12" s="37">
        <f t="shared" si="0"/>
        <v>1867.9178759721999</v>
      </c>
      <c r="C12" s="33"/>
      <c r="D12" s="37">
        <f>IF( ISERROR(IND_min_gas_kWh/1000),0,IND_min_gas_kWh/1000)*0.903</f>
        <v>280.94748770697686</v>
      </c>
      <c r="E12" s="33">
        <f>C34*'E Balans VL '!I22/100/3.6*1000000</f>
        <v>8.0829864520675088</v>
      </c>
      <c r="F12" s="33">
        <f>C34*'E Balans VL '!L22/100/3.6*1000000+C34*'E Balans VL '!N22/100/3.6*1000000</f>
        <v>71.319410317262538</v>
      </c>
      <c r="G12" s="34"/>
      <c r="H12" s="33"/>
      <c r="I12" s="33"/>
      <c r="J12" s="40">
        <f>C34*'E Balans VL '!D22/100/3.6*1000000+C34*'E Balans VL '!E22/100/3.6*1000000</f>
        <v>0</v>
      </c>
      <c r="K12" s="33"/>
      <c r="L12" s="33"/>
      <c r="M12" s="33"/>
      <c r="N12" s="33">
        <f>C34*'E Balans VL '!Y22/100/3.6*1000000</f>
        <v>318.62471212703178</v>
      </c>
      <c r="O12" s="33"/>
      <c r="P12" s="33"/>
      <c r="R12" s="32"/>
    </row>
    <row r="13" spans="1:18">
      <c r="A13" s="6" t="s">
        <v>38</v>
      </c>
      <c r="B13" s="37">
        <f t="shared" si="0"/>
        <v>6654.9387837157101</v>
      </c>
      <c r="C13" s="33"/>
      <c r="D13" s="37">
        <f>IF( ISERROR(IND_papier_gas_kWh/1000),0,IND_papier_gas_kWh/1000)*0.903</f>
        <v>363.27343380189899</v>
      </c>
      <c r="E13" s="33">
        <f>C35*'E Balans VL '!I23/100/3.6*1000000</f>
        <v>0</v>
      </c>
      <c r="F13" s="33">
        <f>C35*'E Balans VL '!L23/100/3.6*1000000+C35*'E Balans VL '!N23/100/3.6*1000000</f>
        <v>0.28832289277638634</v>
      </c>
      <c r="G13" s="34"/>
      <c r="H13" s="33"/>
      <c r="I13" s="33"/>
      <c r="J13" s="40">
        <f>C35*'E Balans VL '!D23/100/3.6*1000000+C35*'E Balans VL '!E23/100/3.6*1000000</f>
        <v>0.18337530263832769</v>
      </c>
      <c r="K13" s="33"/>
      <c r="L13" s="33"/>
      <c r="M13" s="33"/>
      <c r="N13" s="33">
        <f>C35*'E Balans VL '!Y23/100/3.6*1000000</f>
        <v>0</v>
      </c>
      <c r="O13" s="33"/>
      <c r="P13" s="33"/>
      <c r="R13" s="32"/>
    </row>
    <row r="14" spans="1:18">
      <c r="A14" s="6" t="s">
        <v>33</v>
      </c>
      <c r="B14" s="37">
        <f t="shared" si="0"/>
        <v>20.918437666736601</v>
      </c>
      <c r="C14" s="33"/>
      <c r="D14" s="37">
        <f>IF( ISERROR(IND_chemie_gas_kWh/1000),0,IND_chemie_gas_kWh/1000)*0.903</f>
        <v>0</v>
      </c>
      <c r="E14" s="33">
        <f>C36*'E Balans VL '!I24/100/3.6*1000000</f>
        <v>1.2233772839939201</v>
      </c>
      <c r="F14" s="33">
        <f>C36*'E Balans VL '!L24/100/3.6*1000000+C36*'E Balans VL '!N24/100/3.6*1000000</f>
        <v>0.147955569141211</v>
      </c>
      <c r="G14" s="34"/>
      <c r="H14" s="33"/>
      <c r="I14" s="33"/>
      <c r="J14" s="40">
        <f>C36*'E Balans VL '!D24/100/3.6*1000000+C36*'E Balans VL '!E24/100/3.6*1000000</f>
        <v>0</v>
      </c>
      <c r="K14" s="33"/>
      <c r="L14" s="33"/>
      <c r="M14" s="33"/>
      <c r="N14" s="33">
        <f>C36*'E Balans VL '!Y24/100/3.6*1000000</f>
        <v>1.4098218455651278E-3</v>
      </c>
      <c r="O14" s="33"/>
      <c r="P14" s="33"/>
      <c r="R14" s="32"/>
    </row>
    <row r="15" spans="1:18">
      <c r="A15" s="6" t="s">
        <v>269</v>
      </c>
      <c r="B15" s="37">
        <f t="shared" si="0"/>
        <v>0</v>
      </c>
      <c r="C15" s="33"/>
      <c r="D15" s="37">
        <f>IF( ISERROR(IND_rest_gas_kWh/1000),0,IND_rest_gas_kWh/1000)*0.903</f>
        <v>42.273996547771979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40887.284373982104</v>
      </c>
      <c r="C18" s="21">
        <f>C5+C16</f>
        <v>0</v>
      </c>
      <c r="D18" s="21">
        <f>MAX((D5+D16),0)</f>
        <v>26727.297055288083</v>
      </c>
      <c r="E18" s="21">
        <f>MAX((E5+E16),0)</f>
        <v>98.282853755418131</v>
      </c>
      <c r="F18" s="21">
        <f>MAX((F5+F16),0)</f>
        <v>11708.414310051936</v>
      </c>
      <c r="G18" s="21"/>
      <c r="H18" s="21"/>
      <c r="I18" s="21"/>
      <c r="J18" s="21">
        <f>MAX((J5+J16),0)</f>
        <v>2.49798128918238</v>
      </c>
      <c r="K18" s="21"/>
      <c r="L18" s="21">
        <f>MAX((L5+L16),0)</f>
        <v>0</v>
      </c>
      <c r="M18" s="21"/>
      <c r="N18" s="21">
        <f>MAX((N5+N16),0)</f>
        <v>1514.1780382706063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0.18897254230212093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7726.5740759811815</v>
      </c>
      <c r="C22" s="23">
        <f ca="1">C18*C20</f>
        <v>0</v>
      </c>
      <c r="D22" s="23">
        <f>D18*D20</f>
        <v>5398.9140051681934</v>
      </c>
      <c r="E22" s="23">
        <f>E18*E20</f>
        <v>22.310207802479916</v>
      </c>
      <c r="F22" s="23">
        <f>F18*F20</f>
        <v>3126.1466207838671</v>
      </c>
      <c r="G22" s="23"/>
      <c r="H22" s="23"/>
      <c r="I22" s="23"/>
      <c r="J22" s="23">
        <f>J18*J20</f>
        <v>0.88428537637056248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2610.6974519825499</v>
      </c>
      <c r="C30" s="39">
        <f>IF(ISERROR(B30*3.6/1000000/'E Balans VL '!Z18*100),0,B30*3.6/1000000/'E Balans VL '!Z18*100)</f>
        <v>0.12958913766031982</v>
      </c>
      <c r="D30" s="237" t="s">
        <v>702</v>
      </c>
    </row>
    <row r="31" spans="1:18">
      <c r="A31" s="6" t="s">
        <v>32</v>
      </c>
      <c r="B31" s="37">
        <f>IF( ISERROR(IND_ander_ele_kWh/1000),0,IND_ander_ele_kWh/1000)</f>
        <v>18407.355975456801</v>
      </c>
      <c r="C31" s="39">
        <f>IF(ISERROR(B31*3.6/1000000/'E Balans VL '!Z19*100),0,B31*3.6/1000000/'E Balans VL '!Z19*100)</f>
        <v>0.62115393904327953</v>
      </c>
      <c r="D31" s="237" t="s">
        <v>702</v>
      </c>
    </row>
    <row r="32" spans="1:18">
      <c r="A32" s="171" t="s">
        <v>40</v>
      </c>
      <c r="B32" s="37">
        <f>IF( ISERROR(IND_voed_ele_kWh/1000),0,IND_voed_ele_kWh/1000)</f>
        <v>9498.786580638669</v>
      </c>
      <c r="C32" s="39">
        <f>IF(ISERROR(B32*3.6/1000000/'E Balans VL '!Z20*100),0,B32*3.6/1000000/'E Balans VL '!Z20*100)</f>
        <v>0.22307247794253957</v>
      </c>
      <c r="D32" s="237" t="s">
        <v>702</v>
      </c>
    </row>
    <row r="33" spans="1:5">
      <c r="A33" s="171" t="s">
        <v>39</v>
      </c>
      <c r="B33" s="37">
        <f>IF( ISERROR(IND_textiel_ele_kWh/1000),0,IND_textiel_ele_kWh/1000)</f>
        <v>1826.6692685494299</v>
      </c>
      <c r="C33" s="39">
        <f>IF(ISERROR(B33*3.6/1000000/'E Balans VL '!Z21*100),0,B33*3.6/1000000/'E Balans VL '!Z21*100)</f>
        <v>0.20047463681288591</v>
      </c>
      <c r="D33" s="237" t="s">
        <v>702</v>
      </c>
    </row>
    <row r="34" spans="1:5">
      <c r="A34" s="171" t="s">
        <v>36</v>
      </c>
      <c r="B34" s="37">
        <f>IF( ISERROR(IND_min_ele_kWh/1000),0,IND_min_ele_kWh/1000)</f>
        <v>1867.9178759721999</v>
      </c>
      <c r="C34" s="39">
        <f>IF(ISERROR(B34*3.6/1000000/'E Balans VL '!Z22*100),0,B34*3.6/1000000/'E Balans VL '!Z22*100)</f>
        <v>0.26500292597135239</v>
      </c>
      <c r="D34" s="237" t="s">
        <v>702</v>
      </c>
    </row>
    <row r="35" spans="1:5">
      <c r="A35" s="171" t="s">
        <v>38</v>
      </c>
      <c r="B35" s="37">
        <f>IF( ISERROR(IND_papier_ele_kWh/1000),0,IND_papier_ele_kWh/1000)</f>
        <v>6654.9387837157101</v>
      </c>
      <c r="C35" s="39">
        <f>IF(ISERROR(B35*3.6/1000000/'E Balans VL '!Z22*100),0,B35*3.6/1000000/'E Balans VL '!Z22*100)</f>
        <v>0.94414121334269163</v>
      </c>
      <c r="D35" s="237" t="s">
        <v>702</v>
      </c>
    </row>
    <row r="36" spans="1:5">
      <c r="A36" s="171" t="s">
        <v>33</v>
      </c>
      <c r="B36" s="37">
        <f>IF( ISERROR(IND_chemie_ele_kWh/1000),0,IND_chemie_ele_kWh/1000)</f>
        <v>20.918437666736601</v>
      </c>
      <c r="C36" s="39">
        <f>IF(ISERROR(B36*3.6/1000000/'E Balans VL '!Z24*100),0,B36*3.6/1000000/'E Balans VL '!Z24*100)</f>
        <v>1.910183908180061E-4</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1338.07845868194</v>
      </c>
      <c r="C5" s="17">
        <f>'Eigen informatie GS &amp; warmtenet'!B62</f>
        <v>0</v>
      </c>
      <c r="D5" s="30">
        <f>IF(ISERROR(SUM(LB_lb_gas_kWh,LB_rest_gas_kWh)/1000),0,SUM(LB_lb_gas_kWh,LB_rest_gas_kWh)/1000)*0.903</f>
        <v>421.22927278487924</v>
      </c>
      <c r="E5" s="17">
        <f>B17*'E Balans VL '!I25/3.6*1000000/100</f>
        <v>49.901038614285142</v>
      </c>
      <c r="F5" s="17">
        <f>B17*('E Balans VL '!L25/3.6*1000000+'E Balans VL '!N25/3.6*1000000)/100</f>
        <v>4341.2435738334716</v>
      </c>
      <c r="G5" s="18"/>
      <c r="H5" s="17"/>
      <c r="I5" s="17"/>
      <c r="J5" s="17">
        <f>('E Balans VL '!D25+'E Balans VL '!E25)/3.6*1000000*landbouw!B17/100</f>
        <v>351.25220137309719</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1338.07845868194</v>
      </c>
      <c r="C8" s="21">
        <f>C5+C6</f>
        <v>62.357142857142847</v>
      </c>
      <c r="D8" s="21">
        <f>MAX((D5+D6),0)</f>
        <v>421.22927278487924</v>
      </c>
      <c r="E8" s="21">
        <f>MAX((E5+E6),0)</f>
        <v>49.901038614285142</v>
      </c>
      <c r="F8" s="21">
        <f>MAX((F5+F6),0)</f>
        <v>4341.2435738334716</v>
      </c>
      <c r="G8" s="21"/>
      <c r="H8" s="21"/>
      <c r="I8" s="21"/>
      <c r="J8" s="21">
        <f>MAX((J5+J6),0)</f>
        <v>351.25220137309719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0.18897254230212093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252.86008813682969</v>
      </c>
      <c r="C12" s="23">
        <f ca="1">C8*C10</f>
        <v>0</v>
      </c>
      <c r="D12" s="23">
        <f>D8*D10</f>
        <v>85.088313102545612</v>
      </c>
      <c r="E12" s="23">
        <f>E8*E10</f>
        <v>11.327535765442727</v>
      </c>
      <c r="F12" s="23">
        <f>F8*F10</f>
        <v>1159.1120342135371</v>
      </c>
      <c r="G12" s="23"/>
      <c r="H12" s="23"/>
      <c r="I12" s="23"/>
      <c r="J12" s="23">
        <f>J8*J10</f>
        <v>124.3432792860764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0.18378158455966731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392.91396331902064</v>
      </c>
      <c r="C26" s="247">
        <f>B26*'GWP N2O_CH4'!B5</f>
        <v>8251.1932296994328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118.10545429532309</v>
      </c>
      <c r="C27" s="247">
        <f>B27*'GWP N2O_CH4'!B5</f>
        <v>2480.214540201785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4.9132229929049647</v>
      </c>
      <c r="C28" s="247">
        <f>B28*'GWP N2O_CH4'!B4</f>
        <v>1523.099127800539</v>
      </c>
      <c r="D28" s="50"/>
    </row>
    <row r="29" spans="1:4">
      <c r="A29" s="41" t="s">
        <v>276</v>
      </c>
      <c r="B29" s="247">
        <f>B34*'ha_N2O bodem landbouw'!B4</f>
        <v>11.785078674119484</v>
      </c>
      <c r="C29" s="247">
        <f>B29*'GWP N2O_CH4'!B4</f>
        <v>3653.3743889770399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2.6858530857994697E-3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7.7294077915034836E-4</v>
      </c>
      <c r="C5" s="440" t="s">
        <v>210</v>
      </c>
      <c r="D5" s="425">
        <f>SUM(D6:D11)</f>
        <v>3.2978364635731961E-3</v>
      </c>
      <c r="E5" s="425">
        <f>SUM(E6:E11)</f>
        <v>1.9088196354219685E-3</v>
      </c>
      <c r="F5" s="438" t="s">
        <v>210</v>
      </c>
      <c r="G5" s="425">
        <f>SUM(G6:G11)</f>
        <v>0.99784108222547019</v>
      </c>
      <c r="H5" s="425">
        <f>SUM(H6:H11)</f>
        <v>0.21299874887727657</v>
      </c>
      <c r="I5" s="440" t="s">
        <v>210</v>
      </c>
      <c r="J5" s="440" t="s">
        <v>210</v>
      </c>
      <c r="K5" s="440" t="s">
        <v>210</v>
      </c>
      <c r="L5" s="440" t="s">
        <v>210</v>
      </c>
      <c r="M5" s="425">
        <f>SUM(M6:M11)</f>
        <v>7.0986685259954579E-2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2.6472696651858865E-4</v>
      </c>
      <c r="C6" s="426"/>
      <c r="D6" s="893">
        <f>vkm_GW_PW*SUMIFS(TableVerdeelsleutelVkm[CNG],TableVerdeelsleutelVkm[Voertuigtype],"Lichte voertuigen")*SUMIFS(TableECFTransport[EnergieConsumptieFactor (PJ per km)],TableECFTransport[Index],CONCATENATE($A6,"_CNG_CNG"))</f>
        <v>9.5611301637011487E-4</v>
      </c>
      <c r="E6" s="893">
        <f>vkm_GW_PW*SUMIFS(TableVerdeelsleutelVkm[LPG],TableVerdeelsleutelVkm[Voertuigtype],"Lichte voertuigen")*SUMIFS(TableECFTransport[EnergieConsumptieFactor (PJ per km)],TableECFTransport[Index],CONCATENATE($A6,"_LPG_LPG"))</f>
        <v>5.1962288223984885E-4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0.16170343937859136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6.1198259093128031E-2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1.335846300385631E-2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0.11253417497101975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1.1847083718312684E-6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6.3358503175288544E-3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1.9981640565966226E-4</v>
      </c>
      <c r="C8" s="426"/>
      <c r="D8" s="428">
        <f>vkm_NGW_PW*SUMIFS(TableVerdeelsleutelVkm[CNG],TableVerdeelsleutelVkm[Voertuigtype],"Lichte voertuigen")*SUMIFS(TableECFTransport[EnergieConsumptieFactor (PJ per km)],TableECFTransport[Index],CONCATENATE($A8,"_CNG_CNG"))</f>
        <v>1.2232876613088512E-3</v>
      </c>
      <c r="E8" s="428">
        <f>vkm_NGW_PW*SUMIFS(TableVerdeelsleutelVkm[LPG],TableVerdeelsleutelVkm[Voertuigtype],"Lichte voertuigen")*SUMIFS(TableECFTransport[EnergieConsumptieFactor (PJ per km)],TableECFTransport[Index],CONCATENATE($A8,"_LPG_LPG"))</f>
        <v>6.317618081276773E-4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0.18295837555882657</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7.7107339688854581E-2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1.5661112512516503E-2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4.5374658034261314E-2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6.938143884265006E-7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2.5546793445531636E-3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3.0839740697209754E-4</v>
      </c>
      <c r="C10" s="426"/>
      <c r="D10" s="428">
        <f>vkm_SW_PW*SUMIFS(TableVerdeelsleutelVkm[CNG],TableVerdeelsleutelVkm[Voertuigtype],"Lichte voertuigen")*SUMIFS(TableECFTransport[EnergieConsumptieFactor (PJ per km)],TableECFTransport[Index],CONCATENATE($A10,"_CNG_CNG"))</f>
        <v>1.11843578589423E-3</v>
      </c>
      <c r="E10" s="428">
        <f>vkm_SW_PW*SUMIFS(TableVerdeelsleutelVkm[LPG],TableVerdeelsleutelVkm[Voertuigtype],"Lichte voertuigen")*SUMIFS(TableECFTransport[EnergieConsumptieFactor (PJ per km)],TableECFTransport[Index],CONCATENATE($A10,"_LPG_LPG"))</f>
        <v>7.5743494505444212E-4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0.20946174367085854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7.4688085133276724E-2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1.6985090781914347E-2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0.28580869061191261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3.1864392569699817E-6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1.6091489299585406E-2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214.70577198620788</v>
      </c>
      <c r="C14" s="21"/>
      <c r="D14" s="21">
        <f t="shared" ref="D14:M14" si="0">((D5)*10^9/3600)+D12</f>
        <v>916.06568432588779</v>
      </c>
      <c r="E14" s="21">
        <f t="shared" si="0"/>
        <v>530.2276765061024</v>
      </c>
      <c r="F14" s="21"/>
      <c r="G14" s="21">
        <f t="shared" si="0"/>
        <v>277178.07839596394</v>
      </c>
      <c r="H14" s="21">
        <f t="shared" si="0"/>
        <v>59166.319132576828</v>
      </c>
      <c r="I14" s="21"/>
      <c r="J14" s="21"/>
      <c r="K14" s="21"/>
      <c r="L14" s="21"/>
      <c r="M14" s="21">
        <f t="shared" si="0"/>
        <v>19718.52368332072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0.18897254230212093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40.573495579173198</v>
      </c>
      <c r="C18" s="23"/>
      <c r="D18" s="23">
        <f t="shared" ref="D18:M18" si="1">D14*D16</f>
        <v>185.04526823382935</v>
      </c>
      <c r="E18" s="23">
        <f t="shared" si="1"/>
        <v>120.36168256688525</v>
      </c>
      <c r="F18" s="23"/>
      <c r="G18" s="23">
        <f t="shared" si="1"/>
        <v>74006.546931722376</v>
      </c>
      <c r="H18" s="23">
        <f t="shared" si="1"/>
        <v>14732.41346401163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7.863212501225552E-3</v>
      </c>
      <c r="H50" s="321">
        <f t="shared" si="2"/>
        <v>0</v>
      </c>
      <c r="I50" s="321">
        <f t="shared" si="2"/>
        <v>0</v>
      </c>
      <c r="J50" s="321">
        <f t="shared" si="2"/>
        <v>0</v>
      </c>
      <c r="K50" s="321">
        <f t="shared" si="2"/>
        <v>0</v>
      </c>
      <c r="L50" s="321">
        <f t="shared" si="2"/>
        <v>0</v>
      </c>
      <c r="M50" s="321">
        <f t="shared" si="2"/>
        <v>4.2670269593801771E-4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7.863212501225552E-3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4.2670269593801771E-4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2184.2256947848755</v>
      </c>
      <c r="H54" s="21">
        <f t="shared" si="3"/>
        <v>0</v>
      </c>
      <c r="I54" s="21">
        <f t="shared" si="3"/>
        <v>0</v>
      </c>
      <c r="J54" s="21">
        <f t="shared" si="3"/>
        <v>0</v>
      </c>
      <c r="K54" s="21">
        <f t="shared" si="3"/>
        <v>0</v>
      </c>
      <c r="L54" s="21">
        <f t="shared" si="3"/>
        <v>0</v>
      </c>
      <c r="M54" s="21">
        <f t="shared" si="3"/>
        <v>118.52852664944936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0.18897254230212093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583.18826050756184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19547.020932455835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19590.670932455836</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46025</v>
      </c>
      <c r="C28" s="794">
        <v>9140</v>
      </c>
      <c r="D28" s="643" t="s">
        <v>865</v>
      </c>
      <c r="E28" s="642" t="s">
        <v>866</v>
      </c>
      <c r="F28" s="642" t="s">
        <v>867</v>
      </c>
      <c r="G28" s="642" t="s">
        <v>868</v>
      </c>
      <c r="H28" s="642" t="s">
        <v>869</v>
      </c>
      <c r="I28" s="642" t="s">
        <v>866</v>
      </c>
      <c r="J28" s="793">
        <v>41158</v>
      </c>
      <c r="K28" s="793">
        <v>41275</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2020-06-20T15:25:50Z</dcterms:modified>
</cp:coreProperties>
</file>