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I9" i="18" s="1"/>
  <c r="I77" i="14" s="1"/>
  <c r="I9" i="59" s="1"/>
  <c r="T39" i="18"/>
  <c r="S39" i="18"/>
  <c r="E9" i="18" s="1"/>
  <c r="F77" i="14" s="1"/>
  <c r="F9" i="59" s="1"/>
  <c r="R39" i="18"/>
  <c r="Q39" i="18"/>
  <c r="P39" i="18"/>
  <c r="O39" i="18"/>
  <c r="N39" i="18"/>
  <c r="B9" i="18" s="1"/>
  <c r="M39" i="18"/>
  <c r="W35" i="18"/>
  <c r="V35" i="18"/>
  <c r="U35" i="18"/>
  <c r="T35" i="18"/>
  <c r="S35" i="18"/>
  <c r="F6" i="17" s="1"/>
  <c r="R35" i="18"/>
  <c r="Q35" i="18"/>
  <c r="P35" i="18"/>
  <c r="D6" i="17" s="1"/>
  <c r="O35" i="18"/>
  <c r="N35" i="18"/>
  <c r="M35" i="18"/>
  <c r="W34" i="18"/>
  <c r="V34" i="18"/>
  <c r="U34" i="18"/>
  <c r="T34" i="18"/>
  <c r="S34" i="18"/>
  <c r="R34" i="18"/>
  <c r="Q34" i="18"/>
  <c r="P34" i="18"/>
  <c r="O34" i="18"/>
  <c r="C13" i="15" s="1"/>
  <c r="N34" i="18"/>
  <c r="B13" i="15" s="1"/>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56" i="22"/>
  <c r="C58" i="22" s="1"/>
  <c r="D49" i="14" s="1"/>
  <c r="D52" i="14" s="1"/>
  <c r="C20" i="16"/>
  <c r="C22" i="16" s="1"/>
  <c r="D43" i="14" s="1"/>
  <c r="C10" i="13"/>
  <c r="C12" i="13" s="1"/>
  <c r="D41" i="14" s="1"/>
  <c r="D46" i="14" s="1"/>
  <c r="D61" i="14" s="1"/>
  <c r="D63" i="14" s="1"/>
  <c r="C17" i="49"/>
  <c r="C22" i="59"/>
  <c r="C29" i="20"/>
  <c r="C18" i="15"/>
  <c r="C20" i="15" s="1"/>
  <c r="D40"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<sst xmlns="http://schemas.openxmlformats.org/spreadsheetml/2006/main" count="2402" uniqueCount="883">
  <si>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</si>
  <si>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</si>
  <si>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</si>
  <si>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</si>
  <si>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</si>
  <si>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</si>
  <si>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</si>
  <si>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</si>
  <si>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</si>
  <si>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</si>
  <si>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</si>
  <si>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</si>
  <si>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</si>
  <si>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</si>
  <si>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</si>
  <si>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</si>
  <si>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</si>
  <si>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</si>
  <si>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</si>
  <si>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</si>
  <si>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</si>
  <si>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</si>
  <si>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</si>
  <si>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</si>
  <si>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</si>
  <si>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</si>
  <si>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</si>
  <si>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</si>
  <si>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</si>
  <si>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</si>
  <si>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</si>
  <si>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</si>
  <si>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</si>
  <si>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</si>
  <si>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</si>
  <si>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</si>
  <si>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</si>
  <si>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</si>
  <si>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</si>
  <si>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</si>
  <si>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</si>
  <si>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</si>
  <si>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</si>
  <si>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</si>
  <si>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</si>
  <si>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</si>
  <si>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</si>
  <si>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</si>
  <si>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</si>
  <si>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</si>
  <si>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</si>
  <si>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</si>
  <si>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</si>
  <si>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</si>
  <si>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</si>
  <si>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</si>
  <si>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</si>
  <si>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</si>
  <si>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</si>
  <si>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</si>
  <si>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</si>
  <si>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</si>
  <si>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</si>
  <si>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</si>
  <si>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</si>
  <si>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</si>
  <si>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</si>
  <si>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</si>
  <si>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</si>
  <si>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</si>
  <si>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</si>
  <si>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</si>
  <si>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</si>
  <si>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</si>
  <si>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</si>
  <si>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</si>
  <si>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</si>
  <si>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</si>
  <si>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</si>
  <si>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</si>
  <si>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</si>
  <si>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</si>
  <si>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</si>
  <si>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</si>
  <si>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</si>
  <si>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</si>
  <si>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</si>
  <si>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</si>
  <si>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</si>
  <si>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</si>
  <si>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</si>
  <si>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</si>
  <si>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</si>
  <si>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</si>
  <si>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</si>
  <si>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</si>
  <si>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</si>
  <si>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</si>
  <si>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</si>
  <si>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</si>
  <si>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</si>
  <si>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</si>
  <si>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</si>
  <si>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</si>
  <si>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</si>
  <si>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</si>
  <si>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</si>
  <si>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</si>
  <si>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</si>
  <si>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</si>
  <si>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</si>
  <si>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</si>
  <si>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</si>
  <si>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</si>
  <si>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</si>
  <si>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</si>
  <si>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</si>
  <si>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</si>
  <si>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</si>
  <si>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</si>
  <si>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</si>
  <si>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</si>
  <si>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</si>
  <si>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</si>
  <si>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</si>
  <si>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</si>
  <si>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</si>
  <si>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</si>
  <si>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</si>
  <si>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</si>
  <si>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</si>
  <si>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</si>
  <si>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</si>
  <si>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</si>
  <si>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</si>
  <si>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</si>
  <si>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</si>
  <si>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</si>
  <si>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</si>
  <si>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</si>
  <si>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</si>
  <si>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</si>
  <si>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</si>
  <si>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</si>
  <si>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</si>
  <si>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</si>
  <si>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</si>
  <si>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</si>
  <si>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</si>
  <si>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</si>
  <si>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</si>
  <si>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</si>
  <si>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</si>
  <si>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</si>
  <si>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</si>
  <si>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</si>
  <si>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</si>
  <si>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</si>
  <si>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</si>
  <si>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</si>
  <si>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</si>
  <si>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</si>
  <si>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</si>
  <si>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</si>
  <si>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</si>
  <si>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</si>
  <si>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</si>
  <si>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</si>
  <si>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</si>
  <si>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</si>
  <si>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</si>
  <si>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</si>
  <si>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</si>
  <si>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</si>
  <si>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</si>
  <si>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</si>
  <si>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</si>
  <si>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</si>
  <si>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</si>
  <si>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</si>
  <si>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</si>
  <si>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</si>
  <si>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</si>
  <si>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</si>
  <si>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</si>
  <si>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</si>
  <si>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</si>
  <si>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</si>
  <si>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</si>
  <si>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</si>
  <si>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</si>
  <si>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</si>
  <si>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</si>
  <si>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</si>
  <si>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</si>
  <si>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</si>
  <si>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</si>
  <si>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</si>
  <si>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</si>
  <si>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</si>
  <si>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</si>
  <si>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</si>
  <si>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</si>
  <si>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</si>
  <si>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</si>
  <si>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</si>
  <si>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</si>
  <si>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</si>
  <si>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</si>
  <si>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</si>
  <si>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</si>
  <si>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</si>
  <si>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</si>
  <si>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</si>
  <si>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</si>
  <si>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</si>
  <si>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</si>
  <si>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</si>
  <si>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</si>
  <si>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</si>
  <si>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</si>
  <si>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</si>
  <si>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</si>
  <si>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</si>
  <si>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</si>
  <si>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</si>
  <si>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</si>
  <si>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</si>
  <si>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</si>
  <si>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</si>
  <si>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</si>
  <si>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</si>
  <si>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</si>
  <si>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</si>
  <si>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</si>
  <si>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</si>
  <si>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</si>
  <si>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</si>
  <si>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</si>
  <si>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</si>
  <si>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</si>
  <si>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</si>
  <si>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</si>
  <si>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</si>
  <si>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</si>
  <si>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</si>
  <si>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</si>
  <si>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</si>
  <si>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</si>
  <si>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</si>
  <si>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</si>
  <si>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</si>
  <si>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</si>
  <si>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</si>
  <si>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</si>
  <si>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</si>
  <si>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</si>
  <si>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</si>
  <si>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</si>
  <si>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</si>
  <si>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</si>
  <si>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</si>
  <si>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</si>
  <si>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</si>
  <si>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</si>
  <si>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</si>
  <si>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</si>
  <si>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</si>
  <si>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</si>
  <si>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</si>
  <si>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</si>
  <si>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</si>
  <si>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</si>
  <si>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</si>
  <si>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</si>
  <si>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</si>
  <si>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</si>
  <si>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</si>
  <si>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</si>
  <si>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</si>
  <si>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</si>
  <si>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</si>
  <si>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</si>
  <si>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</si>
  <si>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</si>
  <si>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</si>
  <si>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</si>
  <si>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</si>
  <si>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</si>
  <si>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</si>
  <si>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</si>
  <si>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</si>
  <si>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</si>
  <si>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</si>
  <si>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</si>
  <si>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</si>
  <si>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</si>
  <si>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</si>
  <si>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</si>
  <si>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</si>
  <si>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</si>
  <si>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</si>
  <si>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</si>
  <si>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</si>
  <si>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</si>
  <si>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</si>
  <si>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</si>
  <si>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</si>
  <si>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</si>
  <si>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</si>
  <si>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</si>
  <si>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</si>
  <si>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</si>
  <si>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</si>
  <si>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</si>
  <si>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</si>
  <si>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</si>
  <si>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</si>
  <si>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</si>
  <si>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</si>
  <si>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</si>
  <si>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</si>
  <si>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</si>
  <si>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</si>
  <si>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</si>
  <si>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</si>
  <si>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</si>
  <si>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</si>
  <si>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</si>
  <si>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</si>
  <si>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</si>
  <si>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</si>
  <si>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</si>
  <si>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</si>
  <si>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</si>
  <si>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</si>
  <si>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</si>
  <si>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</si>
  <si>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</si>
  <si>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</si>
  <si>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</si>
  <si>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</si>
  <si>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</si>
  <si>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</si>
  <si>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</si>
  <si>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</si>
  <si>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</si>
  <si>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</si>
  <si>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</si>
  <si>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</si>
  <si>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</si>
  <si>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</si>
  <si>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</si>
  <si>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</si>
  <si>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</si>
  <si>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</si>
  <si>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</si>
  <si>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</si>
  <si>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</si>
  <si>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</si>
  <si>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</si>
  <si>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</si>
  <si>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</si>
  <si>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</si>
  <si>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</si>
  <si>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</si>
  <si>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</si>
  <si>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</si>
  <si>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</si>
  <si>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</si>
  <si>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</si>
  <si>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</si>
  <si>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</si>
  <si>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</si>
  <si>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</si>
  <si>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</si>
  <si>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</si>
  <si>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</si>
  <si>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</si>
  <si>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</si>
  <si>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</si>
  <si>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</si>
  <si>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</si>
  <si>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</si>
  <si>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</si>
  <si>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</si>
  <si>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</si>
  <si>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</si>
  <si>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</si>
  <si>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</si>
  <si>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</si>
  <si>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</si>
  <si>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</si>
  <si>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</si>
  <si>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</si>
  <si>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</si>
  <si>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</si>
  <si>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</si>
  <si>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</si>
  <si>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</si>
  <si>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</si>
  <si>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</si>
  <si>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</si>
  <si>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</si>
  <si>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</si>
  <si>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</si>
  <si>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</si>
  <si>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</si>
  <si>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</si>
  <si>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</si>
  <si>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</si>
  <si>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</si>
  <si>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</si>
  <si>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</si>
  <si>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</si>
  <si>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</si>
  <si>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</si>
  <si>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</si>
  <si>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</si>
  <si>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</si>
  <si>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</si>
  <si>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</si>
  <si>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</si>
  <si>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</si>
  <si>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</si>
  <si>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</si>
  <si>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</si>
  <si>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</si>
  <si>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</si>
  <si>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</si>
  <si>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</si>
  <si>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</si>
  <si>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</si>
  <si>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</si>
  <si>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</si>
  <si>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</si>
  <si>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</si>
  <si>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</si>
  <si>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</si>
  <si>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</si>
  <si>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</si>
  <si>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</si>
  <si>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</si>
  <si>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</si>
  <si>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</si>
  <si>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</si>
  <si>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</si>
  <si>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</si>
  <si>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</si>
  <si>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</si>
  <si>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</si>
  <si>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</si>
  <si>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</si>
  <si>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</si>
  <si>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</si>
  <si>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</si>
  <si>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</si>
  <si>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</si>
  <si>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</si>
  <si>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</si>
  <si>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</si>
  <si>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</si>
  <si>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</si>
  <si>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</si>
  <si>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</si>
  <si>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</si>
  <si>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</si>
  <si>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</si>
  <si>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</si>
  <si>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</si>
  <si>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</si>
  <si>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</si>
  <si>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</si>
  <si>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</si>
  <si>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</si>
  <si>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</si>
  <si>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</si>
  <si>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</si>
  <si>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</si>
  <si>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</si>
  <si>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</si>
  <si>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</si>
  <si>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</si>
  <si>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</si>
  <si>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</si>
  <si>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</si>
  <si>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</si>
  <si>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</si>
  <si>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</si>
  <si>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</si>
  <si>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</si>
  <si>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</si>
  <si>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</si>
  <si>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</si>
  <si>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</si>
  <si>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</si>
  <si>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</si>
  <si>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</si>
  <si>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</si>
  <si>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</si>
  <si>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</si>
  <si>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</si>
  <si>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</si>
  <si>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</si>
  <si>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</si>
  <si>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</si>
  <si>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</si>
  <si>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</si>
  <si>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</si>
  <si>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</si>
  <si>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</si>
  <si>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</si>
  <si>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</si>
  <si>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</si>
  <si>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</si>
  <si>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</si>
  <si>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</si>
  <si>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</si>
  <si>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</si>
  <si>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</si>
  <si>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</si>
  <si>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</si>
  <si>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</si>
  <si>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</si>
  <si>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</si>
  <si>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</si>
  <si>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</si>
  <si>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</si>
  <si>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</si>
  <si>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</si>
  <si>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</si>
  <si>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</si>
  <si>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</si>
  <si>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</si>
  <si>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</si>
  <si>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</si>
  <si>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</si>
  <si>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</si>
  <si>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</si>
  <si>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</si>
  <si>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</si>
  <si>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</si>
  <si>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</si>
  <si>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</si>
  <si>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</si>
  <si>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</si>
  <si>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</si>
  <si>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</si>
  <si>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</si>
  <si>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</si>
  <si>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</si>
  <si>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</si>
  <si>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</si>
  <si>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</si>
  <si>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</si>
  <si>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</si>
  <si>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</si>
  <si>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</si>
  <si>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</si>
  <si>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</si>
  <si>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</si>
  <si>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</si>
  <si>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</si>
  <si>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</si>
  <si>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</si>
  <si>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</si>
  <si>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</si>
  <si>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</si>
  <si>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</si>
  <si>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</si>
  <si>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</si>
  <si>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</si>
  <si>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</si>
  <si>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</si>
  <si>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</si>
  <si>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</si>
  <si>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</si>
  <si>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</si>
  <si>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</si>
  <si>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</si>
  <si>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</si>
  <si>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</si>
  <si>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</si>
  <si>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</si>
  <si>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</si>
  <si>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</si>
  <si>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</si>
  <si>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</si>
  <si>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</si>
  <si>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</si>
  <si>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</si>
  <si>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</si>
  <si>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</si>
  <si>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</si>
  <si>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</si>
  <si>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</si>
  <si>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</si>
  <si>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</si>
  <si>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</si>
  <si>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</si>
  <si>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</si>
  <si>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</si>
  <si>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</si>
  <si>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</si>
  <si>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</si>
  <si>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</si>
  <si>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</si>
  <si>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</si>
  <si>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</si>
  <si>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</si>
  <si>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</si>
  <si>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</si>
  <si>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</si>
  <si>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</si>
  <si>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</si>
  <si>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</si>
  <si>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</si>
  <si>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</si>
  <si>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</si>
  <si>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</si>
  <si>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</si>
  <si>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</si>
  <si>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</si>
  <si>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</si>
  <si>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</si>
  <si>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</si>
  <si>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</si>
  <si>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</si>
  <si>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</si>
  <si>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</si>
  <si>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</si>
  <si>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</si>
  <si>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</si>
  <si>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</si>
  <si>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</si>
  <si>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</si>
  <si>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</si>
  <si>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</si>
  <si>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</si>
  <si>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</si>
  <si>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</si>
  <si>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</si>
  <si>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</si>
  <si>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</si>
  <si>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</si>
  <si>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</si>
  <si>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</si>
  <si>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</si>
  <si>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</si>
  <si>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</si>
  <si>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</si>
  <si>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</si>
  <si>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</si>
  <si>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</si>
  <si>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</si>
  <si>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</si>
  <si>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</si>
  <si>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</si>
  <si>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</si>
  <si>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</si>
  <si>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</si>
  <si>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</si>
  <si>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</si>
  <si>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</si>
  <si>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</si>
  <si>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</si>
  <si>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</si>
  <si>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</si>
  <si>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</si>
  <si>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</si>
  <si>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</si>
  <si>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</si>
  <si>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</si>
  <si>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</si>
  <si>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</si>
  <si>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</si>
  <si>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</si>
  <si>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</si>
  <si>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</si>
  <si>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</si>
  <si>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</si>
  <si>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</si>
  <si>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</si>
  <si>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</si>
  <si>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</si>
  <si>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</si>
  <si>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</si>
  <si>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</si>
  <si>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</si>
  <si>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</si>
  <si>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</si>
  <si>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</si>
  <si>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</si>
  <si>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</si>
  <si>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</si>
  <si>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</si>
  <si>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</si>
  <si>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</si>
  <si>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</si>
  <si>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</si>
  <si>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</si>
  <si>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</si>
  <si>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</si>
  <si>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</si>
  <si>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</si>
  <si>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</si>
  <si>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</si>
  <si>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</si>
  <si>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</si>
  <si>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</si>
  <si>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</si>
  <si>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</si>
  <si>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</si>
  <si>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</si>
  <si>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</si>
  <si>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</si>
  <si>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</si>
  <si>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</si>
  <si>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</si>
  <si>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</si>
  <si>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</si>
  <si>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</si>
  <si>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</si>
  <si>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</si>
  <si>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</si>
  <si>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</si>
  <si>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</si>
  <si>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</si>
  <si>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</si>
  <si>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</si>
  <si>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</si>
  <si>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</si>
  <si>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</si>
  <si>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</si>
  <si>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</si>
  <si>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</si>
  <si>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</si>
  <si>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</si>
  <si>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</si>
  <si>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</si>
  <si>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</si>
  <si>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</si>
  <si>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</si>
  <si>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</si>
  <si>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</si>
  <si>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</si>
  <si>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</si>
  <si>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</si>
  <si>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</si>
  <si>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</si>
  <si>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</si>
  <si>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</si>
  <si>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</si>
  <si>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</si>
  <si>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</si>
  <si>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</si>
  <si>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</si>
  <si>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</si>
  <si>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</si>
  <si>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</si>
  <si>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</si>
  <si>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</si>
  <si>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</si>
  <si>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</si>
  <si>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</si>
  <si>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</si>
  <si>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</si>
  <si>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</si>
  <si>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</si>
  <si>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</si>
  <si>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</si>
  <si>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</si>
  <si>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</si>
  <si>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</si>
  <si>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</si>
  <si>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</si>
  <si>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</si>
  <si>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</si>
  <si>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</si>
  <si>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</si>
  <si>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</si>
  <si>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</si>
  <si>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</si>
  <si>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</si>
  <si>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</si>
  <si>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</si>
  <si>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</si>
  <si>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</si>
  <si>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</si>
  <si>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</si>
  <si>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</si>
  <si>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</si>
  <si>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</si>
  <si>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</si>
  <si>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</si>
  <si>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</si>
  <si>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</si>
  <si>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</si>
  <si>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</si>
  <si>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</si>
  <si>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</si>
  <si>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</si>
  <si>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</si>
  <si>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</si>
  <si>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</si>
  <si>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</si>
  <si>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</si>
  <si>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</si>
  <si>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</si>
  <si>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</si>
  <si>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</si>
  <si>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</si>
  <si>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</si>
  <si>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</si>
  <si>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</si>
  <si>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</si>
  <si>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</si>
  <si>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</si>
  <si>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</si>
  <si>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</si>
  <si>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</si>
  <si>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</si>
  <si>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</si>
  <si>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</si>
  <si>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</si>
  <si>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</si>
  <si>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</si>
  <si>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</si>
  <si>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</si>
  <si>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</si>
  <si>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</si>
  <si>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</si>
  <si>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</si>
  <si>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</si>
  <si>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</si>
  <si>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</si>
  <si>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</si>
  <si>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</si>
  <si>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</si>
  <si>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</si>
  <si>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</si>
  <si>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</si>
  <si>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</si>
  <si>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</si>
  <si>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</si>
  <si>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</si>
  <si>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</si>
  <si>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</si>
  <si>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</si>
  <si>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</si>
  <si>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</si>
  <si>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</si>
  <si>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</si>
  <si>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</si>
  <si>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</si>
  <si>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</si>
  <si>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</si>
  <si>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</si>
  <si>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</si>
  <si>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</si>
  <si>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</si>
  <si>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</si>
  <si>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46021</t>
  </si>
  <si>
    <t>SINT-NIKLAAS</t>
  </si>
  <si>
    <t>referentietaak LNE (2017); Jaarverslag De Lijn</t>
  </si>
  <si>
    <t>Acomus bvba</t>
  </si>
  <si>
    <t>Entrepotstraat 16 , 9100 Sint-Niklaas</t>
  </si>
  <si>
    <t>WKK-0353 Acomus</t>
  </si>
  <si>
    <t>interne verbrandingsmotor</t>
  </si>
  <si>
    <t>WKK interne verbrandinsgmotor (gas)</t>
  </si>
  <si>
    <t>INTERGEM</t>
  </si>
  <si>
    <t>MNtechnics bvba</t>
  </si>
  <si>
    <t>Anthonis De Jonghestraat 96 , 9100 Nieuwkerken-Waas</t>
  </si>
  <si>
    <t>WKK-0361 ALTech</t>
  </si>
  <si>
    <t>Vleeswarenfabriek De Cock NV</t>
  </si>
  <si>
    <t>Industriepark-Noord 14 , 9100 Sint-Niklaas</t>
  </si>
  <si>
    <t>WKK-0473 Vleeswarenfabriek De Cock</t>
  </si>
  <si>
    <t>Guylian PL2</t>
  </si>
  <si>
    <t>Sint-Niklaas</t>
  </si>
  <si>
    <t>WKK-0948</t>
  </si>
  <si>
    <t>Interne verbrandingsmotor</t>
  </si>
  <si>
    <t>Europark-Oost 1</t>
  </si>
  <si>
    <t>INTERGEM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</si>
</sst>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494057.8080264341</c:v>
                </c:pt>
                <c:pt idx="1">
                  <c:v>307540.52641858259</c:v>
                </c:pt>
                <c:pt idx="2">
                  <c:v>3275.982</c:v>
                </c:pt>
                <c:pt idx="3">
                  <c:v>18615.905339491204</c:v>
                </c:pt>
                <c:pt idx="4">
                  <c:v>128926.06496312094</c:v>
                </c:pt>
                <c:pt idx="5">
                  <c:v>544053.60694108182</c:v>
                </c:pt>
                <c:pt idx="6">
                  <c:v>9795.7336514441704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494057.8080264341</c:v>
                </c:pt>
                <c:pt idx="1">
                  <c:v>307540.52641858259</c:v>
                </c:pt>
                <c:pt idx="2">
                  <c:v>3275.982</c:v>
                </c:pt>
                <c:pt idx="3">
                  <c:v>18615.905339491204</c:v>
                </c:pt>
                <c:pt idx="4">
                  <c:v>128926.06496312094</c:v>
                </c:pt>
                <c:pt idx="5">
                  <c:v>544053.60694108182</c:v>
                </c:pt>
                <c:pt idx="6">
                  <c:v>9795.7336514441704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88960.11589369399</c:v>
                </c:pt>
                <c:pt idx="1">
                  <c:v>62198.765882915723</c:v>
                </c:pt>
                <c:pt idx="2">
                  <c:v>656.76450664390461</c:v>
                </c:pt>
                <c:pt idx="3">
                  <c:v>4739.0145419121191</c:v>
                </c:pt>
                <c:pt idx="4">
                  <c:v>26038.847293900933</c:v>
                </c:pt>
                <c:pt idx="5">
                  <c:v>135396.18256351125</c:v>
                </c:pt>
                <c:pt idx="6">
                  <c:v>2480.8365631929173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88960.11589369399</c:v>
                </c:pt>
                <c:pt idx="1">
                  <c:v>62198.765882915723</c:v>
                </c:pt>
                <c:pt idx="2">
                  <c:v>656.76450664390461</c:v>
                </c:pt>
                <c:pt idx="3">
                  <c:v>4739.0145419121191</c:v>
                </c:pt>
                <c:pt idx="4">
                  <c:v>26038.847293900933</c:v>
                </c:pt>
                <c:pt idx="5">
                  <c:v>135396.18256351125</c:v>
                </c:pt>
                <c:pt idx="6">
                  <c:v>2480.8365631929173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46021</v>
      </c>
      <c r="B6" s="392"/>
      <c r="C6" s="393"/>
    </row>
    <row r="7" spans="1:7" s="390" customFormat="1" ht="15.75" customHeight="1">
      <c r="A7" s="394" t="str">
        <f>txtMunicipality</f>
        <v>SINT-NIKLAAS</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0.20047866766175901</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0.20047866766175901</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32412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3801.99</v>
      </c>
      <c r="C14" s="332"/>
      <c r="D14" s="332"/>
      <c r="E14" s="332"/>
      <c r="F14" s="332"/>
    </row>
    <row r="15" spans="1:6">
      <c r="A15" s="1310" t="s">
        <v>183</v>
      </c>
      <c r="B15" s="1311">
        <v>48</v>
      </c>
      <c r="C15" s="332"/>
      <c r="D15" s="332"/>
      <c r="E15" s="332"/>
      <c r="F15" s="332"/>
    </row>
    <row r="16" spans="1:6">
      <c r="A16" s="1310" t="s">
        <v>6</v>
      </c>
      <c r="B16" s="1311">
        <v>2106</v>
      </c>
      <c r="C16" s="332"/>
      <c r="D16" s="332"/>
      <c r="E16" s="332"/>
      <c r="F16" s="332"/>
    </row>
    <row r="17" spans="1:6">
      <c r="A17" s="1310" t="s">
        <v>7</v>
      </c>
      <c r="B17" s="1311">
        <v>982</v>
      </c>
      <c r="C17" s="332"/>
      <c r="D17" s="332"/>
      <c r="E17" s="332"/>
      <c r="F17" s="332"/>
    </row>
    <row r="18" spans="1:6">
      <c r="A18" s="1310" t="s">
        <v>8</v>
      </c>
      <c r="B18" s="1311">
        <v>1882</v>
      </c>
      <c r="C18" s="332"/>
      <c r="D18" s="332"/>
      <c r="E18" s="332"/>
      <c r="F18" s="332"/>
    </row>
    <row r="19" spans="1:6">
      <c r="A19" s="1310" t="s">
        <v>9</v>
      </c>
      <c r="B19" s="1311">
        <v>1835</v>
      </c>
      <c r="C19" s="332"/>
      <c r="D19" s="332"/>
      <c r="E19" s="332"/>
      <c r="F19" s="332"/>
    </row>
    <row r="20" spans="1:6">
      <c r="A20" s="1310" t="s">
        <v>10</v>
      </c>
      <c r="B20" s="1311">
        <v>855</v>
      </c>
      <c r="C20" s="332"/>
      <c r="D20" s="332"/>
      <c r="E20" s="332"/>
      <c r="F20" s="332"/>
    </row>
    <row r="21" spans="1:6">
      <c r="A21" s="1310" t="s">
        <v>11</v>
      </c>
      <c r="B21" s="1311">
        <v>13156</v>
      </c>
      <c r="C21" s="332"/>
      <c r="D21" s="332"/>
      <c r="E21" s="332"/>
      <c r="F21" s="332"/>
    </row>
    <row r="22" spans="1:6">
      <c r="A22" s="1310" t="s">
        <v>12</v>
      </c>
      <c r="B22" s="1311">
        <v>27927</v>
      </c>
      <c r="C22" s="332"/>
      <c r="D22" s="332"/>
      <c r="E22" s="332"/>
      <c r="F22" s="332"/>
    </row>
    <row r="23" spans="1:6">
      <c r="A23" s="1310" t="s">
        <v>13</v>
      </c>
      <c r="B23" s="1311">
        <v>751</v>
      </c>
      <c r="C23" s="332"/>
      <c r="D23" s="332"/>
      <c r="E23" s="332"/>
      <c r="F23" s="332"/>
    </row>
    <row r="24" spans="1:6">
      <c r="A24" s="1310" t="s">
        <v>14</v>
      </c>
      <c r="B24" s="1311">
        <v>35</v>
      </c>
      <c r="C24" s="332"/>
      <c r="D24" s="332"/>
      <c r="E24" s="332"/>
      <c r="F24" s="332"/>
    </row>
    <row r="25" spans="1:6">
      <c r="A25" s="1310" t="s">
        <v>15</v>
      </c>
      <c r="B25" s="1311">
        <v>3272</v>
      </c>
      <c r="C25" s="332"/>
      <c r="D25" s="332"/>
      <c r="E25" s="332"/>
      <c r="F25" s="332"/>
    </row>
    <row r="26" spans="1:6">
      <c r="A26" s="1310" t="s">
        <v>16</v>
      </c>
      <c r="B26" s="1311">
        <v>326</v>
      </c>
      <c r="C26" s="332"/>
      <c r="D26" s="332"/>
      <c r="E26" s="332"/>
      <c r="F26" s="332"/>
    </row>
    <row r="27" spans="1:6">
      <c r="A27" s="1310" t="s">
        <v>17</v>
      </c>
      <c r="B27" s="1311">
        <v>857</v>
      </c>
      <c r="C27" s="332"/>
      <c r="D27" s="332"/>
      <c r="E27" s="332"/>
      <c r="F27" s="332"/>
    </row>
    <row r="28" spans="1:6" s="43" customFormat="1">
      <c r="A28" s="1312" t="s">
        <v>18</v>
      </c>
      <c r="B28" s="1313">
        <v>213759</v>
      </c>
      <c r="C28" s="338"/>
      <c r="D28" s="338"/>
      <c r="E28" s="338"/>
      <c r="F28" s="338"/>
    </row>
    <row r="29" spans="1:6">
      <c r="A29" s="1312" t="s">
        <v>699</v>
      </c>
      <c r="B29" s="1313">
        <v>592</v>
      </c>
      <c r="C29" s="338"/>
      <c r="D29" s="338"/>
      <c r="E29" s="338"/>
      <c r="F29" s="338"/>
    </row>
    <row r="30" spans="1:6">
      <c r="A30" s="1305" t="s">
        <v>700</v>
      </c>
      <c r="B30" s="1314">
        <v>157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5</v>
      </c>
      <c r="D36" s="1311">
        <v>1282715.70592087</v>
      </c>
      <c r="E36" s="1311">
        <v>10</v>
      </c>
      <c r="F36" s="1311">
        <v>348534.00971177203</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13857.2622273123</v>
      </c>
    </row>
    <row r="39" spans="1:6">
      <c r="A39" s="1310" t="s">
        <v>29</v>
      </c>
      <c r="B39" s="1310" t="s">
        <v>30</v>
      </c>
      <c r="C39" s="1311">
        <v>25044</v>
      </c>
      <c r="D39" s="1311">
        <v>329838283.61572802</v>
      </c>
      <c r="E39" s="1311">
        <v>32350</v>
      </c>
      <c r="F39" s="1311">
        <v>100159447.2191</v>
      </c>
    </row>
    <row r="40" spans="1:6">
      <c r="A40" s="1310" t="s">
        <v>29</v>
      </c>
      <c r="B40" s="1310" t="s">
        <v>28</v>
      </c>
      <c r="C40" s="1311">
        <v>1</v>
      </c>
      <c r="D40" s="1311">
        <v>20526.655702742501</v>
      </c>
      <c r="E40" s="1311">
        <v>2</v>
      </c>
      <c r="F40" s="1311">
        <v>13114.0173590785</v>
      </c>
    </row>
    <row r="41" spans="1:6">
      <c r="A41" s="1310" t="s">
        <v>31</v>
      </c>
      <c r="B41" s="1310" t="s">
        <v>32</v>
      </c>
      <c r="C41" s="1311">
        <v>350</v>
      </c>
      <c r="D41" s="1311">
        <v>9301700.1663124599</v>
      </c>
      <c r="E41" s="1311">
        <v>674</v>
      </c>
      <c r="F41" s="1311">
        <v>8403232.9244550206</v>
      </c>
    </row>
    <row r="42" spans="1:6">
      <c r="A42" s="1310" t="s">
        <v>31</v>
      </c>
      <c r="B42" s="1310" t="s">
        <v>33</v>
      </c>
      <c r="C42" s="1311">
        <v>5</v>
      </c>
      <c r="D42" s="1311">
        <v>4151672.2011574302</v>
      </c>
      <c r="E42" s="1311">
        <v>8</v>
      </c>
      <c r="F42" s="1311">
        <v>2186487.8812466399</v>
      </c>
    </row>
    <row r="43" spans="1:6">
      <c r="A43" s="1310" t="s">
        <v>31</v>
      </c>
      <c r="B43" s="1310" t="s">
        <v>34</v>
      </c>
      <c r="C43" s="1311">
        <v>0</v>
      </c>
      <c r="D43" s="1311">
        <v>0</v>
      </c>
      <c r="E43" s="1311">
        <v>0</v>
      </c>
      <c r="F43" s="1311">
        <v>0</v>
      </c>
    </row>
    <row r="44" spans="1:6">
      <c r="A44" s="1310" t="s">
        <v>31</v>
      </c>
      <c r="B44" s="1310" t="s">
        <v>35</v>
      </c>
      <c r="C44" s="1311">
        <v>51</v>
      </c>
      <c r="D44" s="1311">
        <v>10878835.8594166</v>
      </c>
      <c r="E44" s="1311">
        <v>101</v>
      </c>
      <c r="F44" s="1311">
        <v>17056808.854047</v>
      </c>
    </row>
    <row r="45" spans="1:6">
      <c r="A45" s="1310" t="s">
        <v>31</v>
      </c>
      <c r="B45" s="1310" t="s">
        <v>36</v>
      </c>
      <c r="C45" s="1311">
        <v>6</v>
      </c>
      <c r="D45" s="1311">
        <v>9719529.2441039905</v>
      </c>
      <c r="E45" s="1311">
        <v>18</v>
      </c>
      <c r="F45" s="1311">
        <v>3737596.17288895</v>
      </c>
    </row>
    <row r="46" spans="1:6">
      <c r="A46" s="1310" t="s">
        <v>31</v>
      </c>
      <c r="B46" s="1310" t="s">
        <v>37</v>
      </c>
      <c r="C46" s="1311">
        <v>0</v>
      </c>
      <c r="D46" s="1311">
        <v>0</v>
      </c>
      <c r="E46" s="1311">
        <v>0</v>
      </c>
      <c r="F46" s="1311">
        <v>0</v>
      </c>
    </row>
    <row r="47" spans="1:6">
      <c r="A47" s="1310" t="s">
        <v>31</v>
      </c>
      <c r="B47" s="1310" t="s">
        <v>38</v>
      </c>
      <c r="C47" s="1311">
        <v>18</v>
      </c>
      <c r="D47" s="1311">
        <v>1708324.8899233199</v>
      </c>
      <c r="E47" s="1311">
        <v>20</v>
      </c>
      <c r="F47" s="1311">
        <v>1445850.02027758</v>
      </c>
    </row>
    <row r="48" spans="1:6">
      <c r="A48" s="1310" t="s">
        <v>31</v>
      </c>
      <c r="B48" s="1310" t="s">
        <v>28</v>
      </c>
      <c r="C48" s="1311">
        <v>0</v>
      </c>
      <c r="D48" s="1311">
        <v>0</v>
      </c>
      <c r="E48" s="1311">
        <v>1</v>
      </c>
      <c r="F48" s="1311">
        <v>3968.0308869119999</v>
      </c>
    </row>
    <row r="49" spans="1:6">
      <c r="A49" s="1310" t="s">
        <v>31</v>
      </c>
      <c r="B49" s="1310" t="s">
        <v>39</v>
      </c>
      <c r="C49" s="1311">
        <v>18</v>
      </c>
      <c r="D49" s="1311">
        <v>17455368.0589667</v>
      </c>
      <c r="E49" s="1311">
        <v>28</v>
      </c>
      <c r="F49" s="1311">
        <v>4192834.1109057199</v>
      </c>
    </row>
    <row r="50" spans="1:6">
      <c r="A50" s="1310" t="s">
        <v>31</v>
      </c>
      <c r="B50" s="1310" t="s">
        <v>40</v>
      </c>
      <c r="C50" s="1311">
        <v>48</v>
      </c>
      <c r="D50" s="1311">
        <v>17995922.611465398</v>
      </c>
      <c r="E50" s="1311">
        <v>63</v>
      </c>
      <c r="F50" s="1311">
        <v>18698008.145525299</v>
      </c>
    </row>
    <row r="51" spans="1:6">
      <c r="A51" s="1310" t="s">
        <v>41</v>
      </c>
      <c r="B51" s="1310" t="s">
        <v>42</v>
      </c>
      <c r="C51" s="1311">
        <v>43</v>
      </c>
      <c r="D51" s="1311">
        <v>932575.35909553198</v>
      </c>
      <c r="E51" s="1311">
        <v>196</v>
      </c>
      <c r="F51" s="1311">
        <v>3911326.6943121301</v>
      </c>
    </row>
    <row r="52" spans="1:6">
      <c r="A52" s="1310" t="s">
        <v>41</v>
      </c>
      <c r="B52" s="1310" t="s">
        <v>28</v>
      </c>
      <c r="C52" s="1311">
        <v>0</v>
      </c>
      <c r="D52" s="1311">
        <v>0</v>
      </c>
      <c r="E52" s="1311">
        <v>0</v>
      </c>
      <c r="F52" s="1311">
        <v>0</v>
      </c>
    </row>
    <row r="53" spans="1:6">
      <c r="A53" s="1310" t="s">
        <v>43</v>
      </c>
      <c r="B53" s="1310" t="s">
        <v>44</v>
      </c>
      <c r="C53" s="1311">
        <v>579</v>
      </c>
      <c r="D53" s="1311">
        <v>18667992.918754298</v>
      </c>
      <c r="E53" s="1311">
        <v>1579</v>
      </c>
      <c r="F53" s="1311">
        <v>12649387.3164366</v>
      </c>
    </row>
    <row r="54" spans="1:6">
      <c r="A54" s="1310" t="s">
        <v>45</v>
      </c>
      <c r="B54" s="1310" t="s">
        <v>46</v>
      </c>
      <c r="C54" s="1311">
        <v>0</v>
      </c>
      <c r="D54" s="1311">
        <v>0</v>
      </c>
      <c r="E54" s="1311">
        <v>1</v>
      </c>
      <c r="F54" s="1311">
        <v>3275982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341</v>
      </c>
      <c r="D57" s="1311">
        <v>29638113.8732922</v>
      </c>
      <c r="E57" s="1311">
        <v>390</v>
      </c>
      <c r="F57" s="1311">
        <v>9366038.1100219507</v>
      </c>
    </row>
    <row r="58" spans="1:6">
      <c r="A58" s="1310" t="s">
        <v>48</v>
      </c>
      <c r="B58" s="1310" t="s">
        <v>50</v>
      </c>
      <c r="C58" s="1311">
        <v>222</v>
      </c>
      <c r="D58" s="1311">
        <v>35499985.303877003</v>
      </c>
      <c r="E58" s="1311">
        <v>327</v>
      </c>
      <c r="F58" s="1311">
        <v>19710888.262035999</v>
      </c>
    </row>
    <row r="59" spans="1:6">
      <c r="A59" s="1310" t="s">
        <v>48</v>
      </c>
      <c r="B59" s="1310" t="s">
        <v>51</v>
      </c>
      <c r="C59" s="1311">
        <v>668</v>
      </c>
      <c r="D59" s="1311">
        <v>39887374.534110501</v>
      </c>
      <c r="E59" s="1311">
        <v>1192</v>
      </c>
      <c r="F59" s="1311">
        <v>47368885.630135097</v>
      </c>
    </row>
    <row r="60" spans="1:6">
      <c r="A60" s="1310" t="s">
        <v>48</v>
      </c>
      <c r="B60" s="1310" t="s">
        <v>52</v>
      </c>
      <c r="C60" s="1311">
        <v>297</v>
      </c>
      <c r="D60" s="1311">
        <v>21137726.504237901</v>
      </c>
      <c r="E60" s="1311">
        <v>337</v>
      </c>
      <c r="F60" s="1311">
        <v>10580681.9094774</v>
      </c>
    </row>
    <row r="61" spans="1:6">
      <c r="A61" s="1310" t="s">
        <v>48</v>
      </c>
      <c r="B61" s="1310" t="s">
        <v>53</v>
      </c>
      <c r="C61" s="1311">
        <v>869</v>
      </c>
      <c r="D61" s="1311">
        <v>42802270.093574896</v>
      </c>
      <c r="E61" s="1311">
        <v>1668</v>
      </c>
      <c r="F61" s="1311">
        <v>29256779.012864701</v>
      </c>
    </row>
    <row r="62" spans="1:6">
      <c r="A62" s="1310" t="s">
        <v>48</v>
      </c>
      <c r="B62" s="1310" t="s">
        <v>54</v>
      </c>
      <c r="C62" s="1311">
        <v>92</v>
      </c>
      <c r="D62" s="1311">
        <v>14535838.026159599</v>
      </c>
      <c r="E62" s="1311">
        <v>125</v>
      </c>
      <c r="F62" s="1311">
        <v>4870954.5214290898</v>
      </c>
    </row>
    <row r="63" spans="1:6">
      <c r="A63" s="1310" t="s">
        <v>48</v>
      </c>
      <c r="B63" s="1310" t="s">
        <v>28</v>
      </c>
      <c r="C63" s="1311">
        <v>0</v>
      </c>
      <c r="D63" s="1311">
        <v>0</v>
      </c>
      <c r="E63" s="1311">
        <v>0</v>
      </c>
      <c r="F63" s="1311">
        <v>0</v>
      </c>
    </row>
    <row r="64" spans="1:6">
      <c r="A64" s="1310" t="s">
        <v>55</v>
      </c>
      <c r="B64" s="1310" t="s">
        <v>56</v>
      </c>
      <c r="C64" s="1311">
        <v>0</v>
      </c>
      <c r="D64" s="1311">
        <v>0</v>
      </c>
      <c r="E64" s="1311">
        <v>3</v>
      </c>
      <c r="F64" s="1311">
        <v>25109.319421713601</v>
      </c>
    </row>
    <row r="65" spans="1:6">
      <c r="A65" s="1310" t="s">
        <v>55</v>
      </c>
      <c r="B65" s="1310" t="s">
        <v>28</v>
      </c>
      <c r="C65" s="1311">
        <v>4</v>
      </c>
      <c r="D65" s="1311">
        <v>361747.848001001</v>
      </c>
      <c r="E65" s="1311">
        <v>1</v>
      </c>
      <c r="F65" s="1311">
        <v>1916.5860932421999</v>
      </c>
    </row>
    <row r="66" spans="1:6">
      <c r="A66" s="1310" t="s">
        <v>55</v>
      </c>
      <c r="B66" s="1310" t="s">
        <v>57</v>
      </c>
      <c r="C66" s="1311">
        <v>4</v>
      </c>
      <c r="D66" s="1311">
        <v>358392.81930680003</v>
      </c>
      <c r="E66" s="1311">
        <v>34</v>
      </c>
      <c r="F66" s="1311">
        <v>1218372.8063584899</v>
      </c>
    </row>
    <row r="67" spans="1:6">
      <c r="A67" s="1312" t="s">
        <v>55</v>
      </c>
      <c r="B67" s="1312" t="s">
        <v>58</v>
      </c>
      <c r="C67" s="1311">
        <v>0</v>
      </c>
      <c r="D67" s="1311">
        <v>0</v>
      </c>
      <c r="E67" s="1311">
        <v>0</v>
      </c>
      <c r="F67" s="1311">
        <v>0</v>
      </c>
    </row>
    <row r="68" spans="1:6">
      <c r="A68" s="1305" t="s">
        <v>55</v>
      </c>
      <c r="B68" s="1305" t="s">
        <v>59</v>
      </c>
      <c r="C68" s="1314">
        <v>16</v>
      </c>
      <c r="D68" s="1314">
        <v>416599.33092473401</v>
      </c>
      <c r="E68" s="1314">
        <v>42</v>
      </c>
      <c r="F68" s="1314">
        <v>1087176.5591994899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179028598</v>
      </c>
      <c r="E73" s="453"/>
      <c r="F73" s="332"/>
    </row>
    <row r="74" spans="1:6">
      <c r="A74" s="1310" t="s">
        <v>63</v>
      </c>
      <c r="B74" s="1310" t="s">
        <v>648</v>
      </c>
      <c r="C74" s="1324" t="s">
        <v>650</v>
      </c>
      <c r="D74" s="1325">
        <v>21798561.69893441</v>
      </c>
      <c r="E74" s="453"/>
      <c r="F74" s="332"/>
    </row>
    <row r="75" spans="1:6">
      <c r="A75" s="1310" t="s">
        <v>64</v>
      </c>
      <c r="B75" s="1310" t="s">
        <v>647</v>
      </c>
      <c r="C75" s="1324" t="s">
        <v>651</v>
      </c>
      <c r="D75" s="1325">
        <v>168304855</v>
      </c>
      <c r="E75" s="453"/>
      <c r="F75" s="332"/>
    </row>
    <row r="76" spans="1:6">
      <c r="A76" s="1310" t="s">
        <v>64</v>
      </c>
      <c r="B76" s="1310" t="s">
        <v>648</v>
      </c>
      <c r="C76" s="1324" t="s">
        <v>652</v>
      </c>
      <c r="D76" s="1325">
        <v>11267237.69893441</v>
      </c>
      <c r="E76" s="453"/>
      <c r="F76" s="332"/>
    </row>
    <row r="77" spans="1:6">
      <c r="A77" s="1310" t="s">
        <v>65</v>
      </c>
      <c r="B77" s="1310" t="s">
        <v>647</v>
      </c>
      <c r="C77" s="1324" t="s">
        <v>653</v>
      </c>
      <c r="D77" s="1325">
        <v>136854791</v>
      </c>
      <c r="E77" s="453"/>
      <c r="F77" s="332"/>
    </row>
    <row r="78" spans="1:6">
      <c r="A78" s="1305" t="s">
        <v>65</v>
      </c>
      <c r="B78" s="1305" t="s">
        <v>648</v>
      </c>
      <c r="C78" s="1305" t="s">
        <v>654</v>
      </c>
      <c r="D78" s="1326">
        <v>32656558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2717098.60213118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16368.239105876008</v>
      </c>
      <c r="C91" s="332"/>
      <c r="D91" s="332"/>
      <c r="E91" s="332"/>
      <c r="F91" s="332"/>
    </row>
    <row r="92" spans="1:6">
      <c r="A92" s="1305" t="s">
        <v>68</v>
      </c>
      <c r="B92" s="1306">
        <v>13072.128090634073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16810</v>
      </c>
      <c r="C97" s="332"/>
      <c r="D97" s="332"/>
      <c r="E97" s="332"/>
      <c r="F97" s="332"/>
    </row>
    <row r="98" spans="1:6">
      <c r="A98" s="1310" t="s">
        <v>71</v>
      </c>
      <c r="B98" s="1311">
        <v>15</v>
      </c>
      <c r="C98" s="332"/>
      <c r="D98" s="332"/>
      <c r="E98" s="332"/>
      <c r="F98" s="332"/>
    </row>
    <row r="99" spans="1:6">
      <c r="A99" s="1310" t="s">
        <v>72</v>
      </c>
      <c r="B99" s="1311">
        <v>215</v>
      </c>
      <c r="C99" s="332"/>
      <c r="D99" s="332"/>
      <c r="E99" s="332"/>
      <c r="F99" s="332"/>
    </row>
    <row r="100" spans="1:6">
      <c r="A100" s="1310" t="s">
        <v>73</v>
      </c>
      <c r="B100" s="1311">
        <v>2077</v>
      </c>
      <c r="C100" s="332"/>
      <c r="D100" s="332"/>
      <c r="E100" s="332"/>
      <c r="F100" s="332"/>
    </row>
    <row r="101" spans="1:6">
      <c r="A101" s="1310" t="s">
        <v>74</v>
      </c>
      <c r="B101" s="1311">
        <v>290</v>
      </c>
      <c r="C101" s="332"/>
      <c r="D101" s="332"/>
      <c r="E101" s="332"/>
      <c r="F101" s="332"/>
    </row>
    <row r="102" spans="1:6">
      <c r="A102" s="1310" t="s">
        <v>75</v>
      </c>
      <c r="B102" s="1311">
        <v>856</v>
      </c>
      <c r="C102" s="332"/>
      <c r="D102" s="332"/>
      <c r="E102" s="332"/>
      <c r="F102" s="332"/>
    </row>
    <row r="103" spans="1:6">
      <c r="A103" s="1310" t="s">
        <v>76</v>
      </c>
      <c r="B103" s="1311">
        <v>965</v>
      </c>
      <c r="C103" s="332"/>
      <c r="D103" s="332"/>
      <c r="E103" s="332"/>
      <c r="F103" s="332"/>
    </row>
    <row r="104" spans="1:6">
      <c r="A104" s="1310" t="s">
        <v>77</v>
      </c>
      <c r="B104" s="1311">
        <v>6412</v>
      </c>
      <c r="C104" s="332"/>
      <c r="D104" s="332"/>
      <c r="E104" s="332"/>
      <c r="F104" s="332"/>
    </row>
    <row r="105" spans="1:6">
      <c r="A105" s="1305" t="s">
        <v>78</v>
      </c>
      <c r="B105" s="1314">
        <v>32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2</v>
      </c>
      <c r="C122" s="1311">
        <v>0</v>
      </c>
      <c r="D122" s="332"/>
      <c r="E122" s="332"/>
      <c r="F122" s="332"/>
    </row>
    <row r="123" spans="1:6">
      <c r="A123" s="1310" t="s">
        <v>87</v>
      </c>
      <c r="B123" s="1311">
        <v>173</v>
      </c>
      <c r="C123" s="1311">
        <v>135</v>
      </c>
      <c r="D123" s="332"/>
      <c r="E123" s="332"/>
      <c r="F123" s="332"/>
    </row>
    <row r="124" spans="1:6" s="43" customFormat="1">
      <c r="A124" s="1312" t="s">
        <v>88</v>
      </c>
      <c r="B124" s="1333">
        <v>4</v>
      </c>
      <c r="C124" s="1333">
        <v>5</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535</v>
      </c>
      <c r="C129" s="332"/>
      <c r="D129" s="332"/>
      <c r="E129" s="332"/>
      <c r="F129" s="332"/>
    </row>
    <row r="130" spans="1:6">
      <c r="A130" s="1310" t="s">
        <v>294</v>
      </c>
      <c r="B130" s="1311">
        <v>12</v>
      </c>
      <c r="C130" s="332"/>
      <c r="D130" s="332"/>
      <c r="E130" s="332"/>
      <c r="F130" s="332"/>
    </row>
    <row r="131" spans="1:6">
      <c r="A131" s="1310" t="s">
        <v>295</v>
      </c>
      <c r="B131" s="1311">
        <v>13</v>
      </c>
      <c r="C131" s="332"/>
      <c r="D131" s="332"/>
      <c r="E131" s="332"/>
      <c r="F131" s="332"/>
    </row>
    <row r="132" spans="1:6">
      <c r="A132" s="1305" t="s">
        <v>296</v>
      </c>
      <c r="B132" s="1306">
        <v>98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315498.33547997323</v>
      </c>
      <c r="C3" s="43" t="s">
        <v>169</v>
      </c>
      <c r="D3" s="43"/>
      <c r="E3" s="154"/>
      <c r="F3" s="43"/>
      <c r="G3" s="43"/>
      <c r="H3" s="43"/>
      <c r="I3" s="43"/>
      <c r="J3" s="43"/>
      <c r="K3" s="96"/>
    </row>
    <row r="4" spans="1:11">
      <c r="A4" s="360" t="s">
        <v>170</v>
      </c>
      <c r="B4" s="49">
        <f>IF(ISERROR('SEAP template'!B78+'SEAP template'!C78),0,'SEAP template'!B78+'SEAP template'!C78)</f>
        <v>31355.11719651008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455.03470588235302</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0.20047866766175901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650.04957983193287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2735.3571428571431</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3275.982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3275.982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0.20047866766175901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656.76450664390461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100172.56123645908</v>
      </c>
      <c r="C5" s="17">
        <f>IF(ISERROR('Eigen informatie GS &amp; warmtenet'!B59),0,'Eigen informatie GS &amp; warmtenet'!B59)</f>
        <v>0</v>
      </c>
      <c r="D5" s="30">
        <f>(SUM(HH_hh_gas_kWh,HH_rest_gas_kWh)/1000)*0.903</f>
        <v>297862.50567510206</v>
      </c>
      <c r="E5" s="17">
        <f>B46*B57</f>
        <v>20812.723560140585</v>
      </c>
      <c r="F5" s="17">
        <f>B51*B62</f>
        <v>0</v>
      </c>
      <c r="G5" s="18"/>
      <c r="H5" s="17"/>
      <c r="I5" s="17"/>
      <c r="J5" s="17">
        <f>B50*B61+C50*C61</f>
        <v>1987.1670008616984</v>
      </c>
      <c r="K5" s="17"/>
      <c r="L5" s="17"/>
      <c r="M5" s="17"/>
      <c r="N5" s="17">
        <f>B48*B59+C48*C59</f>
        <v>52618.60084029501</v>
      </c>
      <c r="O5" s="17">
        <f>B69*B70*B71</f>
        <v>1339.1717980862466</v>
      </c>
      <c r="P5" s="17">
        <f>B77*B78*B79/1000-B77*B78*B79/1000/B80</f>
        <v>2896.8388096133813</v>
      </c>
    </row>
    <row r="6" spans="1:16">
      <c r="A6" s="16" t="s">
        <v>612</v>
      </c>
      <c r="B6" s="786">
        <f>kWh_PV_kleiner_dan_10kW</f>
        <v>16368.239105876008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116540.80034233509</v>
      </c>
      <c r="C8" s="21">
        <f>C5</f>
        <v>0</v>
      </c>
      <c r="D8" s="21">
        <f>D5</f>
        <v>297862.50567510206</v>
      </c>
      <c r="E8" s="21">
        <f>E5</f>
        <v>20812.723560140585</v>
      </c>
      <c r="F8" s="21">
        <f>F5</f>
        <v>0</v>
      </c>
      <c r="G8" s="21"/>
      <c r="H8" s="21"/>
      <c r="I8" s="21"/>
      <c r="J8" s="21">
        <f>J5</f>
        <v>1987.1670008616984</v>
      </c>
      <c r="K8" s="21"/>
      <c r="L8" s="21">
        <f>L5</f>
        <v>0</v>
      </c>
      <c r="M8" s="21">
        <f>M5</f>
        <v>0</v>
      </c>
      <c r="N8" s="21">
        <f>N5</f>
        <v>52618.60084029501</v>
      </c>
      <c r="O8" s="21">
        <f>O5</f>
        <v>1339.1717980862466</v>
      </c>
      <c r="P8" s="21">
        <f>P5</f>
        <v>2896.8388096133813</v>
      </c>
    </row>
    <row r="9" spans="1:16">
      <c r="B9" s="19"/>
      <c r="C9" s="19"/>
      <c r="D9" s="258"/>
      <c r="E9" s="19"/>
      <c r="F9" s="19"/>
      <c r="G9" s="19"/>
      <c r="H9" s="19"/>
      <c r="I9" s="19"/>
      <c r="J9" s="19"/>
      <c r="K9" s="19"/>
      <c r="L9" s="19"/>
      <c r="M9" s="19"/>
      <c r="N9" s="19"/>
      <c r="O9" s="19"/>
      <c r="P9" s="19"/>
    </row>
    <row r="10" spans="1:16">
      <c r="A10" s="24" t="s">
        <v>213</v>
      </c>
      <c r="B10" s="25">
        <f ca="1">'EF ele_warmte'!B12</f>
        <v>0.20047866766175901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23363.944380866407</v>
      </c>
      <c r="C12" s="23">
        <f ca="1">C10*C8</f>
        <v>0</v>
      </c>
      <c r="D12" s="23">
        <f>D8*D10</f>
        <v>60168.226146370624</v>
      </c>
      <c r="E12" s="23">
        <f>E10*E8</f>
        <v>4724.4882481519126</v>
      </c>
      <c r="F12" s="23">
        <f>F10*F8</f>
        <v>0</v>
      </c>
      <c r="G12" s="23"/>
      <c r="H12" s="23"/>
      <c r="I12" s="23"/>
      <c r="J12" s="23">
        <f>J10*J8</f>
        <v>703.45711830504115</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16810</v>
      </c>
      <c r="C18" s="166" t="s">
        <v>110</v>
      </c>
      <c r="D18" s="228"/>
      <c r="E18" s="15"/>
    </row>
    <row r="19" spans="1:7">
      <c r="A19" s="171" t="s">
        <v>71</v>
      </c>
      <c r="B19" s="37">
        <f>aantalw2001_ander</f>
        <v>15</v>
      </c>
      <c r="C19" s="166" t="s">
        <v>110</v>
      </c>
      <c r="D19" s="229"/>
      <c r="E19" s="15"/>
    </row>
    <row r="20" spans="1:7">
      <c r="A20" s="171" t="s">
        <v>72</v>
      </c>
      <c r="B20" s="37">
        <f>aantalw2001_propaan</f>
        <v>215</v>
      </c>
      <c r="C20" s="167">
        <f>IF(ISERROR(B20/SUM($B$20,$B$21,$B$22)*100),0,B20/SUM($B$20,$B$21,$B$22)*100)</f>
        <v>8.3268783888458557</v>
      </c>
      <c r="D20" s="229"/>
      <c r="E20" s="15"/>
    </row>
    <row r="21" spans="1:7">
      <c r="A21" s="171" t="s">
        <v>73</v>
      </c>
      <c r="B21" s="37">
        <f>aantalw2001_elektriciteit</f>
        <v>2077</v>
      </c>
      <c r="C21" s="167">
        <f>IF(ISERROR(B21/SUM($B$20,$B$21,$B$22)*100),0,B21/SUM($B$20,$B$21,$B$22)*100)</f>
        <v>80.441518202943456</v>
      </c>
      <c r="D21" s="229"/>
      <c r="E21" s="15"/>
    </row>
    <row r="22" spans="1:7">
      <c r="A22" s="171" t="s">
        <v>74</v>
      </c>
      <c r="B22" s="37">
        <f>aantalw2001_hout</f>
        <v>290</v>
      </c>
      <c r="C22" s="167">
        <f>IF(ISERROR(B22/SUM($B$20,$B$21,$B$22)*100),0,B22/SUM($B$20,$B$21,$B$22)*100)</f>
        <v>11.23160340821069</v>
      </c>
      <c r="D22" s="229"/>
      <c r="E22" s="15"/>
    </row>
    <row r="23" spans="1:7">
      <c r="A23" s="171" t="s">
        <v>75</v>
      </c>
      <c r="B23" s="37">
        <f>aantalw2001_niet_gespec</f>
        <v>856</v>
      </c>
      <c r="C23" s="166" t="s">
        <v>110</v>
      </c>
      <c r="D23" s="228"/>
      <c r="E23" s="15"/>
    </row>
    <row r="24" spans="1:7">
      <c r="A24" s="171" t="s">
        <v>76</v>
      </c>
      <c r="B24" s="37">
        <f>aantalw2001_steenkool</f>
        <v>965</v>
      </c>
      <c r="C24" s="166" t="s">
        <v>110</v>
      </c>
      <c r="D24" s="229"/>
      <c r="E24" s="15"/>
    </row>
    <row r="25" spans="1:7">
      <c r="A25" s="171" t="s">
        <v>77</v>
      </c>
      <c r="B25" s="37">
        <f>aantalw2001_stookolie</f>
        <v>6412</v>
      </c>
      <c r="C25" s="166" t="s">
        <v>110</v>
      </c>
      <c r="D25" s="228"/>
      <c r="E25" s="52"/>
    </row>
    <row r="26" spans="1:7">
      <c r="A26" s="171" t="s">
        <v>78</v>
      </c>
      <c r="B26" s="37">
        <f>aantalw2001_WP</f>
        <v>32</v>
      </c>
      <c r="C26" s="166" t="s">
        <v>110</v>
      </c>
      <c r="D26" s="228"/>
      <c r="E26" s="15"/>
    </row>
    <row r="27" spans="1:7" s="15" customFormat="1">
      <c r="A27" s="171"/>
      <c r="B27" s="29"/>
      <c r="C27" s="36"/>
      <c r="D27" s="228"/>
    </row>
    <row r="28" spans="1:7" s="15" customFormat="1">
      <c r="A28" s="230" t="s">
        <v>838</v>
      </c>
      <c r="B28" s="37">
        <f>aantalHuishoudens</f>
        <v>32412</v>
      </c>
      <c r="C28" s="36"/>
      <c r="D28" s="228"/>
    </row>
    <row r="29" spans="1:7" s="15" customFormat="1">
      <c r="A29" s="230" t="s">
        <v>839</v>
      </c>
      <c r="B29" s="37">
        <f>SUM(HH_hh_gas_aantal,HH_rest_gas_aantal)</f>
        <v>25045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25045</v>
      </c>
      <c r="C32" s="167">
        <f>IF(ISERROR(B32/SUM($B$32,$B$34,$B$35,$B$36,$B$38,$B$39)*100),0,B32/SUM($B$32,$B$34,$B$35,$B$36,$B$38,$B$39)*100)</f>
        <v>77.931978716121606</v>
      </c>
      <c r="D32" s="233"/>
      <c r="G32" s="15"/>
    </row>
    <row r="33" spans="1:7">
      <c r="A33" s="171" t="s">
        <v>71</v>
      </c>
      <c r="B33" s="34" t="s">
        <v>110</v>
      </c>
      <c r="C33" s="167"/>
      <c r="D33" s="233"/>
      <c r="G33" s="15"/>
    </row>
    <row r="34" spans="1:7">
      <c r="A34" s="171" t="s">
        <v>72</v>
      </c>
      <c r="B34" s="33">
        <f>IF((($B$28-$B$32-$B$39-$B$77-$B$38)*C20/100)&lt;0,0,($B$28-$B$32-$B$39-$B$77-$B$38)*C20/100)</f>
        <v>578.75968241673127</v>
      </c>
      <c r="C34" s="167">
        <f>IF(ISERROR(B34/SUM($B$32,$B$34,$B$35,$B$36,$B$38,$B$39)*100),0,B34/SUM($B$32,$B$34,$B$35,$B$36,$B$38,$B$39)*100)</f>
        <v>1.8009138451527251</v>
      </c>
      <c r="D34" s="233"/>
      <c r="G34" s="15"/>
    </row>
    <row r="35" spans="1:7">
      <c r="A35" s="171" t="s">
        <v>73</v>
      </c>
      <c r="B35" s="33">
        <f>IF((($B$28-$B$32-$B$39-$B$77-$B$38)*C21/100)&lt;0,0,($B$28-$B$32-$B$39-$B$77-$B$38)*C21/100)</f>
        <v>5591.0877226955854</v>
      </c>
      <c r="C35" s="167">
        <f>IF(ISERROR(B35/SUM($B$32,$B$34,$B$35,$B$36,$B$38,$B$39)*100),0,B35/SUM($B$32,$B$34,$B$35,$B$36,$B$38,$B$39)*100)</f>
        <v>17.397665378521907</v>
      </c>
      <c r="D35" s="233"/>
      <c r="G35" s="15"/>
    </row>
    <row r="36" spans="1:7">
      <c r="A36" s="171" t="s">
        <v>74</v>
      </c>
      <c r="B36" s="33">
        <f>IF((($B$28-$B$32-$B$39-$B$77-$B$38)*C22/100)&lt;0,0,($B$28-$B$32-$B$39-$B$77-$B$38)*C22/100)</f>
        <v>780.6525948876839</v>
      </c>
      <c r="C36" s="167">
        <f>IF(ISERROR(B36/SUM($B$32,$B$34,$B$35,$B$36,$B$38,$B$39)*100),0,B36/SUM($B$32,$B$34,$B$35,$B$36,$B$38,$B$39)*100)</f>
        <v>2.4291396050897216</v>
      </c>
      <c r="D36" s="233"/>
      <c r="G36" s="15"/>
    </row>
    <row r="37" spans="1:7">
      <c r="A37" s="171" t="s">
        <v>75</v>
      </c>
      <c r="B37" s="34" t="s">
        <v>110</v>
      </c>
      <c r="C37" s="167"/>
      <c r="D37" s="173"/>
      <c r="G37" s="15"/>
    </row>
    <row r="38" spans="1:7">
      <c r="A38" s="171" t="s">
        <v>76</v>
      </c>
      <c r="B38" s="33">
        <f>IF((B24-(B29-B18)*0.1)&lt;0,0,B24-(B29-B18)*0.1)</f>
        <v>141.5</v>
      </c>
      <c r="C38" s="167">
        <f>IF(ISERROR(B38/SUM($B$32,$B$34,$B$35,$B$36,$B$38,$B$39)*100),0,B38/SUM($B$32,$B$34,$B$35,$B$36,$B$38,$B$39)*100)</f>
        <v>0.44030245511404303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25045</v>
      </c>
      <c r="C44" s="34" t="s">
        <v>110</v>
      </c>
      <c r="D44" s="174"/>
    </row>
    <row r="45" spans="1:7">
      <c r="A45" s="171" t="s">
        <v>71</v>
      </c>
      <c r="B45" s="33" t="str">
        <f t="shared" si="0"/>
        <v>-</v>
      </c>
      <c r="C45" s="34" t="s">
        <v>110</v>
      </c>
      <c r="D45" s="174"/>
    </row>
    <row r="46" spans="1:7">
      <c r="A46" s="171" t="s">
        <v>72</v>
      </c>
      <c r="B46" s="33">
        <f t="shared" si="0"/>
        <v>578.75968241673127</v>
      </c>
      <c r="C46" s="34" t="s">
        <v>110</v>
      </c>
      <c r="D46" s="174"/>
    </row>
    <row r="47" spans="1:7">
      <c r="A47" s="171" t="s">
        <v>73</v>
      </c>
      <c r="B47" s="33">
        <f t="shared" si="0"/>
        <v>5591.0877226955854</v>
      </c>
      <c r="C47" s="34" t="s">
        <v>110</v>
      </c>
      <c r="D47" s="174"/>
    </row>
    <row r="48" spans="1:7">
      <c r="A48" s="171" t="s">
        <v>74</v>
      </c>
      <c r="B48" s="33">
        <f t="shared" si="0"/>
        <v>780.6525948876839</v>
      </c>
      <c r="C48" s="33">
        <f>B48*10</f>
        <v>7806.5259488768388</v>
      </c>
      <c r="D48" s="234"/>
    </row>
    <row r="49" spans="1:6">
      <c r="A49" s="171" t="s">
        <v>75</v>
      </c>
      <c r="B49" s="33" t="str">
        <f t="shared" si="0"/>
        <v>-</v>
      </c>
      <c r="C49" s="34" t="s">
        <v>110</v>
      </c>
      <c r="D49" s="234"/>
    </row>
    <row r="50" spans="1:6">
      <c r="A50" s="171" t="s">
        <v>76</v>
      </c>
      <c r="B50" s="33">
        <f t="shared" si="0"/>
        <v>141.5</v>
      </c>
      <c r="C50" s="33">
        <f>B50*2</f>
        <v>283</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675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275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121154.22744596422</v>
      </c>
      <c r="C5" s="17">
        <f>IF(ISERROR('Eigen informatie GS &amp; warmtenet'!B60),0,'Eigen informatie GS &amp; warmtenet'!B60)</f>
        <v>0</v>
      </c>
      <c r="D5" s="30">
        <f>SUM(D6:D12)</f>
        <v>165701.68142673266</v>
      </c>
      <c r="E5" s="17">
        <f>SUM(E6:E12)</f>
        <v>307.62731144143902</v>
      </c>
      <c r="F5" s="17">
        <f>SUM(F6:F12)</f>
        <v>16537.731491683309</v>
      </c>
      <c r="G5" s="18"/>
      <c r="H5" s="17"/>
      <c r="I5" s="17"/>
      <c r="J5" s="17">
        <f>SUM(J6:J12)</f>
        <v>9.2497307490906774E-2</v>
      </c>
      <c r="K5" s="17"/>
      <c r="L5" s="17"/>
      <c r="M5" s="17"/>
      <c r="N5" s="17">
        <f>SUM(N6:N12)</f>
        <v>3537.133470237357</v>
      </c>
      <c r="O5" s="17">
        <f>B38*B39*B40</f>
        <v>58.767129190093854</v>
      </c>
      <c r="P5" s="17">
        <f>B46*B47*B48/1000-B46*B47*B48/1000/B49</f>
        <v>788.08707459742516</v>
      </c>
      <c r="R5" s="32"/>
    </row>
    <row r="6" spans="1:18">
      <c r="A6" s="32" t="s">
        <v>53</v>
      </c>
      <c r="B6" s="37">
        <f>B26</f>
        <v>29256.779012864703</v>
      </c>
      <c r="C6" s="33"/>
      <c r="D6" s="37">
        <f>IF(ISERROR(TER_kantoor_gas_kWh/1000),0,TER_kantoor_gas_kWh/1000)*0.903</f>
        <v>38650.449894498131</v>
      </c>
      <c r="E6" s="33">
        <f>$C$26*'E Balans VL '!I12/100/3.6*1000000</f>
        <v>7.0092288289910147</v>
      </c>
      <c r="F6" s="33">
        <f>$C$26*('E Balans VL '!L12+'E Balans VL '!N12)/100/3.6*1000000</f>
        <v>2774.3859907850278</v>
      </c>
      <c r="G6" s="34"/>
      <c r="H6" s="33"/>
      <c r="I6" s="33"/>
      <c r="J6" s="33">
        <f>$C$26*('E Balans VL '!D12+'E Balans VL '!E12)/100/3.6*1000000</f>
        <v>0</v>
      </c>
      <c r="K6" s="33"/>
      <c r="L6" s="33"/>
      <c r="M6" s="33"/>
      <c r="N6" s="33">
        <f>$C$26*'E Balans VL '!Y12/100/3.6*1000000</f>
        <v>14.860930469796779</v>
      </c>
      <c r="O6" s="33"/>
      <c r="P6" s="33"/>
      <c r="R6" s="32"/>
    </row>
    <row r="7" spans="1:18">
      <c r="A7" s="32" t="s">
        <v>52</v>
      </c>
      <c r="B7" s="37">
        <f t="shared" ref="B7:B12" si="0">B27</f>
        <v>10580.6819094774</v>
      </c>
      <c r="C7" s="33"/>
      <c r="D7" s="37">
        <f>IF(ISERROR(TER_horeca_gas_kWh/1000),0,TER_horeca_gas_kWh/1000)*0.903</f>
        <v>19087.367033326824</v>
      </c>
      <c r="E7" s="33">
        <f>$C$27*'E Balans VL '!I9/100/3.6*1000000</f>
        <v>0</v>
      </c>
      <c r="F7" s="33">
        <f>$C$27*('E Balans VL '!L9+'E Balans VL '!N9)/100/3.6*1000000</f>
        <v>867.59104468141288</v>
      </c>
      <c r="G7" s="34"/>
      <c r="H7" s="33"/>
      <c r="I7" s="33"/>
      <c r="J7" s="33">
        <f>$C$27*('E Balans VL '!D9+'E Balans VL '!E9)/100/3.6*1000000</f>
        <v>0</v>
      </c>
      <c r="K7" s="33"/>
      <c r="L7" s="33"/>
      <c r="M7" s="33"/>
      <c r="N7" s="33">
        <f>$C$27*'E Balans VL '!Y9/100/3.6*1000000</f>
        <v>3.2434041058797534</v>
      </c>
      <c r="O7" s="33"/>
      <c r="P7" s="33"/>
      <c r="R7" s="32"/>
    </row>
    <row r="8" spans="1:18">
      <c r="A8" s="6" t="s">
        <v>51</v>
      </c>
      <c r="B8" s="37">
        <f t="shared" si="0"/>
        <v>47368.885630135097</v>
      </c>
      <c r="C8" s="33"/>
      <c r="D8" s="37">
        <f>IF(ISERROR(TER_handel_gas_kWh/1000),0,TER_handel_gas_kWh/1000)*0.903</f>
        <v>36018.299204301788</v>
      </c>
      <c r="E8" s="33">
        <f>$C$28*'E Balans VL '!I13/100/3.6*1000000</f>
        <v>166.4757433785291</v>
      </c>
      <c r="F8" s="33">
        <f>$C$28*('E Balans VL '!L13+'E Balans VL '!N13)/100/3.6*1000000</f>
        <v>4334.1679685777244</v>
      </c>
      <c r="G8" s="34"/>
      <c r="H8" s="33"/>
      <c r="I8" s="33"/>
      <c r="J8" s="33">
        <f>$C$28*('E Balans VL '!D13+'E Balans VL '!E13)/100/3.6*1000000</f>
        <v>0</v>
      </c>
      <c r="K8" s="33"/>
      <c r="L8" s="33"/>
      <c r="M8" s="33"/>
      <c r="N8" s="33">
        <f>$C$28*'E Balans VL '!Y13/100/3.6*1000000</f>
        <v>17.154971068388235</v>
      </c>
      <c r="O8" s="33"/>
      <c r="P8" s="33"/>
      <c r="R8" s="32"/>
    </row>
    <row r="9" spans="1:18">
      <c r="A9" s="32" t="s">
        <v>50</v>
      </c>
      <c r="B9" s="37">
        <f t="shared" si="0"/>
        <v>19710.888262035998</v>
      </c>
      <c r="C9" s="33"/>
      <c r="D9" s="37">
        <f>IF(ISERROR(TER_gezond_gas_kWh/1000),0,TER_gezond_gas_kWh/1000)*0.903</f>
        <v>32056.486729400935</v>
      </c>
      <c r="E9" s="33">
        <f>$C$29*'E Balans VL '!I10/100/3.6*1000000</f>
        <v>0</v>
      </c>
      <c r="F9" s="33">
        <f>$C$29*('E Balans VL '!L10+'E Balans VL '!N10)/100/3.6*1000000</f>
        <v>2416.1929509039101</v>
      </c>
      <c r="G9" s="34"/>
      <c r="H9" s="33"/>
      <c r="I9" s="33"/>
      <c r="J9" s="33">
        <f>$C$29*('E Balans VL '!D10+'E Balans VL '!E10)/100/3.6*1000000</f>
        <v>0</v>
      </c>
      <c r="K9" s="33"/>
      <c r="L9" s="33"/>
      <c r="M9" s="33"/>
      <c r="N9" s="33">
        <f>$C$29*'E Balans VL '!Y10/100/3.6*1000000</f>
        <v>145.35406530472147</v>
      </c>
      <c r="O9" s="33"/>
      <c r="P9" s="33"/>
      <c r="R9" s="32"/>
    </row>
    <row r="10" spans="1:18">
      <c r="A10" s="32" t="s">
        <v>49</v>
      </c>
      <c r="B10" s="37">
        <f t="shared" si="0"/>
        <v>9366.0381100219511</v>
      </c>
      <c r="C10" s="33"/>
      <c r="D10" s="37">
        <f>IF(ISERROR(TER_ander_gas_kWh/1000),0,TER_ander_gas_kWh/1000)*0.903</f>
        <v>26763.216827582859</v>
      </c>
      <c r="E10" s="33">
        <f>$C$30*'E Balans VL '!I14/100/3.6*1000000</f>
        <v>134.14233923391893</v>
      </c>
      <c r="F10" s="33">
        <f>$C$30*('E Balans VL '!L14+'E Balans VL '!N14)/100/3.6*1000000</f>
        <v>5575.9209478430603</v>
      </c>
      <c r="G10" s="34"/>
      <c r="H10" s="33"/>
      <c r="I10" s="33"/>
      <c r="J10" s="33">
        <f>$C$30*('E Balans VL '!D14+'E Balans VL '!E14)/100/3.6*1000000</f>
        <v>9.2497307490906774E-2</v>
      </c>
      <c r="K10" s="33"/>
      <c r="L10" s="33"/>
      <c r="M10" s="33"/>
      <c r="N10" s="33">
        <f>$C$30*'E Balans VL '!Y14/100/3.6*1000000</f>
        <v>3342.8040506938632</v>
      </c>
      <c r="O10" s="33"/>
      <c r="P10" s="33"/>
      <c r="R10" s="32"/>
    </row>
    <row r="11" spans="1:18">
      <c r="A11" s="32" t="s">
        <v>54</v>
      </c>
      <c r="B11" s="37">
        <f t="shared" si="0"/>
        <v>4870.9545214290902</v>
      </c>
      <c r="C11" s="33"/>
      <c r="D11" s="37">
        <f>IF(ISERROR(TER_onderwijs_gas_kWh/1000),0,TER_onderwijs_gas_kWh/1000)*0.903</f>
        <v>13125.861737622119</v>
      </c>
      <c r="E11" s="33">
        <f>$C$31*'E Balans VL '!I11/100/3.6*1000000</f>
        <v>0</v>
      </c>
      <c r="F11" s="33">
        <f>$C$31*('E Balans VL '!L11+'E Balans VL '!N11)/100/3.6*1000000</f>
        <v>569.47258889217505</v>
      </c>
      <c r="G11" s="34"/>
      <c r="H11" s="33"/>
      <c r="I11" s="33"/>
      <c r="J11" s="33">
        <f>$C$31*('E Balans VL '!D11+'E Balans VL '!E11)/100/3.6*1000000</f>
        <v>0</v>
      </c>
      <c r="K11" s="33"/>
      <c r="L11" s="33"/>
      <c r="M11" s="33"/>
      <c r="N11" s="33">
        <f>$C$31*'E Balans VL '!Y11/100/3.6*1000000</f>
        <v>13.71604859470726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1271.25</v>
      </c>
      <c r="C13" s="247">
        <f ca="1">'lokale energieproductie'!O41+'lokale energieproductie'!O34</f>
        <v>1816.0714285714287</v>
      </c>
      <c r="D13" s="310">
        <f ca="1">('lokale energieproductie'!P34+'lokale energieproductie'!P41)*(-1)</f>
        <v>-3632.1428571428573</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122425.47744596422</v>
      </c>
      <c r="C16" s="21">
        <f t="shared" ca="1" si="1"/>
        <v>1816.0714285714287</v>
      </c>
      <c r="D16" s="21">
        <f t="shared" ca="1" si="1"/>
        <v>162069.53856958979</v>
      </c>
      <c r="E16" s="21">
        <f t="shared" si="1"/>
        <v>307.62731144143902</v>
      </c>
      <c r="F16" s="21">
        <f t="shared" ca="1" si="1"/>
        <v>16537.731491683309</v>
      </c>
      <c r="G16" s="21">
        <f t="shared" si="1"/>
        <v>0</v>
      </c>
      <c r="H16" s="21">
        <f t="shared" si="1"/>
        <v>0</v>
      </c>
      <c r="I16" s="21">
        <f t="shared" si="1"/>
        <v>0</v>
      </c>
      <c r="J16" s="21">
        <f t="shared" si="1"/>
        <v>9.2497307490906774E-2</v>
      </c>
      <c r="K16" s="21">
        <f t="shared" si="1"/>
        <v>0</v>
      </c>
      <c r="L16" s="21">
        <f t="shared" ca="1" si="1"/>
        <v>0</v>
      </c>
      <c r="M16" s="21">
        <f t="shared" si="1"/>
        <v>0</v>
      </c>
      <c r="N16" s="21">
        <f t="shared" ca="1" si="1"/>
        <v>3537.133470237357</v>
      </c>
      <c r="O16" s="21">
        <f>O5</f>
        <v>58.767129190093854</v>
      </c>
      <c r="P16" s="21">
        <f>P5</f>
        <v>788.08707459742516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0.20047866766175901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24543.696606221634</v>
      </c>
      <c r="C20" s="23">
        <f t="shared" ref="C20:P20" ca="1" si="2">C16*C18</f>
        <v>431.58403361344546</v>
      </c>
      <c r="D20" s="23">
        <f t="shared" ca="1" si="2"/>
        <v>32738.046791057139</v>
      </c>
      <c r="E20" s="23">
        <f t="shared" si="2"/>
        <v>69.831399697206663</v>
      </c>
      <c r="F20" s="23">
        <f t="shared" ca="1" si="2"/>
        <v>4415.5743082794443</v>
      </c>
      <c r="G20" s="23">
        <f t="shared" si="2"/>
        <v>0</v>
      </c>
      <c r="H20" s="23">
        <f t="shared" si="2"/>
        <v>0</v>
      </c>
      <c r="I20" s="23">
        <f t="shared" si="2"/>
        <v>0</v>
      </c>
      <c r="J20" s="23">
        <f t="shared" si="2"/>
        <v>3.2744046851780999E-2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29256.779012864703</v>
      </c>
      <c r="C26" s="39">
        <f>IF(ISERROR(B26*3.6/1000000/'E Balans VL '!Z12*100),0,B26*3.6/1000000/'E Balans VL '!Z12*100)</f>
        <v>0.82511864403622803</v>
      </c>
      <c r="D26" s="237" t="s">
        <v>702</v>
      </c>
      <c r="F26" s="6"/>
    </row>
    <row r="27" spans="1:18">
      <c r="A27" s="231" t="s">
        <v>52</v>
      </c>
      <c r="B27" s="33">
        <f>IF(ISERROR(TER_horeca_ele_kWh/1000),0,TER_horeca_ele_kWh/1000)</f>
        <v>10580.6819094774</v>
      </c>
      <c r="C27" s="39">
        <f>IF(ISERROR(B27*3.6/1000000/'E Balans VL '!Z9*100),0,B27*3.6/1000000/'E Balans VL '!Z9*100)</f>
        <v>0.7844275833256148</v>
      </c>
      <c r="D27" s="237" t="s">
        <v>702</v>
      </c>
      <c r="F27" s="6"/>
    </row>
    <row r="28" spans="1:18">
      <c r="A28" s="171" t="s">
        <v>51</v>
      </c>
      <c r="B28" s="33">
        <f>IF(ISERROR(TER_handel_ele_kWh/1000),0,TER_handel_ele_kWh/1000)</f>
        <v>47368.885630135097</v>
      </c>
      <c r="C28" s="39">
        <f>IF(ISERROR(B28*3.6/1000000/'E Balans VL '!Z13*100),0,B28*3.6/1000000/'E Balans VL '!Z13*100)</f>
        <v>1.4190591897483646</v>
      </c>
      <c r="D28" s="237" t="s">
        <v>702</v>
      </c>
      <c r="F28" s="6"/>
    </row>
    <row r="29" spans="1:18">
      <c r="A29" s="231" t="s">
        <v>50</v>
      </c>
      <c r="B29" s="33">
        <f>IF(ISERROR(TER_gezond_ele_kWh/1000),0,TER_gezond_ele_kWh/1000)</f>
        <v>19710.888262035998</v>
      </c>
      <c r="C29" s="39">
        <f>IF(ISERROR(B29*3.6/1000000/'E Balans VL '!Z10*100),0,B29*3.6/1000000/'E Balans VL '!Z10*100)</f>
        <v>1.9490203569955578</v>
      </c>
      <c r="D29" s="237" t="s">
        <v>702</v>
      </c>
      <c r="F29" s="6"/>
    </row>
    <row r="30" spans="1:18">
      <c r="A30" s="231" t="s">
        <v>49</v>
      </c>
      <c r="B30" s="33">
        <f>IF(ISERROR(TER_ander_ele_kWh/1000),0,TER_ander_ele_kWh/1000)</f>
        <v>9366.0381100219511</v>
      </c>
      <c r="C30" s="39">
        <f>IF(ISERROR(B30*3.6/1000000/'E Balans VL '!Z14*100),0,B30*3.6/1000000/'E Balans VL '!Z14*100)</f>
        <v>0.37882856310268981</v>
      </c>
      <c r="D30" s="237" t="s">
        <v>702</v>
      </c>
      <c r="F30" s="6"/>
    </row>
    <row r="31" spans="1:18">
      <c r="A31" s="231" t="s">
        <v>54</v>
      </c>
      <c r="B31" s="33">
        <f>IF(ISERROR(TER_onderwijs_ele_kWh/1000),0,TER_onderwijs_ele_kWh/1000)</f>
        <v>4870.9545214290902</v>
      </c>
      <c r="C31" s="39">
        <f>IF(ISERROR(B31*3.6/1000000/'E Balans VL '!Z11*100),0,B31*3.6/1000000/'E Balans VL '!Z11*100)</f>
        <v>1.3382642364597257</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15</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55724.786140233133</v>
      </c>
      <c r="C5" s="17">
        <f>IF(ISERROR('Eigen informatie GS &amp; warmtenet'!B61),0,'Eigen informatie GS &amp; warmtenet'!B61)</f>
        <v>0</v>
      </c>
      <c r="D5" s="30">
        <f>SUM(D6:D15)</f>
        <v>64303.851787305342</v>
      </c>
      <c r="E5" s="17">
        <f>SUM(E6:E15)</f>
        <v>292.52122008674667</v>
      </c>
      <c r="F5" s="17">
        <f>SUM(F6:F15)</f>
        <v>6853.8712490365069</v>
      </c>
      <c r="G5" s="18"/>
      <c r="H5" s="17"/>
      <c r="I5" s="17"/>
      <c r="J5" s="17">
        <f>SUM(J6:J15)</f>
        <v>15.170257048092259</v>
      </c>
      <c r="K5" s="17"/>
      <c r="L5" s="17"/>
      <c r="M5" s="17"/>
      <c r="N5" s="17">
        <f>SUM(N6:N15)</f>
        <v>2011.6500236967991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17056.808854047002</v>
      </c>
      <c r="C8" s="33"/>
      <c r="D8" s="37">
        <f>IF( ISERROR(IND_metaal_Gas_kWH/1000),0,IND_metaal_Gas_kWH/1000)*0.903</f>
        <v>9823.5887810531895</v>
      </c>
      <c r="E8" s="33">
        <f>C30*'E Balans VL '!I18/100/3.6*1000000</f>
        <v>86.003406302614295</v>
      </c>
      <c r="F8" s="33">
        <f>C30*'E Balans VL '!L18/100/3.6*1000000+C30*'E Balans VL '!N18/100/3.6*1000000</f>
        <v>1165.3560356620651</v>
      </c>
      <c r="G8" s="34"/>
      <c r="H8" s="33"/>
      <c r="I8" s="33"/>
      <c r="J8" s="40">
        <f>C30*'E Balans VL '!D18/100/3.6*1000000+C30*'E Balans VL '!E18/100/3.6*1000000</f>
        <v>15.122316013651467</v>
      </c>
      <c r="K8" s="33"/>
      <c r="L8" s="33"/>
      <c r="M8" s="33"/>
      <c r="N8" s="33">
        <f>C30*'E Balans VL '!Y18/100/3.6*1000000</f>
        <v>226.68509089438228</v>
      </c>
      <c r="O8" s="33"/>
      <c r="P8" s="33"/>
      <c r="R8" s="32"/>
    </row>
    <row r="9" spans="1:18">
      <c r="A9" s="6" t="s">
        <v>32</v>
      </c>
      <c r="B9" s="37">
        <f t="shared" si="0"/>
        <v>8403.2329244550201</v>
      </c>
      <c r="C9" s="33"/>
      <c r="D9" s="37">
        <f>IF( ISERROR(IND_andere_gas_kWh/1000),0,IND_andere_gas_kWh/1000)*0.903</f>
        <v>8399.4352501801513</v>
      </c>
      <c r="E9" s="33">
        <f>C31*'E Balans VL '!I19/100/3.6*1000000</f>
        <v>26.48897622572866</v>
      </c>
      <c r="F9" s="33">
        <f>C31*'E Balans VL '!L19/100/3.6*1000000+C31*'E Balans VL '!N19/100/3.6*1000000</f>
        <v>5144.105767202921</v>
      </c>
      <c r="G9" s="34"/>
      <c r="H9" s="33"/>
      <c r="I9" s="33"/>
      <c r="J9" s="40">
        <f>C31*'E Balans VL '!D19/100/3.6*1000000+C31*'E Balans VL '!E19/100/3.6*1000000</f>
        <v>0</v>
      </c>
      <c r="K9" s="33"/>
      <c r="L9" s="33"/>
      <c r="M9" s="33"/>
      <c r="N9" s="33">
        <f>C31*'E Balans VL '!Y19/100/3.6*1000000</f>
        <v>352.35896660738496</v>
      </c>
      <c r="O9" s="33"/>
      <c r="P9" s="33"/>
      <c r="R9" s="32"/>
    </row>
    <row r="10" spans="1:18">
      <c r="A10" s="6" t="s">
        <v>40</v>
      </c>
      <c r="B10" s="37">
        <f t="shared" si="0"/>
        <v>18698.008145525298</v>
      </c>
      <c r="C10" s="33"/>
      <c r="D10" s="37">
        <f>IF( ISERROR(IND_voed_gas_kWh/1000),0,IND_voed_gas_kWh/1000)*0.903</f>
        <v>16250.318118153255</v>
      </c>
      <c r="E10" s="33">
        <f>C32*'E Balans VL '!I20/100/3.6*1000000</f>
        <v>29.799373775419106</v>
      </c>
      <c r="F10" s="33">
        <f>C32*'E Balans VL '!L20/100/3.6*1000000+C32*'E Balans VL '!N20/100/3.6*1000000</f>
        <v>303.79720975416058</v>
      </c>
      <c r="G10" s="34"/>
      <c r="H10" s="33"/>
      <c r="I10" s="33"/>
      <c r="J10" s="40">
        <f>C32*'E Balans VL '!D20/100/3.6*1000000+C32*'E Balans VL '!E20/100/3.6*1000000</f>
        <v>0</v>
      </c>
      <c r="K10" s="33"/>
      <c r="L10" s="33"/>
      <c r="M10" s="33"/>
      <c r="N10" s="33">
        <f>C32*'E Balans VL '!Y20/100/3.6*1000000</f>
        <v>590.57648204255645</v>
      </c>
      <c r="O10" s="33"/>
      <c r="P10" s="33"/>
      <c r="R10" s="32"/>
    </row>
    <row r="11" spans="1:18">
      <c r="A11" s="6" t="s">
        <v>39</v>
      </c>
      <c r="B11" s="37">
        <f t="shared" si="0"/>
        <v>4192.8341109057201</v>
      </c>
      <c r="C11" s="33"/>
      <c r="D11" s="37">
        <f>IF( ISERROR(IND_textiel_gas_kWh/1000),0,IND_textiel_gas_kWh/1000)*0.903</f>
        <v>15762.197357246929</v>
      </c>
      <c r="E11" s="33">
        <f>C33*'E Balans VL '!I21/100/3.6*1000000</f>
        <v>6.0830361440357592</v>
      </c>
      <c r="F11" s="33">
        <f>C33*'E Balans VL '!L21/100/3.6*1000000+C33*'E Balans VL '!N21/100/3.6*1000000</f>
        <v>82.056457518297279</v>
      </c>
      <c r="G11" s="34"/>
      <c r="H11" s="33"/>
      <c r="I11" s="33"/>
      <c r="J11" s="40">
        <f>C33*'E Balans VL '!D21/100/3.6*1000000+C33*'E Balans VL '!E21/100/3.6*1000000</f>
        <v>0</v>
      </c>
      <c r="K11" s="33"/>
      <c r="L11" s="33"/>
      <c r="M11" s="33"/>
      <c r="N11" s="33">
        <f>C33*'E Balans VL '!Y21/100/3.6*1000000</f>
        <v>204.26536206580175</v>
      </c>
      <c r="O11" s="33"/>
      <c r="P11" s="33"/>
      <c r="R11" s="32"/>
    </row>
    <row r="12" spans="1:18">
      <c r="A12" s="6" t="s">
        <v>36</v>
      </c>
      <c r="B12" s="37">
        <f t="shared" si="0"/>
        <v>3737.5961728889502</v>
      </c>
      <c r="C12" s="33"/>
      <c r="D12" s="37">
        <f>IF( ISERROR(IND_min_gas_kWh/1000),0,IND_min_gas_kWh/1000)*0.903</f>
        <v>8776.7349074259037</v>
      </c>
      <c r="E12" s="33">
        <f>C34*'E Balans VL '!I22/100/3.6*1000000</f>
        <v>16.173590722256346</v>
      </c>
      <c r="F12" s="33">
        <f>C34*'E Balans VL '!L22/100/3.6*1000000+C34*'E Balans VL '!N22/100/3.6*1000000</f>
        <v>142.70603567930334</v>
      </c>
      <c r="G12" s="34"/>
      <c r="H12" s="33"/>
      <c r="I12" s="33"/>
      <c r="J12" s="40">
        <f>C34*'E Balans VL '!D22/100/3.6*1000000+C34*'E Balans VL '!E22/100/3.6*1000000</f>
        <v>0</v>
      </c>
      <c r="K12" s="33"/>
      <c r="L12" s="33"/>
      <c r="M12" s="33"/>
      <c r="N12" s="33">
        <f>C34*'E Balans VL '!Y22/100/3.6*1000000</f>
        <v>637.54971241121177</v>
      </c>
      <c r="O12" s="33"/>
      <c r="P12" s="33"/>
      <c r="R12" s="32"/>
    </row>
    <row r="13" spans="1:18">
      <c r="A13" s="6" t="s">
        <v>38</v>
      </c>
      <c r="B13" s="37">
        <f t="shared" si="0"/>
        <v>1445.8500202775799</v>
      </c>
      <c r="C13" s="33"/>
      <c r="D13" s="37">
        <f>IF( ISERROR(IND_papier_gas_kWh/1000),0,IND_papier_gas_kWh/1000)*0.903</f>
        <v>1542.6173756007579</v>
      </c>
      <c r="E13" s="33">
        <f>C35*'E Balans VL '!I23/100/3.6*1000000</f>
        <v>0</v>
      </c>
      <c r="F13" s="33">
        <f>C35*'E Balans VL '!L23/100/3.6*1000000+C35*'E Balans VL '!N23/100/3.6*1000000</f>
        <v>6.2640945907315018E-2</v>
      </c>
      <c r="G13" s="34"/>
      <c r="H13" s="33"/>
      <c r="I13" s="33"/>
      <c r="J13" s="40">
        <f>C35*'E Balans VL '!D23/100/3.6*1000000+C35*'E Balans VL '!E23/100/3.6*1000000</f>
        <v>3.9840063696273291E-2</v>
      </c>
      <c r="K13" s="33"/>
      <c r="L13" s="33"/>
      <c r="M13" s="33"/>
      <c r="N13" s="33">
        <f>C35*'E Balans VL '!Y23/100/3.6*1000000</f>
        <v>0</v>
      </c>
      <c r="O13" s="33"/>
      <c r="P13" s="33"/>
      <c r="R13" s="32"/>
    </row>
    <row r="14" spans="1:18">
      <c r="A14" s="6" t="s">
        <v>33</v>
      </c>
      <c r="B14" s="37">
        <f t="shared" si="0"/>
        <v>2186.48788124664</v>
      </c>
      <c r="C14" s="33"/>
      <c r="D14" s="37">
        <f>IF( ISERROR(IND_chemie_gas_kWh/1000),0,IND_chemie_gas_kWh/1000)*0.903</f>
        <v>3748.9599976451595</v>
      </c>
      <c r="E14" s="33">
        <f>C36*'E Balans VL '!I24/100/3.6*1000000</f>
        <v>127.87281957957217</v>
      </c>
      <c r="F14" s="33">
        <f>C36*'E Balans VL '!L24/100/3.6*1000000+C36*'E Balans VL '!N24/100/3.6*1000000</f>
        <v>15.464972291148911</v>
      </c>
      <c r="G14" s="34"/>
      <c r="H14" s="33"/>
      <c r="I14" s="33"/>
      <c r="J14" s="40">
        <f>C36*'E Balans VL '!D24/100/3.6*1000000+C36*'E Balans VL '!E24/100/3.6*1000000</f>
        <v>0</v>
      </c>
      <c r="K14" s="33"/>
      <c r="L14" s="33"/>
      <c r="M14" s="33"/>
      <c r="N14" s="33">
        <f>C36*'E Balans VL '!Y24/100/3.6*1000000</f>
        <v>0.14736083206379441</v>
      </c>
      <c r="O14" s="33"/>
      <c r="P14" s="33"/>
      <c r="R14" s="32"/>
    </row>
    <row r="15" spans="1:18">
      <c r="A15" s="6" t="s">
        <v>269</v>
      </c>
      <c r="B15" s="37">
        <f t="shared" si="0"/>
        <v>3.968030886912</v>
      </c>
      <c r="C15" s="33"/>
      <c r="D15" s="37">
        <f>IF( ISERROR(IND_rest_gas_kWh/1000),0,IND_rest_gas_kWh/1000)*0.903</f>
        <v>0</v>
      </c>
      <c r="E15" s="33">
        <f>C37*'E Balans VL '!I15/100/3.6*1000000</f>
        <v>0.10001733712035431</v>
      </c>
      <c r="F15" s="33">
        <f>C37*'E Balans VL '!L15/100/3.6*1000000+C37*'E Balans VL '!N15/100/3.6*1000000</f>
        <v>0.322129982703518</v>
      </c>
      <c r="G15" s="34"/>
      <c r="H15" s="33"/>
      <c r="I15" s="33"/>
      <c r="J15" s="40">
        <f>C37*'E Balans VL '!D15/100/3.6*1000000+C37*'E Balans VL '!E15/100/3.6*1000000</f>
        <v>8.1009707445178682E-3</v>
      </c>
      <c r="K15" s="33"/>
      <c r="L15" s="33"/>
      <c r="M15" s="33"/>
      <c r="N15" s="33">
        <f>C37*'E Balans VL '!Y15/100/3.6*1000000</f>
        <v>6.7048843397904706E-2</v>
      </c>
      <c r="O15" s="33"/>
      <c r="P15" s="33"/>
      <c r="R15" s="32"/>
    </row>
    <row r="16" spans="1:18">
      <c r="A16" s="16" t="s">
        <v>479</v>
      </c>
      <c r="B16" s="247">
        <f>'lokale energieproductie'!N40+'lokale energieproductie'!N33</f>
        <v>643.5</v>
      </c>
      <c r="C16" s="247">
        <f>'lokale energieproductie'!O40+'lokale energieproductie'!O33</f>
        <v>919.28571428571433</v>
      </c>
      <c r="D16" s="310">
        <f>('lokale energieproductie'!P33+'lokale energieproductie'!P40)*(-1)</f>
        <v>-1838.5714285714287</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56368.286140233133</v>
      </c>
      <c r="C18" s="21">
        <f>C5+C16</f>
        <v>919.28571428571433</v>
      </c>
      <c r="D18" s="21">
        <f>MAX((D5+D16),0)</f>
        <v>62465.280358733915</v>
      </c>
      <c r="E18" s="21">
        <f>MAX((E5+E16),0)</f>
        <v>292.52122008674667</v>
      </c>
      <c r="F18" s="21">
        <f>MAX((F5+F16),0)</f>
        <v>6853.8712490365069</v>
      </c>
      <c r="G18" s="21"/>
      <c r="H18" s="21"/>
      <c r="I18" s="21"/>
      <c r="J18" s="21">
        <f>MAX((J5+J16),0)</f>
        <v>15.170257048092259</v>
      </c>
      <c r="K18" s="21"/>
      <c r="L18" s="21">
        <f>MAX((L5+L16),0)</f>
        <v>0</v>
      </c>
      <c r="M18" s="21"/>
      <c r="N18" s="21">
        <f>MAX((N5+N16),0)</f>
        <v>2011.6500236967991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0.20047866766175901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11300.638903770734</v>
      </c>
      <c r="C22" s="23">
        <f ca="1">C18*C20</f>
        <v>218.46554621848742</v>
      </c>
      <c r="D22" s="23">
        <f>D18*D20</f>
        <v>12617.986632464252</v>
      </c>
      <c r="E22" s="23">
        <f>E18*E20</f>
        <v>66.40231695969149</v>
      </c>
      <c r="F22" s="23">
        <f>F18*F20</f>
        <v>1829.9836234927475</v>
      </c>
      <c r="G22" s="23"/>
      <c r="H22" s="23"/>
      <c r="I22" s="23"/>
      <c r="J22" s="23">
        <f>J18*J20</f>
        <v>5.3702709950246597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17056.808854047002</v>
      </c>
      <c r="C30" s="39">
        <f>IF(ISERROR(B30*3.6/1000000/'E Balans VL '!Z18*100),0,B30*3.6/1000000/'E Balans VL '!Z18*100)</f>
        <v>0.84666154975342334</v>
      </c>
      <c r="D30" s="237" t="s">
        <v>702</v>
      </c>
    </row>
    <row r="31" spans="1:18">
      <c r="A31" s="6" t="s">
        <v>32</v>
      </c>
      <c r="B31" s="37">
        <f>IF( ISERROR(IND_ander_ele_kWh/1000),0,IND_ander_ele_kWh/1000)</f>
        <v>8403.2329244550201</v>
      </c>
      <c r="C31" s="39">
        <f>IF(ISERROR(B31*3.6/1000000/'E Balans VL '!Z19*100),0,B31*3.6/1000000/'E Balans VL '!Z19*100)</f>
        <v>0.28356605037046234</v>
      </c>
      <c r="D31" s="237" t="s">
        <v>702</v>
      </c>
    </row>
    <row r="32" spans="1:18">
      <c r="A32" s="171" t="s">
        <v>40</v>
      </c>
      <c r="B32" s="37">
        <f>IF( ISERROR(IND_voed_ele_kWh/1000),0,IND_voed_ele_kWh/1000)</f>
        <v>18698.008145525298</v>
      </c>
      <c r="C32" s="39">
        <f>IF(ISERROR(B32*3.6/1000000/'E Balans VL '!Z20*100),0,B32*3.6/1000000/'E Balans VL '!Z20*100)</f>
        <v>0.43910987726725731</v>
      </c>
      <c r="D32" s="237" t="s">
        <v>702</v>
      </c>
    </row>
    <row r="33" spans="1:5">
      <c r="A33" s="171" t="s">
        <v>39</v>
      </c>
      <c r="B33" s="37">
        <f>IF( ISERROR(IND_textiel_ele_kWh/1000),0,IND_textiel_ele_kWh/1000)</f>
        <v>4192.8341109057201</v>
      </c>
      <c r="C33" s="39">
        <f>IF(ISERROR(B33*3.6/1000000/'E Balans VL '!Z21*100),0,B33*3.6/1000000/'E Balans VL '!Z21*100)</f>
        <v>0.46015822900879871</v>
      </c>
      <c r="D33" s="237" t="s">
        <v>702</v>
      </c>
    </row>
    <row r="34" spans="1:5">
      <c r="A34" s="171" t="s">
        <v>36</v>
      </c>
      <c r="B34" s="37">
        <f>IF( ISERROR(IND_min_ele_kWh/1000),0,IND_min_ele_kWh/1000)</f>
        <v>3737.5961728889502</v>
      </c>
      <c r="C34" s="39">
        <f>IF(ISERROR(B34*3.6/1000000/'E Balans VL '!Z22*100),0,B34*3.6/1000000/'E Balans VL '!Z22*100)</f>
        <v>0.53025560419747375</v>
      </c>
      <c r="D34" s="237" t="s">
        <v>702</v>
      </c>
    </row>
    <row r="35" spans="1:5">
      <c r="A35" s="171" t="s">
        <v>38</v>
      </c>
      <c r="B35" s="37">
        <f>IF( ISERROR(IND_papier_ele_kWh/1000),0,IND_papier_ele_kWh/1000)</f>
        <v>1445.8500202775799</v>
      </c>
      <c r="C35" s="39">
        <f>IF(ISERROR(B35*3.6/1000000/'E Balans VL '!Z22*100),0,B35*3.6/1000000/'E Balans VL '!Z22*100)</f>
        <v>0.20512383912482043</v>
      </c>
      <c r="D35" s="237" t="s">
        <v>702</v>
      </c>
    </row>
    <row r="36" spans="1:5">
      <c r="A36" s="171" t="s">
        <v>33</v>
      </c>
      <c r="B36" s="37">
        <f>IF( ISERROR(IND_chemie_ele_kWh/1000),0,IND_chemie_ele_kWh/1000)</f>
        <v>2186.48788124664</v>
      </c>
      <c r="C36" s="39">
        <f>IF(ISERROR(B36*3.6/1000000/'E Balans VL '!Z24*100),0,B36*3.6/1000000/'E Balans VL '!Z24*100)</f>
        <v>1.9966089402696875E-2</v>
      </c>
      <c r="D36" s="237" t="s">
        <v>702</v>
      </c>
    </row>
    <row r="37" spans="1:5">
      <c r="A37" s="171" t="s">
        <v>269</v>
      </c>
      <c r="B37" s="37">
        <f>IF( ISERROR(IND_rest_ele_kWh/1000),0,IND_rest_ele_kWh/1000)</f>
        <v>3.968030886912</v>
      </c>
      <c r="C37" s="39">
        <f>IF(ISERROR(B37*3.6/1000000/'E Balans VL '!Z15*100),0,B37*3.6/1000000/'E Balans VL '!Z15*100)</f>
        <v>1.4870311625875695E-5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3911.3266943121303</v>
      </c>
      <c r="C5" s="17">
        <f>'Eigen informatie GS &amp; warmtenet'!B62</f>
        <v>0</v>
      </c>
      <c r="D5" s="30">
        <f>IF(ISERROR(SUM(LB_lb_gas_kWh,LB_rest_gas_kWh)/1000),0,SUM(LB_lb_gas_kWh,LB_rest_gas_kWh)/1000)*0.903</f>
        <v>842.11554926326539</v>
      </c>
      <c r="E5" s="17">
        <f>B17*'E Balans VL '!I25/3.6*1000000/100</f>
        <v>145.86533632580347</v>
      </c>
      <c r="F5" s="17">
        <f>B17*('E Balans VL '!L25/3.6*1000000+'E Balans VL '!N25/3.6*1000000)/100</f>
        <v>12689.855192476412</v>
      </c>
      <c r="G5" s="18"/>
      <c r="H5" s="17"/>
      <c r="I5" s="17"/>
      <c r="J5" s="17">
        <f>('E Balans VL '!D25+'E Balans VL '!E25)/3.6*1000000*landbouw!B17/100</f>
        <v>1026.7425671135932</v>
      </c>
      <c r="K5" s="17"/>
      <c r="L5" s="17">
        <f>L6*(-1)</f>
        <v>0</v>
      </c>
      <c r="M5" s="17"/>
      <c r="N5" s="17">
        <f>N6*(-1)</f>
        <v>0</v>
      </c>
      <c r="O5" s="17"/>
      <c r="P5" s="17"/>
      <c r="R5" s="32"/>
    </row>
    <row r="6" spans="1:18">
      <c r="A6" s="16" t="s">
        <v>479</v>
      </c>
      <c r="B6" s="17" t="s">
        <v>210</v>
      </c>
      <c r="C6" s="17">
        <f>'lokale energieproductie'!O42+'lokale energieproductie'!O35</f>
        <v>0</v>
      </c>
      <c r="D6" s="310">
        <f>('lokale energieproductie'!P35+'lokale energieproductie'!P42)*(-1)</f>
        <v>0</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3911.3266943121303</v>
      </c>
      <c r="C8" s="21">
        <f>C5+C6</f>
        <v>0</v>
      </c>
      <c r="D8" s="21">
        <f>MAX((D5+D6),0)</f>
        <v>842.11554926326539</v>
      </c>
      <c r="E8" s="21">
        <f>MAX((E5+E6),0)</f>
        <v>145.86533632580347</v>
      </c>
      <c r="F8" s="21">
        <f>MAX((F5+F6),0)</f>
        <v>12689.855192476412</v>
      </c>
      <c r="G8" s="21"/>
      <c r="H8" s="21"/>
      <c r="I8" s="21"/>
      <c r="J8" s="21">
        <f>MAX((J5+J6),0)</f>
        <v>1026.7425671135932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0.20047866766175901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784.13756446556806</v>
      </c>
      <c r="C12" s="23">
        <f ca="1">C8*C10</f>
        <v>0</v>
      </c>
      <c r="D12" s="23">
        <f>D8*D10</f>
        <v>170.10734095117962</v>
      </c>
      <c r="E12" s="23">
        <f>E8*E10</f>
        <v>33.111431345957385</v>
      </c>
      <c r="F12" s="23">
        <f>F8*F10</f>
        <v>3388.1913363912022</v>
      </c>
      <c r="G12" s="23"/>
      <c r="H12" s="23"/>
      <c r="I12" s="23"/>
      <c r="J12" s="23">
        <f>J8*J10</f>
        <v>363.46686875821194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0.5372105147849735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697.3748026407884</v>
      </c>
      <c r="C26" s="247">
        <f>B26*'GWP N2O_CH4'!B5</f>
        <v>14644.870855456556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306.82760345143851</v>
      </c>
      <c r="C27" s="247">
        <f>B27*'GWP N2O_CH4'!B5</f>
        <v>6443.3796724802087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8.7004857880850839</v>
      </c>
      <c r="C28" s="247">
        <f>B28*'GWP N2O_CH4'!B4</f>
        <v>2697.1505943063762</v>
      </c>
      <c r="D28" s="50"/>
    </row>
    <row r="29" spans="1:4">
      <c r="A29" s="41" t="s">
        <v>276</v>
      </c>
      <c r="B29" s="247">
        <f>B34*'ha_N2O bodem landbouw'!B4</f>
        <v>24.681339900196392</v>
      </c>
      <c r="C29" s="247">
        <f>B29*'GWP N2O_CH4'!B4</f>
        <v>7651.2153690608811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5.6249478485183649E-3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1.1774719464913777E-3</v>
      </c>
      <c r="C5" s="440" t="s">
        <v>210</v>
      </c>
      <c r="D5" s="425">
        <f>SUM(D6:D11)</f>
        <v>5.2851027849170739E-3</v>
      </c>
      <c r="E5" s="425">
        <f>SUM(E6:E11)</f>
        <v>2.96602773505104E-3</v>
      </c>
      <c r="F5" s="438" t="s">
        <v>210</v>
      </c>
      <c r="G5" s="425">
        <f>SUM(G6:G11)</f>
        <v>1.5018328996569403</v>
      </c>
      <c r="H5" s="425">
        <f>SUM(H6:H11)</f>
        <v>0.33919652993889921</v>
      </c>
      <c r="I5" s="440" t="s">
        <v>210</v>
      </c>
      <c r="J5" s="440" t="s">
        <v>210</v>
      </c>
      <c r="K5" s="440" t="s">
        <v>210</v>
      </c>
      <c r="L5" s="440" t="s">
        <v>210</v>
      </c>
      <c r="M5" s="425">
        <f>SUM(M6:M11)</f>
        <v>0.10813495292559586</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4.3537023952337507E-4</v>
      </c>
      <c r="C6" s="426"/>
      <c r="D6" s="893">
        <f>vkm_GW_PW*SUMIFS(TableVerdeelsleutelVkm[CNG],TableVerdeelsleutelVkm[Voertuigtype],"Lichte voertuigen")*SUMIFS(TableECFTransport[EnergieConsumptieFactor (PJ per km)],TableECFTransport[Index],CONCATENATE($A6,"_CNG_CNG"))</f>
        <v>1.5724244432772751E-3</v>
      </c>
      <c r="E6" s="893">
        <f>vkm_GW_PW*SUMIFS(TableVerdeelsleutelVkm[LPG],TableVerdeelsleutelVkm[Voertuigtype],"Lichte voertuigen")*SUMIFS(TableECFTransport[EnergieConsumptieFactor (PJ per km)],TableECFTransport[Index],CONCATENATE($A6,"_LPG_LPG"))</f>
        <v>8.5457232286422229E-4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0.26593764156273614</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0.10064671941125361</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2.1969341900212821E-2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0.20823739565922061</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2.1922281478435352E-6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1.1724091545955899E-2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4.0929173245436972E-4</v>
      </c>
      <c r="C8" s="426"/>
      <c r="D8" s="428">
        <f>vkm_NGW_PW*SUMIFS(TableVerdeelsleutelVkm[CNG],TableVerdeelsleutelVkm[Voertuigtype],"Lichte voertuigen")*SUMIFS(TableECFTransport[EnergieConsumptieFactor (PJ per km)],TableECFTransport[Index],CONCATENATE($A8,"_CNG_CNG"))</f>
        <v>2.5057077997886765E-3</v>
      </c>
      <c r="E8" s="428">
        <f>vkm_NGW_PW*SUMIFS(TableVerdeelsleutelVkm[LPG],TableVerdeelsleutelVkm[Voertuigtype],"Lichte voertuigen")*SUMIFS(TableECFTransport[EnergieConsumptieFactor (PJ per km)],TableECFTransport[Index],CONCATENATE($A8,"_LPG_LPG"))</f>
        <v>1.2940623373413113E-3</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0.37476077228140409</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0.15794196948949471</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3.2079267221573754E-2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0.12974114649503807</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1.9838446857547383E-6</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7.30467272809532E-3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3.3280997451363292E-4</v>
      </c>
      <c r="C10" s="426"/>
      <c r="D10" s="428">
        <f>vkm_SW_PW*SUMIFS(TableVerdeelsleutelVkm[CNG],TableVerdeelsleutelVkm[Voertuigtype],"Lichte voertuigen")*SUMIFS(TableECFTransport[EnergieConsumptieFactor (PJ per km)],TableECFTransport[Index],CONCATENATE($A10,"_CNG_CNG"))</f>
        <v>1.2069705418511225E-3</v>
      </c>
      <c r="E10" s="428">
        <f>vkm_SW_PW*SUMIFS(TableVerdeelsleutelVkm[LPG],TableVerdeelsleutelVkm[Voertuigtype],"Lichte voertuigen")*SUMIFS(TableECFTransport[EnergieConsumptieFactor (PJ per km)],TableECFTransport[Index],CONCATENATE($A10,"_LPG_LPG"))</f>
        <v>8.1739307484550655E-4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0.22604261902560902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8.06003524923503E-2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1.8329621139622929E-2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0.29711332463293255</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3.3124729669776603E-6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1.6727958390135134E-2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327.07554069204934</v>
      </c>
      <c r="C14" s="21"/>
      <c r="D14" s="21">
        <f t="shared" ref="D14:M14" si="0">((D5)*10^9/3600)+D12</f>
        <v>1468.0841069214096</v>
      </c>
      <c r="E14" s="21">
        <f t="shared" si="0"/>
        <v>823.8965930697334</v>
      </c>
      <c r="F14" s="21"/>
      <c r="G14" s="21">
        <f t="shared" si="0"/>
        <v>417175.80546026118</v>
      </c>
      <c r="H14" s="21">
        <f t="shared" si="0"/>
        <v>94221.258316360894</v>
      </c>
      <c r="I14" s="21"/>
      <c r="J14" s="21"/>
      <c r="K14" s="21"/>
      <c r="L14" s="21"/>
      <c r="M14" s="21">
        <f t="shared" si="0"/>
        <v>30037.486923776625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0.20047866766175901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65.57166862269149</v>
      </c>
      <c r="C18" s="23"/>
      <c r="D18" s="23">
        <f t="shared" ref="D18:M18" si="1">D14*D16</f>
        <v>296.55298959812473</v>
      </c>
      <c r="E18" s="23">
        <f t="shared" si="1"/>
        <v>187.0245266268295</v>
      </c>
      <c r="F18" s="23"/>
      <c r="G18" s="23">
        <f t="shared" si="1"/>
        <v>111385.94005788975</v>
      </c>
      <c r="H18" s="23">
        <f t="shared" si="1"/>
        <v>23461.093320773864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3.3449481750915736E-2</v>
      </c>
      <c r="H50" s="321">
        <f t="shared" si="2"/>
        <v>0</v>
      </c>
      <c r="I50" s="321">
        <f t="shared" si="2"/>
        <v>0</v>
      </c>
      <c r="J50" s="321">
        <f t="shared" si="2"/>
        <v>0</v>
      </c>
      <c r="K50" s="321">
        <f t="shared" si="2"/>
        <v>0</v>
      </c>
      <c r="L50" s="321">
        <f t="shared" si="2"/>
        <v>0</v>
      </c>
      <c r="M50" s="321">
        <f t="shared" si="2"/>
        <v>1.8151593942832777E-3</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3.3449481750915736E-2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1.8151593942832777E-3</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9291.522708587705</v>
      </c>
      <c r="H54" s="21">
        <f t="shared" si="3"/>
        <v>0</v>
      </c>
      <c r="I54" s="21">
        <f t="shared" si="3"/>
        <v>0</v>
      </c>
      <c r="J54" s="21">
        <f t="shared" si="3"/>
        <v>0</v>
      </c>
      <c r="K54" s="21">
        <f t="shared" si="3"/>
        <v>0</v>
      </c>
      <c r="L54" s="21">
        <f t="shared" si="3"/>
        <v>0</v>
      </c>
      <c r="M54" s="21">
        <f t="shared" si="3"/>
        <v>504.21094285646603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0.20047866766175901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2480.8365631929173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125701.45944596422</v>
      </c>
      <c r="D10" s="689">
        <f ca="1">tertiair!C16</f>
        <v>1816.0714285714287</v>
      </c>
      <c r="E10" s="689">
        <f ca="1">tertiair!D16</f>
        <v>162069.53856958979</v>
      </c>
      <c r="F10" s="689">
        <f>tertiair!E16</f>
        <v>307.62731144143902</v>
      </c>
      <c r="G10" s="689">
        <f ca="1">tertiair!F16</f>
        <v>16537.731491683309</v>
      </c>
      <c r="H10" s="689">
        <f>tertiair!G16</f>
        <v>0</v>
      </c>
      <c r="I10" s="689">
        <f>tertiair!H16</f>
        <v>0</v>
      </c>
      <c r="J10" s="689">
        <f>tertiair!I16</f>
        <v>0</v>
      </c>
      <c r="K10" s="689">
        <f>tertiair!J16</f>
        <v>9.2497307490906774E-2</v>
      </c>
      <c r="L10" s="689">
        <f>tertiair!K16</f>
        <v>0</v>
      </c>
      <c r="M10" s="689">
        <f ca="1">tertiair!L16</f>
        <v>0</v>
      </c>
      <c r="N10" s="689">
        <f>tertiair!M16</f>
        <v>0</v>
      </c>
      <c r="O10" s="689">
        <f ca="1">tertiair!N16</f>
        <v>3537.133470237357</v>
      </c>
      <c r="P10" s="689">
        <f>tertiair!O16</f>
        <v>58.767129190093854</v>
      </c>
      <c r="Q10" s="690">
        <f>tertiair!P16</f>
        <v>788.08707459742516</v>
      </c>
      <c r="R10" s="692">
        <f ca="1">SUM(C10:Q10)</f>
        <v>310816.50841858261</v>
      </c>
      <c r="S10" s="67"/>
    </row>
    <row r="11" spans="1:19" s="451" customFormat="1">
      <c r="A11" s="811" t="s">
        <v>224</v>
      </c>
      <c r="B11" s="816"/>
      <c r="C11" s="689">
        <f>huishoudens!B8</f>
        <v>116540.80034233509</v>
      </c>
      <c r="D11" s="689">
        <f>huishoudens!C8</f>
        <v>0</v>
      </c>
      <c r="E11" s="689">
        <f>huishoudens!D8</f>
        <v>297862.50567510206</v>
      </c>
      <c r="F11" s="689">
        <f>huishoudens!E8</f>
        <v>20812.723560140585</v>
      </c>
      <c r="G11" s="689">
        <f>huishoudens!F8</f>
        <v>0</v>
      </c>
      <c r="H11" s="689">
        <f>huishoudens!G8</f>
        <v>0</v>
      </c>
      <c r="I11" s="689">
        <f>huishoudens!H8</f>
        <v>0</v>
      </c>
      <c r="J11" s="689">
        <f>huishoudens!I8</f>
        <v>0</v>
      </c>
      <c r="K11" s="689">
        <f>huishoudens!J8</f>
        <v>1987.1670008616984</v>
      </c>
      <c r="L11" s="689">
        <f>huishoudens!K8</f>
        <v>0</v>
      </c>
      <c r="M11" s="689">
        <f>huishoudens!L8</f>
        <v>0</v>
      </c>
      <c r="N11" s="689">
        <f>huishoudens!M8</f>
        <v>0</v>
      </c>
      <c r="O11" s="689">
        <f>huishoudens!N8</f>
        <v>52618.60084029501</v>
      </c>
      <c r="P11" s="689">
        <f>huishoudens!O8</f>
        <v>1339.1717980862466</v>
      </c>
      <c r="Q11" s="690">
        <f>huishoudens!P8</f>
        <v>2896.8388096133813</v>
      </c>
      <c r="R11" s="692">
        <f>SUM(C11:Q11)</f>
        <v>494057.8080264341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56368.286140233133</v>
      </c>
      <c r="D13" s="689">
        <f>industrie!C18</f>
        <v>919.28571428571433</v>
      </c>
      <c r="E13" s="689">
        <f>industrie!D18</f>
        <v>62465.280358733915</v>
      </c>
      <c r="F13" s="689">
        <f>industrie!E18</f>
        <v>292.52122008674667</v>
      </c>
      <c r="G13" s="689">
        <f>industrie!F18</f>
        <v>6853.8712490365069</v>
      </c>
      <c r="H13" s="689">
        <f>industrie!G18</f>
        <v>0</v>
      </c>
      <c r="I13" s="689">
        <f>industrie!H18</f>
        <v>0</v>
      </c>
      <c r="J13" s="689">
        <f>industrie!I18</f>
        <v>0</v>
      </c>
      <c r="K13" s="689">
        <f>industrie!J18</f>
        <v>15.170257048092259</v>
      </c>
      <c r="L13" s="689">
        <f>industrie!K18</f>
        <v>0</v>
      </c>
      <c r="M13" s="689">
        <f>industrie!L18</f>
        <v>0</v>
      </c>
      <c r="N13" s="689">
        <f>industrie!M18</f>
        <v>0</v>
      </c>
      <c r="O13" s="689">
        <f>industrie!N18</f>
        <v>2011.6500236967991</v>
      </c>
      <c r="P13" s="689">
        <f>industrie!O18</f>
        <v>0</v>
      </c>
      <c r="Q13" s="690">
        <f>industrie!P18</f>
        <v>0</v>
      </c>
      <c r="R13" s="692">
        <f>SUM(C13:Q13)</f>
        <v>128926.06496312094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298610.54592853249</v>
      </c>
      <c r="D16" s="725">
        <f t="shared" ref="D16:R16" ca="1" si="0">SUM(D9:D15)</f>
        <v>2735.3571428571431</v>
      </c>
      <c r="E16" s="725">
        <f t="shared" ca="1" si="0"/>
        <v>522397.32460342575</v>
      </c>
      <c r="F16" s="725">
        <f t="shared" si="0"/>
        <v>21412.872091668771</v>
      </c>
      <c r="G16" s="725">
        <f t="shared" ca="1" si="0"/>
        <v>23391.602740719816</v>
      </c>
      <c r="H16" s="725">
        <f t="shared" si="0"/>
        <v>0</v>
      </c>
      <c r="I16" s="725">
        <f t="shared" si="0"/>
        <v>0</v>
      </c>
      <c r="J16" s="725">
        <f t="shared" si="0"/>
        <v>0</v>
      </c>
      <c r="K16" s="725">
        <f t="shared" si="0"/>
        <v>2002.4297552172816</v>
      </c>
      <c r="L16" s="725">
        <f t="shared" si="0"/>
        <v>0</v>
      </c>
      <c r="M16" s="725">
        <f t="shared" ca="1" si="0"/>
        <v>0</v>
      </c>
      <c r="N16" s="725">
        <f t="shared" si="0"/>
        <v>0</v>
      </c>
      <c r="O16" s="725">
        <f t="shared" ca="1" si="0"/>
        <v>58167.384334229166</v>
      </c>
      <c r="P16" s="725">
        <f t="shared" si="0"/>
        <v>1397.9389272763403</v>
      </c>
      <c r="Q16" s="725">
        <f t="shared" si="0"/>
        <v>3684.9258842108065</v>
      </c>
      <c r="R16" s="725">
        <f t="shared" ca="1" si="0"/>
        <v>933800.38140813773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9291.522708587705</v>
      </c>
      <c r="I19" s="689">
        <f>transport!H54</f>
        <v>0</v>
      </c>
      <c r="J19" s="689">
        <f>transport!I54</f>
        <v>0</v>
      </c>
      <c r="K19" s="689">
        <f>transport!J54</f>
        <v>0</v>
      </c>
      <c r="L19" s="689">
        <f>transport!K54</f>
        <v>0</v>
      </c>
      <c r="M19" s="689">
        <f>transport!L54</f>
        <v>0</v>
      </c>
      <c r="N19" s="689">
        <f>transport!M54</f>
        <v>504.21094285646603</v>
      </c>
      <c r="O19" s="689">
        <f>transport!N54</f>
        <v>0</v>
      </c>
      <c r="P19" s="689">
        <f>transport!O54</f>
        <v>0</v>
      </c>
      <c r="Q19" s="690">
        <f>transport!P54</f>
        <v>0</v>
      </c>
      <c r="R19" s="692">
        <f>SUM(C19:Q19)</f>
        <v>9795.7336514441704</v>
      </c>
      <c r="S19" s="67"/>
    </row>
    <row r="20" spans="1:19" s="451" customFormat="1">
      <c r="A20" s="811" t="s">
        <v>306</v>
      </c>
      <c r="B20" s="816"/>
      <c r="C20" s="689">
        <f>transport!B14</f>
        <v>327.07554069204934</v>
      </c>
      <c r="D20" s="689">
        <f>transport!C14</f>
        <v>0</v>
      </c>
      <c r="E20" s="689">
        <f>transport!D14</f>
        <v>1468.0841069214096</v>
      </c>
      <c r="F20" s="689">
        <f>transport!E14</f>
        <v>823.8965930697334</v>
      </c>
      <c r="G20" s="689">
        <f>transport!F14</f>
        <v>0</v>
      </c>
      <c r="H20" s="689">
        <f>transport!G14</f>
        <v>417175.80546026118</v>
      </c>
      <c r="I20" s="689">
        <f>transport!H14</f>
        <v>94221.258316360894</v>
      </c>
      <c r="J20" s="689">
        <f>transport!I14</f>
        <v>0</v>
      </c>
      <c r="K20" s="689">
        <f>transport!J14</f>
        <v>0</v>
      </c>
      <c r="L20" s="689">
        <f>transport!K14</f>
        <v>0</v>
      </c>
      <c r="M20" s="689">
        <f>transport!L14</f>
        <v>0</v>
      </c>
      <c r="N20" s="689">
        <f>transport!M14</f>
        <v>30037.486923776625</v>
      </c>
      <c r="O20" s="689">
        <f>transport!N14</f>
        <v>0</v>
      </c>
      <c r="P20" s="689">
        <f>transport!O14</f>
        <v>0</v>
      </c>
      <c r="Q20" s="690">
        <f>transport!P14</f>
        <v>0</v>
      </c>
      <c r="R20" s="692">
        <f>SUM(C20:Q20)</f>
        <v>544053.60694108182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327.07554069204934</v>
      </c>
      <c r="D22" s="814">
        <f t="shared" ref="D22:R22" si="1">SUM(D18:D21)</f>
        <v>0</v>
      </c>
      <c r="E22" s="814">
        <f t="shared" si="1"/>
        <v>1468.0841069214096</v>
      </c>
      <c r="F22" s="814">
        <f t="shared" si="1"/>
        <v>823.8965930697334</v>
      </c>
      <c r="G22" s="814">
        <f t="shared" si="1"/>
        <v>0</v>
      </c>
      <c r="H22" s="814">
        <f t="shared" si="1"/>
        <v>426467.32816884888</v>
      </c>
      <c r="I22" s="814">
        <f t="shared" si="1"/>
        <v>94221.258316360894</v>
      </c>
      <c r="J22" s="814">
        <f t="shared" si="1"/>
        <v>0</v>
      </c>
      <c r="K22" s="814">
        <f t="shared" si="1"/>
        <v>0</v>
      </c>
      <c r="L22" s="814">
        <f t="shared" si="1"/>
        <v>0</v>
      </c>
      <c r="M22" s="814">
        <f t="shared" si="1"/>
        <v>0</v>
      </c>
      <c r="N22" s="814">
        <f t="shared" si="1"/>
        <v>30541.697866633091</v>
      </c>
      <c r="O22" s="814">
        <f t="shared" si="1"/>
        <v>0</v>
      </c>
      <c r="P22" s="814">
        <f t="shared" si="1"/>
        <v>0</v>
      </c>
      <c r="Q22" s="814">
        <f t="shared" si="1"/>
        <v>0</v>
      </c>
      <c r="R22" s="814">
        <f t="shared" si="1"/>
        <v>553849.34059252602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3911.3266943121303</v>
      </c>
      <c r="D24" s="689">
        <f>+landbouw!C8</f>
        <v>0</v>
      </c>
      <c r="E24" s="689">
        <f>+landbouw!D8</f>
        <v>842.11554926326539</v>
      </c>
      <c r="F24" s="689">
        <f>+landbouw!E8</f>
        <v>145.86533632580347</v>
      </c>
      <c r="G24" s="689">
        <f>+landbouw!F8</f>
        <v>12689.855192476412</v>
      </c>
      <c r="H24" s="689">
        <f>+landbouw!G8</f>
        <v>0</v>
      </c>
      <c r="I24" s="689">
        <f>+landbouw!H8</f>
        <v>0</v>
      </c>
      <c r="J24" s="689">
        <f>+landbouw!I8</f>
        <v>0</v>
      </c>
      <c r="K24" s="689">
        <f>+landbouw!J8</f>
        <v>1026.7425671135932</v>
      </c>
      <c r="L24" s="689">
        <f>+landbouw!K8</f>
        <v>0</v>
      </c>
      <c r="M24" s="689">
        <f>+landbouw!L8</f>
        <v>0</v>
      </c>
      <c r="N24" s="689">
        <f>+landbouw!M8</f>
        <v>0</v>
      </c>
      <c r="O24" s="689">
        <f>+landbouw!N8</f>
        <v>0</v>
      </c>
      <c r="P24" s="689">
        <f>+landbouw!O8</f>
        <v>0</v>
      </c>
      <c r="Q24" s="690">
        <f>+landbouw!P8</f>
        <v>0</v>
      </c>
      <c r="R24" s="692">
        <f>SUM(C24:Q24)</f>
        <v>18615.905339491204</v>
      </c>
      <c r="S24" s="67"/>
    </row>
    <row r="25" spans="1:19" s="451" customFormat="1" ht="15" thickBot="1">
      <c r="A25" s="833" t="s">
        <v>714</v>
      </c>
      <c r="B25" s="947"/>
      <c r="C25" s="948">
        <f>IF(Onbekend_ele_kWh="---",0,Onbekend_ele_kWh)/1000+IF(REST_rest_ele_kWh="---",0,REST_rest_ele_kWh)/1000</f>
        <v>12649.3873164366</v>
      </c>
      <c r="D25" s="948"/>
      <c r="E25" s="948">
        <f>IF(onbekend_gas_kWh="---",0,onbekend_gas_kWh)/1000+IF(REST_rest_gas_kWh="---",0,REST_rest_gas_kWh)/1000</f>
        <v>18667.992918754298</v>
      </c>
      <c r="F25" s="948"/>
      <c r="G25" s="948"/>
      <c r="H25" s="948"/>
      <c r="I25" s="948"/>
      <c r="J25" s="948"/>
      <c r="K25" s="948"/>
      <c r="L25" s="948"/>
      <c r="M25" s="948"/>
      <c r="N25" s="948"/>
      <c r="O25" s="948"/>
      <c r="P25" s="948"/>
      <c r="Q25" s="949"/>
      <c r="R25" s="692">
        <f>SUM(C25:Q25)</f>
        <v>31317.380235190896</v>
      </c>
      <c r="S25" s="67"/>
    </row>
    <row r="26" spans="1:19" s="451" customFormat="1" ht="15.75" thickBot="1">
      <c r="A26" s="697" t="s">
        <v>715</v>
      </c>
      <c r="B26" s="819"/>
      <c r="C26" s="814">
        <f>SUM(C24:C25)</f>
        <v>16560.714010748728</v>
      </c>
      <c r="D26" s="814">
        <f t="shared" ref="D26:R26" si="2">SUM(D24:D25)</f>
        <v>0</v>
      </c>
      <c r="E26" s="814">
        <f t="shared" si="2"/>
        <v>19510.108468017563</v>
      </c>
      <c r="F26" s="814">
        <f t="shared" si="2"/>
        <v>145.86533632580347</v>
      </c>
      <c r="G26" s="814">
        <f t="shared" si="2"/>
        <v>12689.855192476412</v>
      </c>
      <c r="H26" s="814">
        <f t="shared" si="2"/>
        <v>0</v>
      </c>
      <c r="I26" s="814">
        <f t="shared" si="2"/>
        <v>0</v>
      </c>
      <c r="J26" s="814">
        <f t="shared" si="2"/>
        <v>0</v>
      </c>
      <c r="K26" s="814">
        <f t="shared" si="2"/>
        <v>1026.7425671135932</v>
      </c>
      <c r="L26" s="814">
        <f t="shared" si="2"/>
        <v>0</v>
      </c>
      <c r="M26" s="814">
        <f t="shared" si="2"/>
        <v>0</v>
      </c>
      <c r="N26" s="814">
        <f t="shared" si="2"/>
        <v>0</v>
      </c>
      <c r="O26" s="814">
        <f t="shared" si="2"/>
        <v>0</v>
      </c>
      <c r="P26" s="814">
        <f t="shared" si="2"/>
        <v>0</v>
      </c>
      <c r="Q26" s="814">
        <f t="shared" si="2"/>
        <v>0</v>
      </c>
      <c r="R26" s="814">
        <f t="shared" si="2"/>
        <v>49933.285574682101</v>
      </c>
      <c r="S26" s="67"/>
    </row>
    <row r="27" spans="1:19" s="451" customFormat="1" ht="17.25" thickTop="1" thickBot="1">
      <c r="A27" s="698" t="s">
        <v>115</v>
      </c>
      <c r="B27" s="806"/>
      <c r="C27" s="699">
        <f ca="1">C22+C16+C26</f>
        <v>315498.33547997323</v>
      </c>
      <c r="D27" s="699">
        <f t="shared" ref="D27:R27" ca="1" si="3">D22+D16+D26</f>
        <v>2735.3571428571431</v>
      </c>
      <c r="E27" s="699">
        <f t="shared" ca="1" si="3"/>
        <v>543375.51717836468</v>
      </c>
      <c r="F27" s="699">
        <f t="shared" si="3"/>
        <v>22382.634021064307</v>
      </c>
      <c r="G27" s="699">
        <f t="shared" ca="1" si="3"/>
        <v>36081.45793319623</v>
      </c>
      <c r="H27" s="699">
        <f t="shared" si="3"/>
        <v>426467.32816884888</v>
      </c>
      <c r="I27" s="699">
        <f t="shared" si="3"/>
        <v>94221.258316360894</v>
      </c>
      <c r="J27" s="699">
        <f t="shared" si="3"/>
        <v>0</v>
      </c>
      <c r="K27" s="699">
        <f t="shared" si="3"/>
        <v>3029.1723223308745</v>
      </c>
      <c r="L27" s="699">
        <f t="shared" si="3"/>
        <v>0</v>
      </c>
      <c r="M27" s="699">
        <f t="shared" ca="1" si="3"/>
        <v>0</v>
      </c>
      <c r="N27" s="699">
        <f t="shared" si="3"/>
        <v>30541.697866633091</v>
      </c>
      <c r="O27" s="699">
        <f t="shared" ca="1" si="3"/>
        <v>58167.384334229166</v>
      </c>
      <c r="P27" s="699">
        <f t="shared" si="3"/>
        <v>1397.9389272763403</v>
      </c>
      <c r="Q27" s="699">
        <f t="shared" si="3"/>
        <v>3684.9258842108065</v>
      </c>
      <c r="R27" s="699">
        <f t="shared" ca="1" si="3"/>
        <v>1537583.0075753457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25200.461112865538</v>
      </c>
      <c r="D40" s="689">
        <f ca="1">tertiair!C20</f>
        <v>431.58403361344546</v>
      </c>
      <c r="E40" s="689">
        <f ca="1">tertiair!D20</f>
        <v>32738.046791057139</v>
      </c>
      <c r="F40" s="689">
        <f>tertiair!E20</f>
        <v>69.831399697206663</v>
      </c>
      <c r="G40" s="689">
        <f ca="1">tertiair!F20</f>
        <v>4415.5743082794443</v>
      </c>
      <c r="H40" s="689">
        <f>tertiair!G20</f>
        <v>0</v>
      </c>
      <c r="I40" s="689">
        <f>tertiair!H20</f>
        <v>0</v>
      </c>
      <c r="J40" s="689">
        <f>tertiair!I20</f>
        <v>0</v>
      </c>
      <c r="K40" s="689">
        <f>tertiair!J20</f>
        <v>3.2744046851780999E-2</v>
      </c>
      <c r="L40" s="689">
        <f>tertiair!K20</f>
        <v>0</v>
      </c>
      <c r="M40" s="689">
        <f ca="1">tertiair!L20</f>
        <v>0</v>
      </c>
      <c r="N40" s="689">
        <f>tertiair!M20</f>
        <v>0</v>
      </c>
      <c r="O40" s="689">
        <f ca="1">tertiair!N20</f>
        <v>0</v>
      </c>
      <c r="P40" s="689">
        <f>tertiair!O20</f>
        <v>0</v>
      </c>
      <c r="Q40" s="772">
        <f>tertiair!P20</f>
        <v>0</v>
      </c>
      <c r="R40" s="852">
        <f t="shared" ca="1" si="4"/>
        <v>62855.53038955963</v>
      </c>
    </row>
    <row r="41" spans="1:18">
      <c r="A41" s="824" t="s">
        <v>224</v>
      </c>
      <c r="B41" s="831"/>
      <c r="C41" s="689">
        <f ca="1">huishoudens!B12</f>
        <v>23363.944380866407</v>
      </c>
      <c r="D41" s="689">
        <f ca="1">huishoudens!C12</f>
        <v>0</v>
      </c>
      <c r="E41" s="689">
        <f>huishoudens!D12</f>
        <v>60168.226146370624</v>
      </c>
      <c r="F41" s="689">
        <f>huishoudens!E12</f>
        <v>4724.4882481519126</v>
      </c>
      <c r="G41" s="689">
        <f>huishoudens!F12</f>
        <v>0</v>
      </c>
      <c r="H41" s="689">
        <f>huishoudens!G12</f>
        <v>0</v>
      </c>
      <c r="I41" s="689">
        <f>huishoudens!H12</f>
        <v>0</v>
      </c>
      <c r="J41" s="689">
        <f>huishoudens!I12</f>
        <v>0</v>
      </c>
      <c r="K41" s="689">
        <f>huishoudens!J12</f>
        <v>703.45711830504115</v>
      </c>
      <c r="L41" s="689">
        <f>huishoudens!K12</f>
        <v>0</v>
      </c>
      <c r="M41" s="689">
        <f>huishoudens!L12</f>
        <v>0</v>
      </c>
      <c r="N41" s="689">
        <f>huishoudens!M12</f>
        <v>0</v>
      </c>
      <c r="O41" s="689">
        <f>huishoudens!N12</f>
        <v>0</v>
      </c>
      <c r="P41" s="689">
        <f>huishoudens!O12</f>
        <v>0</v>
      </c>
      <c r="Q41" s="772">
        <f>huishoudens!P12</f>
        <v>0</v>
      </c>
      <c r="R41" s="852">
        <f t="shared" ca="1" si="4"/>
        <v>88960.11589369399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11300.638903770734</v>
      </c>
      <c r="D43" s="689">
        <f ca="1">industrie!C22</f>
        <v>218.46554621848742</v>
      </c>
      <c r="E43" s="689">
        <f>industrie!D22</f>
        <v>12617.986632464252</v>
      </c>
      <c r="F43" s="689">
        <f>industrie!E22</f>
        <v>66.40231695969149</v>
      </c>
      <c r="G43" s="689">
        <f>industrie!F22</f>
        <v>1829.9836234927475</v>
      </c>
      <c r="H43" s="689">
        <f>industrie!G22</f>
        <v>0</v>
      </c>
      <c r="I43" s="689">
        <f>industrie!H22</f>
        <v>0</v>
      </c>
      <c r="J43" s="689">
        <f>industrie!I22</f>
        <v>0</v>
      </c>
      <c r="K43" s="689">
        <f>industrie!J22</f>
        <v>5.3702709950246597</v>
      </c>
      <c r="L43" s="689">
        <f>industrie!K22</f>
        <v>0</v>
      </c>
      <c r="M43" s="689">
        <f>industrie!L22</f>
        <v>0</v>
      </c>
      <c r="N43" s="689">
        <f>industrie!M22</f>
        <v>0</v>
      </c>
      <c r="O43" s="689">
        <f>industrie!N22</f>
        <v>0</v>
      </c>
      <c r="P43" s="689">
        <f>industrie!O22</f>
        <v>0</v>
      </c>
      <c r="Q43" s="772">
        <f>industrie!P22</f>
        <v>0</v>
      </c>
      <c r="R43" s="851">
        <f t="shared" ca="1" si="4"/>
        <v>26038.847293900933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59865.044397502679</v>
      </c>
      <c r="D46" s="725">
        <f t="shared" ref="D46:Q46" ca="1" si="5">SUM(D39:D45)</f>
        <v>650.04957983193287</v>
      </c>
      <c r="E46" s="725">
        <f t="shared" ca="1" si="5"/>
        <v>105524.25956989202</v>
      </c>
      <c r="F46" s="725">
        <f t="shared" si="5"/>
        <v>4860.7219648088103</v>
      </c>
      <c r="G46" s="725">
        <f t="shared" ca="1" si="5"/>
        <v>6245.5579317721913</v>
      </c>
      <c r="H46" s="725">
        <f t="shared" si="5"/>
        <v>0</v>
      </c>
      <c r="I46" s="725">
        <f t="shared" si="5"/>
        <v>0</v>
      </c>
      <c r="J46" s="725">
        <f t="shared" si="5"/>
        <v>0</v>
      </c>
      <c r="K46" s="725">
        <f t="shared" si="5"/>
        <v>708.86013334691756</v>
      </c>
      <c r="L46" s="725">
        <f t="shared" si="5"/>
        <v>0</v>
      </c>
      <c r="M46" s="725">
        <f t="shared" ca="1" si="5"/>
        <v>0</v>
      </c>
      <c r="N46" s="725">
        <f t="shared" si="5"/>
        <v>0</v>
      </c>
      <c r="O46" s="725">
        <f t="shared" ca="1" si="5"/>
        <v>0</v>
      </c>
      <c r="P46" s="725">
        <f t="shared" si="5"/>
        <v>0</v>
      </c>
      <c r="Q46" s="725">
        <f t="shared" si="5"/>
        <v>0</v>
      </c>
      <c r="R46" s="725">
        <f ca="1">SUM(R39:R45)</f>
        <v>177854.49357715456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2480.8365631929173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2480.8365631929173</v>
      </c>
    </row>
    <row r="50" spans="1:18">
      <c r="A50" s="827" t="s">
        <v>306</v>
      </c>
      <c r="B50" s="837"/>
      <c r="C50" s="695">
        <f ca="1">transport!B18</f>
        <v>65.57166862269149</v>
      </c>
      <c r="D50" s="695">
        <f>transport!C18</f>
        <v>0</v>
      </c>
      <c r="E50" s="695">
        <f>transport!D18</f>
        <v>296.55298959812473</v>
      </c>
      <c r="F50" s="695">
        <f>transport!E18</f>
        <v>187.0245266268295</v>
      </c>
      <c r="G50" s="695">
        <f>transport!F18</f>
        <v>0</v>
      </c>
      <c r="H50" s="695">
        <f>transport!G18</f>
        <v>111385.94005788975</v>
      </c>
      <c r="I50" s="695">
        <f>transport!H18</f>
        <v>23461.093320773864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135396.18256351125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65.57166862269149</v>
      </c>
      <c r="D52" s="725">
        <f t="shared" ref="D52:Q52" ca="1" si="6">SUM(D48:D51)</f>
        <v>0</v>
      </c>
      <c r="E52" s="725">
        <f t="shared" si="6"/>
        <v>296.55298959812473</v>
      </c>
      <c r="F52" s="725">
        <f t="shared" si="6"/>
        <v>187.0245266268295</v>
      </c>
      <c r="G52" s="725">
        <f t="shared" si="6"/>
        <v>0</v>
      </c>
      <c r="H52" s="725">
        <f t="shared" si="6"/>
        <v>113866.77662108267</v>
      </c>
      <c r="I52" s="725">
        <f t="shared" si="6"/>
        <v>23461.093320773864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137877.01912670417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784.13756446556806</v>
      </c>
      <c r="D54" s="695">
        <f ca="1">+landbouw!C12</f>
        <v>0</v>
      </c>
      <c r="E54" s="695">
        <f>+landbouw!D12</f>
        <v>170.10734095117962</v>
      </c>
      <c r="F54" s="695">
        <f>+landbouw!E12</f>
        <v>33.111431345957385</v>
      </c>
      <c r="G54" s="695">
        <f>+landbouw!F12</f>
        <v>3388.1913363912022</v>
      </c>
      <c r="H54" s="695">
        <f>+landbouw!G12</f>
        <v>0</v>
      </c>
      <c r="I54" s="695">
        <f>+landbouw!H12</f>
        <v>0</v>
      </c>
      <c r="J54" s="695">
        <f>+landbouw!I12</f>
        <v>0</v>
      </c>
      <c r="K54" s="695">
        <f>+landbouw!J12</f>
        <v>363.46686875821194</v>
      </c>
      <c r="L54" s="695">
        <f>+landbouw!K12</f>
        <v>0</v>
      </c>
      <c r="M54" s="695">
        <f>+landbouw!L12</f>
        <v>0</v>
      </c>
      <c r="N54" s="695">
        <f>+landbouw!M12</f>
        <v>0</v>
      </c>
      <c r="O54" s="695">
        <f>+landbouw!N12</f>
        <v>0</v>
      </c>
      <c r="P54" s="695">
        <f>+landbouw!O12</f>
        <v>0</v>
      </c>
      <c r="Q54" s="696">
        <f>+landbouw!P12</f>
        <v>0</v>
      </c>
      <c r="R54" s="724">
        <f ca="1">SUM(C54:Q54)</f>
        <v>4739.0145419121191</v>
      </c>
    </row>
    <row r="55" spans="1:18" ht="15" thickBot="1">
      <c r="A55" s="827" t="s">
        <v>714</v>
      </c>
      <c r="B55" s="837"/>
      <c r="C55" s="695">
        <f ca="1">C25*'EF ele_warmte'!B12</f>
        <v>2535.9323159367627</v>
      </c>
      <c r="D55" s="695"/>
      <c r="E55" s="695">
        <f>E25*EF_CO2_aardgas</f>
        <v>3770.9345695883685</v>
      </c>
      <c r="F55" s="695"/>
      <c r="G55" s="695"/>
      <c r="H55" s="695"/>
      <c r="I55" s="695"/>
      <c r="J55" s="695"/>
      <c r="K55" s="695"/>
      <c r="L55" s="695"/>
      <c r="M55" s="695"/>
      <c r="N55" s="695"/>
      <c r="O55" s="695"/>
      <c r="P55" s="695"/>
      <c r="Q55" s="696"/>
      <c r="R55" s="724">
        <f ca="1">SUM(C55:Q55)</f>
        <v>6306.8668855251308</v>
      </c>
    </row>
    <row r="56" spans="1:18" ht="15.75" thickBot="1">
      <c r="A56" s="825" t="s">
        <v>715</v>
      </c>
      <c r="B56" s="838"/>
      <c r="C56" s="725">
        <f ca="1">SUM(C54:C55)</f>
        <v>3320.0698804023309</v>
      </c>
      <c r="D56" s="725">
        <f t="shared" ref="D56:Q56" ca="1" si="7">SUM(D54:D55)</f>
        <v>0</v>
      </c>
      <c r="E56" s="725">
        <f t="shared" si="7"/>
        <v>3941.0419105395481</v>
      </c>
      <c r="F56" s="725">
        <f t="shared" si="7"/>
        <v>33.111431345957385</v>
      </c>
      <c r="G56" s="725">
        <f t="shared" si="7"/>
        <v>3388.1913363912022</v>
      </c>
      <c r="H56" s="725">
        <f t="shared" si="7"/>
        <v>0</v>
      </c>
      <c r="I56" s="725">
        <f t="shared" si="7"/>
        <v>0</v>
      </c>
      <c r="J56" s="725">
        <f t="shared" si="7"/>
        <v>0</v>
      </c>
      <c r="K56" s="725">
        <f t="shared" si="7"/>
        <v>363.46686875821194</v>
      </c>
      <c r="L56" s="725">
        <f t="shared" si="7"/>
        <v>0</v>
      </c>
      <c r="M56" s="725">
        <f t="shared" si="7"/>
        <v>0</v>
      </c>
      <c r="N56" s="725">
        <f t="shared" si="7"/>
        <v>0</v>
      </c>
      <c r="O56" s="725">
        <f t="shared" si="7"/>
        <v>0</v>
      </c>
      <c r="P56" s="725">
        <f t="shared" si="7"/>
        <v>0</v>
      </c>
      <c r="Q56" s="726">
        <f t="shared" si="7"/>
        <v>0</v>
      </c>
      <c r="R56" s="727">
        <f ca="1">SUM(R54:R55)</f>
        <v>11045.881427437249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63250.685946527701</v>
      </c>
      <c r="D61" s="733">
        <f t="shared" ref="D61:Q61" ca="1" si="8">D46+D52+D56</f>
        <v>650.04957983193287</v>
      </c>
      <c r="E61" s="733">
        <f t="shared" ca="1" si="8"/>
        <v>109761.85447002969</v>
      </c>
      <c r="F61" s="733">
        <f t="shared" si="8"/>
        <v>5080.8579227815972</v>
      </c>
      <c r="G61" s="733">
        <f t="shared" ca="1" si="8"/>
        <v>9633.7492681633939</v>
      </c>
      <c r="H61" s="733">
        <f t="shared" si="8"/>
        <v>113866.77662108267</v>
      </c>
      <c r="I61" s="733">
        <f t="shared" si="8"/>
        <v>23461.093320773864</v>
      </c>
      <c r="J61" s="733">
        <f t="shared" si="8"/>
        <v>0</v>
      </c>
      <c r="K61" s="733">
        <f t="shared" si="8"/>
        <v>1072.3270021051294</v>
      </c>
      <c r="L61" s="733">
        <f t="shared" si="8"/>
        <v>0</v>
      </c>
      <c r="M61" s="733">
        <f t="shared" ca="1" si="8"/>
        <v>0</v>
      </c>
      <c r="N61" s="733">
        <f t="shared" si="8"/>
        <v>0</v>
      </c>
      <c r="O61" s="733">
        <f t="shared" ca="1" si="8"/>
        <v>0</v>
      </c>
      <c r="P61" s="733">
        <f t="shared" si="8"/>
        <v>0</v>
      </c>
      <c r="Q61" s="733">
        <f t="shared" si="8"/>
        <v>0</v>
      </c>
      <c r="R61" s="733">
        <f ca="1">R46+R52+R56</f>
        <v>326777.39413129597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0.20047866766175901</v>
      </c>
      <c r="D63" s="779">
        <f t="shared" ca="1" si="9"/>
        <v>0.23764705882352943</v>
      </c>
      <c r="E63" s="973">
        <f t="shared" ca="1" si="9"/>
        <v>0.20200000000000004</v>
      </c>
      <c r="F63" s="779">
        <f t="shared" si="9"/>
        <v>0.22699999999999998</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29440.36719651008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1914.75</v>
      </c>
      <c r="D76" s="956">
        <f>'lokale energieproductie'!C8</f>
        <v>2252.6470588235297</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455.03470588235302</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29440.36719651008</v>
      </c>
      <c r="C78" s="751">
        <f>SUM(C72:C77)</f>
        <v>1914.75</v>
      </c>
      <c r="D78" s="752">
        <f t="shared" ref="D78:H78" si="10">SUM(D76:D77)</f>
        <v>2252.6470588235297</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455.03470588235302</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2735.3571428571431</v>
      </c>
      <c r="D87" s="775">
        <f>'lokale energieproductie'!C17</f>
        <v>3218.0672268907565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650.04957983193287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2735.3571428571431</v>
      </c>
      <c r="D90" s="751">
        <f t="shared" ref="D90:H90" si="12">SUM(D87:D89)</f>
        <v>3218.0672268907565</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650.04957983193287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29440.36719651008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1914.75</v>
      </c>
      <c r="C8" s="551">
        <f>B51</f>
        <v>2252.6470588235297</v>
      </c>
      <c r="D8" s="552"/>
      <c r="E8" s="552">
        <f>E51</f>
        <v>0</v>
      </c>
      <c r="F8" s="553"/>
      <c r="G8" s="554"/>
      <c r="H8" s="552">
        <f>I51</f>
        <v>0</v>
      </c>
      <c r="I8" s="552">
        <f>G51+F51</f>
        <v>0</v>
      </c>
      <c r="J8" s="552">
        <f>H51+D51+C51</f>
        <v>0</v>
      </c>
      <c r="K8" s="552"/>
      <c r="L8" s="552"/>
      <c r="M8" s="552"/>
      <c r="N8" s="555"/>
      <c r="O8" s="556">
        <f>C8*$C$12+D8*$D$12+E8*$E$12+F8*$F$12+G8*$G$12+H8*$H$12+I8*$I$12+J8*$J$12</f>
        <v>455.03470588235302</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31355.11719651008</v>
      </c>
      <c r="C10" s="566">
        <f t="shared" ref="C10:L10" si="0">SUM(C8:C9)</f>
        <v>2252.6470588235297</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455.03470588235302</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2735.3571428571431</v>
      </c>
      <c r="C17" s="582">
        <f>B52</f>
        <v>3218.0672268907565</v>
      </c>
      <c r="D17" s="583"/>
      <c r="E17" s="583">
        <f>E52</f>
        <v>0</v>
      </c>
      <c r="F17" s="584"/>
      <c r="G17" s="585"/>
      <c r="H17" s="582">
        <f>I52</f>
        <v>0</v>
      </c>
      <c r="I17" s="583">
        <f>G52+F52</f>
        <v>0</v>
      </c>
      <c r="J17" s="583">
        <f>H52+D52+C52</f>
        <v>0</v>
      </c>
      <c r="K17" s="583"/>
      <c r="L17" s="583"/>
      <c r="M17" s="583"/>
      <c r="N17" s="970"/>
      <c r="O17" s="586">
        <f>C17*$C$22+E17*$E$22+H17*$H$22+I17*$I$22+J17*$J$22+D17*$D$22+F17*$F$22+G17*$G$22+K17*$K$22+L17*$L$22</f>
        <v>650.04957983193287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2735.3571428571431</v>
      </c>
      <c r="C20" s="565">
        <f>SUM(C17:C19)</f>
        <v>3218.0672268907565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650.04957983193287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46021</v>
      </c>
      <c r="C28" s="794">
        <v>9100</v>
      </c>
      <c r="D28" s="643" t="s">
        <v>865</v>
      </c>
      <c r="E28" s="642" t="s">
        <v>866</v>
      </c>
      <c r="F28" s="642" t="s">
        <v>867</v>
      </c>
      <c r="G28" s="642" t="s">
        <v>868</v>
      </c>
      <c r="H28" s="642" t="s">
        <v>869</v>
      </c>
      <c r="I28" s="642" t="s">
        <v>866</v>
      </c>
      <c r="J28" s="793">
        <v>40688</v>
      </c>
      <c r="K28" s="793">
        <v>40787</v>
      </c>
      <c r="L28" s="642" t="s">
        <v>870</v>
      </c>
      <c r="M28" s="642">
        <v>5</v>
      </c>
      <c r="N28" s="642">
        <v>22.5</v>
      </c>
      <c r="O28" s="642">
        <v>32.142857142857146</v>
      </c>
      <c r="P28" s="642">
        <v>64.285714285714292</v>
      </c>
      <c r="Q28" s="642">
        <v>0</v>
      </c>
      <c r="R28" s="642">
        <v>0</v>
      </c>
      <c r="S28" s="642">
        <v>0</v>
      </c>
      <c r="T28" s="642">
        <v>0</v>
      </c>
      <c r="U28" s="642">
        <v>0</v>
      </c>
      <c r="V28" s="642">
        <v>0</v>
      </c>
      <c r="W28" s="642">
        <v>0</v>
      </c>
      <c r="X28" s="642">
        <v>1600</v>
      </c>
      <c r="Y28" s="642" t="s">
        <v>49</v>
      </c>
      <c r="Z28" s="644" t="s">
        <v>155</v>
      </c>
    </row>
    <row r="29" spans="1:26" s="596" customFormat="1" ht="25.5">
      <c r="A29" s="595"/>
      <c r="B29" s="794">
        <v>46021</v>
      </c>
      <c r="C29" s="794">
        <v>9100</v>
      </c>
      <c r="D29" s="643" t="s">
        <v>871</v>
      </c>
      <c r="E29" s="642" t="s">
        <v>872</v>
      </c>
      <c r="F29" s="642" t="s">
        <v>873</v>
      </c>
      <c r="G29" s="642" t="s">
        <v>868</v>
      </c>
      <c r="H29" s="642" t="s">
        <v>869</v>
      </c>
      <c r="I29" s="642" t="s">
        <v>872</v>
      </c>
      <c r="J29" s="793">
        <v>40735</v>
      </c>
      <c r="K29" s="793">
        <v>40817</v>
      </c>
      <c r="L29" s="642" t="s">
        <v>870</v>
      </c>
      <c r="M29" s="642">
        <v>5.5</v>
      </c>
      <c r="N29" s="642">
        <v>24.75</v>
      </c>
      <c r="O29" s="642">
        <v>35.357142857142861</v>
      </c>
      <c r="P29" s="642">
        <v>70.714285714285722</v>
      </c>
      <c r="Q29" s="642">
        <v>0</v>
      </c>
      <c r="R29" s="642">
        <v>0</v>
      </c>
      <c r="S29" s="642">
        <v>0</v>
      </c>
      <c r="T29" s="642">
        <v>0</v>
      </c>
      <c r="U29" s="642">
        <v>0</v>
      </c>
      <c r="V29" s="642">
        <v>0</v>
      </c>
      <c r="W29" s="642">
        <v>0</v>
      </c>
      <c r="X29" s="642">
        <v>1300</v>
      </c>
      <c r="Y29" s="642" t="s">
        <v>53</v>
      </c>
      <c r="Z29" s="644" t="s">
        <v>155</v>
      </c>
    </row>
    <row r="30" spans="1:26" s="596" customFormat="1" ht="38.25">
      <c r="A30" s="595"/>
      <c r="B30" s="794">
        <v>46021</v>
      </c>
      <c r="C30" s="794">
        <v>9100</v>
      </c>
      <c r="D30" s="643" t="s">
        <v>874</v>
      </c>
      <c r="E30" s="642" t="s">
        <v>875</v>
      </c>
      <c r="F30" s="642" t="s">
        <v>876</v>
      </c>
      <c r="G30" s="642" t="s">
        <v>868</v>
      </c>
      <c r="H30" s="642" t="s">
        <v>869</v>
      </c>
      <c r="I30" s="642" t="s">
        <v>875</v>
      </c>
      <c r="J30" s="793">
        <v>41418</v>
      </c>
      <c r="K30" s="793">
        <v>41333</v>
      </c>
      <c r="L30" s="642" t="s">
        <v>870</v>
      </c>
      <c r="M30" s="642">
        <v>143</v>
      </c>
      <c r="N30" s="642">
        <v>643.5</v>
      </c>
      <c r="O30" s="642">
        <v>919.28571428571433</v>
      </c>
      <c r="P30" s="642">
        <v>1838.5714285714287</v>
      </c>
      <c r="Q30" s="642">
        <v>0</v>
      </c>
      <c r="R30" s="642">
        <v>0</v>
      </c>
      <c r="S30" s="642">
        <v>0</v>
      </c>
      <c r="T30" s="642">
        <v>0</v>
      </c>
      <c r="U30" s="642">
        <v>0</v>
      </c>
      <c r="V30" s="642">
        <v>0</v>
      </c>
      <c r="W30" s="642">
        <v>0</v>
      </c>
      <c r="X30" s="642">
        <v>500</v>
      </c>
      <c r="Y30" s="642" t="s">
        <v>40</v>
      </c>
      <c r="Z30" s="644" t="s">
        <v>385</v>
      </c>
    </row>
    <row r="31" spans="1:26" s="596" customFormat="1" ht="25.5">
      <c r="A31" s="595"/>
      <c r="B31" s="794">
        <v>46021</v>
      </c>
      <c r="C31" s="794">
        <v>9100</v>
      </c>
      <c r="D31" s="643" t="s">
        <v>877</v>
      </c>
      <c r="E31" s="642" t="s">
        <v>878</v>
      </c>
      <c r="F31" s="642" t="s">
        <v>879</v>
      </c>
      <c r="G31" s="642" t="s">
        <v>880</v>
      </c>
      <c r="H31" s="642" t="s">
        <v>869</v>
      </c>
      <c r="I31" s="642" t="s">
        <v>881</v>
      </c>
      <c r="J31" s="793">
        <v>43223</v>
      </c>
      <c r="K31" s="793">
        <v>43260</v>
      </c>
      <c r="L31" s="642" t="s">
        <v>882</v>
      </c>
      <c r="M31" s="642">
        <v>272</v>
      </c>
      <c r="N31" s="642">
        <v>1224</v>
      </c>
      <c r="O31" s="642">
        <v>1748.5714285714287</v>
      </c>
      <c r="P31" s="642">
        <v>3497.1428571428573</v>
      </c>
      <c r="Q31" s="642">
        <v>0</v>
      </c>
      <c r="R31" s="642">
        <v>0</v>
      </c>
      <c r="S31" s="642">
        <v>0</v>
      </c>
      <c r="T31" s="642">
        <v>0</v>
      </c>
      <c r="U31" s="642">
        <v>0</v>
      </c>
      <c r="V31" s="642">
        <v>0</v>
      </c>
      <c r="W31" s="642">
        <v>0</v>
      </c>
      <c r="X31" s="642">
        <v>500</v>
      </c>
      <c r="Y31" s="642" t="s">
        <v>40</v>
      </c>
      <c r="Z31" s="644" t="s">
        <v>155</v>
      </c>
    </row>
    <row r="32" spans="1:26" s="576" customFormat="1">
      <c r="A32" s="598" t="s">
        <v>279</v>
      </c>
      <c r="B32" s="599"/>
      <c r="C32" s="599"/>
      <c r="D32" s="599"/>
      <c r="E32" s="599"/>
      <c r="F32" s="599"/>
      <c r="G32" s="599"/>
      <c r="H32" s="599"/>
      <c r="I32" s="599"/>
      <c r="J32" s="599"/>
      <c r="K32" s="599"/>
      <c r="L32" s="600"/>
      <c r="M32" s="600">
        <f>SUM(M28:M31)</f>
        <v>425.5</v>
      </c>
      <c r="N32" s="600">
        <f>SUM(N28:N31)</f>
        <v>1914.75</v>
      </c>
      <c r="O32" s="600">
        <f>SUM(O28:O31)</f>
        <v>2735.3571428571431</v>
      </c>
      <c r="P32" s="600">
        <f>SUM(P28:P31)</f>
        <v>5470.7142857142862</v>
      </c>
      <c r="Q32" s="600">
        <f>SUM(Q28:Q31)</f>
        <v>0</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143</v>
      </c>
      <c r="N33" s="600">
        <f>SUMIF($Z$28:$Z$31,"industrie",N28:N31)</f>
        <v>643.5</v>
      </c>
      <c r="O33" s="600">
        <f>SUMIF($Z$28:$Z$31,"industrie",O28:O31)</f>
        <v>919.28571428571433</v>
      </c>
      <c r="P33" s="600">
        <f>SUMIF($Z$28:$Z$31,"industrie",P28:P31)</f>
        <v>1838.5714285714287</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282.5</v>
      </c>
      <c r="N34" s="600">
        <f ca="1">SUMIF($Z$28:AD31,"tertiair",N28:N31)</f>
        <v>1271.25</v>
      </c>
      <c r="O34" s="600">
        <f ca="1">SUMIF($Z$28:AE31,"tertiair",O28:O31)</f>
        <v>1816.0714285714287</v>
      </c>
      <c r="P34" s="600">
        <f ca="1">SUMIF($Z$28:AF31,"tertiair",P28:P31)</f>
        <v>3632.1428571428573</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0</v>
      </c>
      <c r="N35" s="605">
        <f>SUMIF($Z$28:$Z$31,"landbouw",N28:N31)</f>
        <v>0</v>
      </c>
      <c r="O35" s="605">
        <f>SUMIF($Z$28:$Z$31,"landbouw",O28:O31)</f>
        <v>0</v>
      </c>
      <c r="P35" s="605">
        <f>SUMIF($Z$28:$Z$31,"landbouw",P28:P31)</f>
        <v>0</v>
      </c>
      <c r="Q35" s="605">
        <f>SUMIF($Z$28:$Z$31,"landbouw",Q28:Q31)</f>
        <v>0</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0.58823529411764708</v>
      </c>
      <c r="C48" s="625">
        <f>IF(ISERROR(N32/(O32+N32)),0,N32/(N32+O32))</f>
        <v>0.41176470588235292</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2252.6470588235297</v>
      </c>
      <c r="C51" s="634">
        <f t="shared" si="2"/>
        <v>0</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3218.0672268907565</v>
      </c>
      <c r="C52" s="637">
        <f t="shared" si="3"/>
        <v>0</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116540.80034233509</v>
      </c>
      <c r="C4" s="455">
        <f>huishoudens!C8</f>
        <v>0</v>
      </c>
      <c r="D4" s="455">
        <f>huishoudens!D8</f>
        <v>297862.50567510206</v>
      </c>
      <c r="E4" s="455">
        <f>huishoudens!E8</f>
        <v>20812.723560140585</v>
      </c>
      <c r="F4" s="455">
        <f>huishoudens!F8</f>
        <v>0</v>
      </c>
      <c r="G4" s="455">
        <f>huishoudens!G8</f>
        <v>0</v>
      </c>
      <c r="H4" s="455">
        <f>huishoudens!H8</f>
        <v>0</v>
      </c>
      <c r="I4" s="455">
        <f>huishoudens!I8</f>
        <v>0</v>
      </c>
      <c r="J4" s="455">
        <f>huishoudens!J8</f>
        <v>1987.1670008616984</v>
      </c>
      <c r="K4" s="455">
        <f>huishoudens!K8</f>
        <v>0</v>
      </c>
      <c r="L4" s="455">
        <f>huishoudens!L8</f>
        <v>0</v>
      </c>
      <c r="M4" s="455">
        <f>huishoudens!M8</f>
        <v>0</v>
      </c>
      <c r="N4" s="455">
        <f>huishoudens!N8</f>
        <v>52618.60084029501</v>
      </c>
      <c r="O4" s="455">
        <f>huishoudens!O8</f>
        <v>1339.1717980862466</v>
      </c>
      <c r="P4" s="456">
        <f>huishoudens!P8</f>
        <v>2896.8388096133813</v>
      </c>
      <c r="Q4" s="457">
        <f>SUM(B4:P4)</f>
        <v>494057.8080264341</v>
      </c>
    </row>
    <row r="5" spans="1:17">
      <c r="A5" s="454" t="s">
        <v>155</v>
      </c>
      <c r="B5" s="455">
        <f ca="1">tertiair!B16</f>
        <v>122425.47744596422</v>
      </c>
      <c r="C5" s="455">
        <f ca="1">tertiair!C16</f>
        <v>1816.0714285714287</v>
      </c>
      <c r="D5" s="455">
        <f ca="1">tertiair!D16</f>
        <v>162069.53856958979</v>
      </c>
      <c r="E5" s="455">
        <f>tertiair!E16</f>
        <v>307.62731144143902</v>
      </c>
      <c r="F5" s="455">
        <f ca="1">tertiair!F16</f>
        <v>16537.731491683309</v>
      </c>
      <c r="G5" s="455">
        <f>tertiair!G16</f>
        <v>0</v>
      </c>
      <c r="H5" s="455">
        <f>tertiair!H16</f>
        <v>0</v>
      </c>
      <c r="I5" s="455">
        <f>tertiair!I16</f>
        <v>0</v>
      </c>
      <c r="J5" s="455">
        <f>tertiair!J16</f>
        <v>9.2497307490906774E-2</v>
      </c>
      <c r="K5" s="455">
        <f>tertiair!K16</f>
        <v>0</v>
      </c>
      <c r="L5" s="455">
        <f ca="1">tertiair!L16</f>
        <v>0</v>
      </c>
      <c r="M5" s="455">
        <f>tertiair!M16</f>
        <v>0</v>
      </c>
      <c r="N5" s="455">
        <f ca="1">tertiair!N16</f>
        <v>3537.133470237357</v>
      </c>
      <c r="O5" s="455">
        <f>tertiair!O16</f>
        <v>58.767129190093854</v>
      </c>
      <c r="P5" s="456">
        <f>tertiair!P16</f>
        <v>788.08707459742516</v>
      </c>
      <c r="Q5" s="454">
        <f t="shared" ref="Q5:Q14" ca="1" si="0">SUM(B5:P5)</f>
        <v>307540.52641858259</v>
      </c>
    </row>
    <row r="6" spans="1:17">
      <c r="A6" s="454" t="s">
        <v>193</v>
      </c>
      <c r="B6" s="455">
        <f>'openbare verlichting'!B8</f>
        <v>3275.982</v>
      </c>
      <c r="C6" s="455"/>
      <c r="D6" s="455"/>
      <c r="E6" s="455"/>
      <c r="F6" s="455"/>
      <c r="G6" s="455"/>
      <c r="H6" s="455"/>
      <c r="I6" s="455"/>
      <c r="J6" s="455"/>
      <c r="K6" s="455"/>
      <c r="L6" s="455"/>
      <c r="M6" s="455"/>
      <c r="N6" s="455"/>
      <c r="O6" s="455"/>
      <c r="P6" s="456"/>
      <c r="Q6" s="454">
        <f t="shared" si="0"/>
        <v>3275.982</v>
      </c>
    </row>
    <row r="7" spans="1:17">
      <c r="A7" s="454" t="s">
        <v>111</v>
      </c>
      <c r="B7" s="455">
        <f>landbouw!B8</f>
        <v>3911.3266943121303</v>
      </c>
      <c r="C7" s="455">
        <f>landbouw!C8</f>
        <v>0</v>
      </c>
      <c r="D7" s="455">
        <f>landbouw!D8</f>
        <v>842.11554926326539</v>
      </c>
      <c r="E7" s="455">
        <f>landbouw!E8</f>
        <v>145.86533632580347</v>
      </c>
      <c r="F7" s="455">
        <f>landbouw!F8</f>
        <v>12689.855192476412</v>
      </c>
      <c r="G7" s="455">
        <f>landbouw!G8</f>
        <v>0</v>
      </c>
      <c r="H7" s="455">
        <f>landbouw!H8</f>
        <v>0</v>
      </c>
      <c r="I7" s="455">
        <f>landbouw!I8</f>
        <v>0</v>
      </c>
      <c r="J7" s="455">
        <f>landbouw!J8</f>
        <v>1026.7425671135932</v>
      </c>
      <c r="K7" s="455">
        <f>landbouw!K8</f>
        <v>0</v>
      </c>
      <c r="L7" s="455">
        <f>landbouw!L8</f>
        <v>0</v>
      </c>
      <c r="M7" s="455">
        <f>landbouw!M8</f>
        <v>0</v>
      </c>
      <c r="N7" s="455">
        <f>landbouw!N8</f>
        <v>0</v>
      </c>
      <c r="O7" s="455">
        <f>landbouw!O8</f>
        <v>0</v>
      </c>
      <c r="P7" s="456">
        <f>landbouw!P8</f>
        <v>0</v>
      </c>
      <c r="Q7" s="454">
        <f t="shared" si="0"/>
        <v>18615.905339491204</v>
      </c>
    </row>
    <row r="8" spans="1:17">
      <c r="A8" s="454" t="s">
        <v>626</v>
      </c>
      <c r="B8" s="455">
        <f>industrie!B18</f>
        <v>56368.286140233133</v>
      </c>
      <c r="C8" s="455">
        <f>industrie!C18</f>
        <v>919.28571428571433</v>
      </c>
      <c r="D8" s="455">
        <f>industrie!D18</f>
        <v>62465.280358733915</v>
      </c>
      <c r="E8" s="455">
        <f>industrie!E18</f>
        <v>292.52122008674667</v>
      </c>
      <c r="F8" s="455">
        <f>industrie!F18</f>
        <v>6853.8712490365069</v>
      </c>
      <c r="G8" s="455">
        <f>industrie!G18</f>
        <v>0</v>
      </c>
      <c r="H8" s="455">
        <f>industrie!H18</f>
        <v>0</v>
      </c>
      <c r="I8" s="455">
        <f>industrie!I18</f>
        <v>0</v>
      </c>
      <c r="J8" s="455">
        <f>industrie!J18</f>
        <v>15.170257048092259</v>
      </c>
      <c r="K8" s="455">
        <f>industrie!K18</f>
        <v>0</v>
      </c>
      <c r="L8" s="455">
        <f>industrie!L18</f>
        <v>0</v>
      </c>
      <c r="M8" s="455">
        <f>industrie!M18</f>
        <v>0</v>
      </c>
      <c r="N8" s="455">
        <f>industrie!N18</f>
        <v>2011.6500236967991</v>
      </c>
      <c r="O8" s="455">
        <f>industrie!O18</f>
        <v>0</v>
      </c>
      <c r="P8" s="456">
        <f>industrie!P18</f>
        <v>0</v>
      </c>
      <c r="Q8" s="454">
        <f t="shared" si="0"/>
        <v>128926.06496312094</v>
      </c>
    </row>
    <row r="9" spans="1:17" s="460" customFormat="1">
      <c r="A9" s="458" t="s">
        <v>552</v>
      </c>
      <c r="B9" s="459">
        <f>transport!B14</f>
        <v>327.07554069204934</v>
      </c>
      <c r="C9" s="459">
        <f>transport!C14</f>
        <v>0</v>
      </c>
      <c r="D9" s="459">
        <f>transport!D14</f>
        <v>1468.0841069214096</v>
      </c>
      <c r="E9" s="459">
        <f>transport!E14</f>
        <v>823.8965930697334</v>
      </c>
      <c r="F9" s="459">
        <f>transport!F14</f>
        <v>0</v>
      </c>
      <c r="G9" s="459">
        <f>transport!G14</f>
        <v>417175.80546026118</v>
      </c>
      <c r="H9" s="459">
        <f>transport!H14</f>
        <v>94221.258316360894</v>
      </c>
      <c r="I9" s="459">
        <f>transport!I14</f>
        <v>0</v>
      </c>
      <c r="J9" s="459">
        <f>transport!J14</f>
        <v>0</v>
      </c>
      <c r="K9" s="459">
        <f>transport!K14</f>
        <v>0</v>
      </c>
      <c r="L9" s="459">
        <f>transport!L14</f>
        <v>0</v>
      </c>
      <c r="M9" s="459">
        <f>transport!M14</f>
        <v>30037.486923776625</v>
      </c>
      <c r="N9" s="459">
        <f>transport!N14</f>
        <v>0</v>
      </c>
      <c r="O9" s="459">
        <f>transport!O14</f>
        <v>0</v>
      </c>
      <c r="P9" s="459">
        <f>transport!P14</f>
        <v>0</v>
      </c>
      <c r="Q9" s="458">
        <f>SUM(B9:P9)</f>
        <v>544053.60694108182</v>
      </c>
    </row>
    <row r="10" spans="1:17">
      <c r="A10" s="454" t="s">
        <v>542</v>
      </c>
      <c r="B10" s="455">
        <f>transport!B54</f>
        <v>0</v>
      </c>
      <c r="C10" s="455">
        <f>transport!C54</f>
        <v>0</v>
      </c>
      <c r="D10" s="455">
        <f>transport!D54</f>
        <v>0</v>
      </c>
      <c r="E10" s="455">
        <f>transport!E54</f>
        <v>0</v>
      </c>
      <c r="F10" s="455">
        <f>transport!F54</f>
        <v>0</v>
      </c>
      <c r="G10" s="455">
        <f>transport!G54</f>
        <v>9291.522708587705</v>
      </c>
      <c r="H10" s="455">
        <f>transport!H54</f>
        <v>0</v>
      </c>
      <c r="I10" s="455">
        <f>transport!I54</f>
        <v>0</v>
      </c>
      <c r="J10" s="455">
        <f>transport!J54</f>
        <v>0</v>
      </c>
      <c r="K10" s="455">
        <f>transport!K54</f>
        <v>0</v>
      </c>
      <c r="L10" s="455">
        <f>transport!L54</f>
        <v>0</v>
      </c>
      <c r="M10" s="455">
        <f>transport!M54</f>
        <v>504.21094285646603</v>
      </c>
      <c r="N10" s="455">
        <f>transport!N54</f>
        <v>0</v>
      </c>
      <c r="O10" s="455">
        <f>transport!O54</f>
        <v>0</v>
      </c>
      <c r="P10" s="456">
        <f>transport!P54</f>
        <v>0</v>
      </c>
      <c r="Q10" s="454">
        <f t="shared" si="0"/>
        <v>9795.7336514441704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12649.3873164366</v>
      </c>
      <c r="C14" s="462"/>
      <c r="D14" s="462">
        <f>'SEAP template'!E25</f>
        <v>18667.992918754298</v>
      </c>
      <c r="E14" s="462"/>
      <c r="F14" s="462"/>
      <c r="G14" s="462"/>
      <c r="H14" s="462"/>
      <c r="I14" s="462"/>
      <c r="J14" s="462"/>
      <c r="K14" s="462"/>
      <c r="L14" s="462"/>
      <c r="M14" s="462"/>
      <c r="N14" s="462"/>
      <c r="O14" s="462"/>
      <c r="P14" s="463"/>
      <c r="Q14" s="454">
        <f t="shared" si="0"/>
        <v>31317.380235190896</v>
      </c>
    </row>
    <row r="15" spans="1:17" s="466" customFormat="1">
      <c r="A15" s="464" t="s">
        <v>546</v>
      </c>
      <c r="B15" s="465">
        <f ca="1">SUM(B4:B14)</f>
        <v>315498.33547997318</v>
      </c>
      <c r="C15" s="465">
        <f t="shared" ref="C15:Q15" ca="1" si="1">SUM(C4:C14)</f>
        <v>2735.3571428571431</v>
      </c>
      <c r="D15" s="465">
        <f t="shared" ca="1" si="1"/>
        <v>543375.5171783648</v>
      </c>
      <c r="E15" s="465">
        <f t="shared" si="1"/>
        <v>22382.634021064307</v>
      </c>
      <c r="F15" s="465">
        <f t="shared" ca="1" si="1"/>
        <v>36081.45793319623</v>
      </c>
      <c r="G15" s="465">
        <f t="shared" si="1"/>
        <v>426467.32816884888</v>
      </c>
      <c r="H15" s="465">
        <f t="shared" si="1"/>
        <v>94221.258316360894</v>
      </c>
      <c r="I15" s="465">
        <f t="shared" si="1"/>
        <v>0</v>
      </c>
      <c r="J15" s="465">
        <f t="shared" si="1"/>
        <v>3029.172322330875</v>
      </c>
      <c r="K15" s="465">
        <f t="shared" si="1"/>
        <v>0</v>
      </c>
      <c r="L15" s="465">
        <f t="shared" ca="1" si="1"/>
        <v>0</v>
      </c>
      <c r="M15" s="465">
        <f t="shared" si="1"/>
        <v>30541.697866633091</v>
      </c>
      <c r="N15" s="465">
        <f t="shared" ca="1" si="1"/>
        <v>58167.384334229166</v>
      </c>
      <c r="O15" s="465">
        <f t="shared" si="1"/>
        <v>1397.9389272763403</v>
      </c>
      <c r="P15" s="465">
        <f t="shared" si="1"/>
        <v>3684.9258842108065</v>
      </c>
      <c r="Q15" s="465">
        <f t="shared" ca="1" si="1"/>
        <v>1537583.0075753457</v>
      </c>
    </row>
    <row r="17" spans="1:17">
      <c r="A17" s="467" t="s">
        <v>547</v>
      </c>
      <c r="B17" s="784">
        <f ca="1">huishoudens!B10</f>
        <v>0.20047866766175901</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23363.944380866407</v>
      </c>
      <c r="C22" s="455">
        <f t="shared" ref="C22:C32" ca="1" si="3">C4*$C$17</f>
        <v>0</v>
      </c>
      <c r="D22" s="455">
        <f t="shared" ref="D22:D32" si="4">D4*$D$17</f>
        <v>60168.226146370624</v>
      </c>
      <c r="E22" s="455">
        <f t="shared" ref="E22:E32" si="5">E4*$E$17</f>
        <v>4724.4882481519126</v>
      </c>
      <c r="F22" s="455">
        <f t="shared" ref="F22:F32" si="6">F4*$F$17</f>
        <v>0</v>
      </c>
      <c r="G22" s="455">
        <f t="shared" ref="G22:G32" si="7">G4*$G$17</f>
        <v>0</v>
      </c>
      <c r="H22" s="455">
        <f t="shared" ref="H22:H32" si="8">H4*$H$17</f>
        <v>0</v>
      </c>
      <c r="I22" s="455">
        <f t="shared" ref="I22:I32" si="9">I4*$I$17</f>
        <v>0</v>
      </c>
      <c r="J22" s="455">
        <f t="shared" ref="J22:J32" si="10">J4*$J$17</f>
        <v>703.45711830504115</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88960.11589369399</v>
      </c>
    </row>
    <row r="23" spans="1:17">
      <c r="A23" s="454" t="s">
        <v>155</v>
      </c>
      <c r="B23" s="455">
        <f t="shared" ca="1" si="2"/>
        <v>24543.696606221634</v>
      </c>
      <c r="C23" s="455">
        <f t="shared" ca="1" si="3"/>
        <v>431.58403361344546</v>
      </c>
      <c r="D23" s="455">
        <f t="shared" ca="1" si="4"/>
        <v>32738.046791057139</v>
      </c>
      <c r="E23" s="455">
        <f t="shared" si="5"/>
        <v>69.831399697206663</v>
      </c>
      <c r="F23" s="455">
        <f t="shared" ca="1" si="6"/>
        <v>4415.5743082794443</v>
      </c>
      <c r="G23" s="455">
        <f t="shared" si="7"/>
        <v>0</v>
      </c>
      <c r="H23" s="455">
        <f t="shared" si="8"/>
        <v>0</v>
      </c>
      <c r="I23" s="455">
        <f t="shared" si="9"/>
        <v>0</v>
      </c>
      <c r="J23" s="455">
        <f t="shared" si="10"/>
        <v>3.2744046851780999E-2</v>
      </c>
      <c r="K23" s="455">
        <f t="shared" si="11"/>
        <v>0</v>
      </c>
      <c r="L23" s="455">
        <f t="shared" ca="1" si="12"/>
        <v>0</v>
      </c>
      <c r="M23" s="455">
        <f t="shared" si="13"/>
        <v>0</v>
      </c>
      <c r="N23" s="455">
        <f t="shared" ca="1" si="14"/>
        <v>0</v>
      </c>
      <c r="O23" s="455">
        <f t="shared" si="15"/>
        <v>0</v>
      </c>
      <c r="P23" s="456">
        <f t="shared" si="16"/>
        <v>0</v>
      </c>
      <c r="Q23" s="454">
        <f t="shared" ref="Q23:Q31" ca="1" si="17">SUM(B23:P23)</f>
        <v>62198.765882915723</v>
      </c>
    </row>
    <row r="24" spans="1:17">
      <c r="A24" s="454" t="s">
        <v>193</v>
      </c>
      <c r="B24" s="455">
        <f t="shared" ca="1" si="2"/>
        <v>656.76450664390461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656.76450664390461</v>
      </c>
    </row>
    <row r="25" spans="1:17">
      <c r="A25" s="454" t="s">
        <v>111</v>
      </c>
      <c r="B25" s="455">
        <f t="shared" ca="1" si="2"/>
        <v>784.13756446556806</v>
      </c>
      <c r="C25" s="455">
        <f t="shared" ca="1" si="3"/>
        <v>0</v>
      </c>
      <c r="D25" s="455">
        <f t="shared" si="4"/>
        <v>170.10734095117962</v>
      </c>
      <c r="E25" s="455">
        <f t="shared" si="5"/>
        <v>33.111431345957385</v>
      </c>
      <c r="F25" s="455">
        <f t="shared" si="6"/>
        <v>3388.1913363912022</v>
      </c>
      <c r="G25" s="455">
        <f t="shared" si="7"/>
        <v>0</v>
      </c>
      <c r="H25" s="455">
        <f t="shared" si="8"/>
        <v>0</v>
      </c>
      <c r="I25" s="455">
        <f t="shared" si="9"/>
        <v>0</v>
      </c>
      <c r="J25" s="455">
        <f t="shared" si="10"/>
        <v>363.46686875821194</v>
      </c>
      <c r="K25" s="455">
        <f t="shared" si="11"/>
        <v>0</v>
      </c>
      <c r="L25" s="455">
        <f t="shared" si="12"/>
        <v>0</v>
      </c>
      <c r="M25" s="455">
        <f t="shared" si="13"/>
        <v>0</v>
      </c>
      <c r="N25" s="455">
        <f t="shared" si="14"/>
        <v>0</v>
      </c>
      <c r="O25" s="455">
        <f t="shared" si="15"/>
        <v>0</v>
      </c>
      <c r="P25" s="456">
        <f t="shared" si="16"/>
        <v>0</v>
      </c>
      <c r="Q25" s="454">
        <f t="shared" ca="1" si="17"/>
        <v>4739.0145419121191</v>
      </c>
    </row>
    <row r="26" spans="1:17">
      <c r="A26" s="454" t="s">
        <v>626</v>
      </c>
      <c r="B26" s="455">
        <f t="shared" ca="1" si="2"/>
        <v>11300.638903770734</v>
      </c>
      <c r="C26" s="455">
        <f t="shared" ca="1" si="3"/>
        <v>218.46554621848742</v>
      </c>
      <c r="D26" s="455">
        <f t="shared" si="4"/>
        <v>12617.986632464252</v>
      </c>
      <c r="E26" s="455">
        <f t="shared" si="5"/>
        <v>66.40231695969149</v>
      </c>
      <c r="F26" s="455">
        <f t="shared" si="6"/>
        <v>1829.9836234927475</v>
      </c>
      <c r="G26" s="455">
        <f t="shared" si="7"/>
        <v>0</v>
      </c>
      <c r="H26" s="455">
        <f t="shared" si="8"/>
        <v>0</v>
      </c>
      <c r="I26" s="455">
        <f t="shared" si="9"/>
        <v>0</v>
      </c>
      <c r="J26" s="455">
        <f t="shared" si="10"/>
        <v>5.3702709950246597</v>
      </c>
      <c r="K26" s="455">
        <f t="shared" si="11"/>
        <v>0</v>
      </c>
      <c r="L26" s="455">
        <f t="shared" si="12"/>
        <v>0</v>
      </c>
      <c r="M26" s="455">
        <f t="shared" si="13"/>
        <v>0</v>
      </c>
      <c r="N26" s="455">
        <f t="shared" si="14"/>
        <v>0</v>
      </c>
      <c r="O26" s="455">
        <f t="shared" si="15"/>
        <v>0</v>
      </c>
      <c r="P26" s="456">
        <f t="shared" si="16"/>
        <v>0</v>
      </c>
      <c r="Q26" s="454">
        <f t="shared" ca="1" si="17"/>
        <v>26038.847293900933</v>
      </c>
    </row>
    <row r="27" spans="1:17" s="460" customFormat="1">
      <c r="A27" s="458" t="s">
        <v>552</v>
      </c>
      <c r="B27" s="778">
        <f t="shared" ca="1" si="2"/>
        <v>65.57166862269149</v>
      </c>
      <c r="C27" s="459">
        <f t="shared" ca="1" si="3"/>
        <v>0</v>
      </c>
      <c r="D27" s="459">
        <f t="shared" si="4"/>
        <v>296.55298959812473</v>
      </c>
      <c r="E27" s="459">
        <f t="shared" si="5"/>
        <v>187.0245266268295</v>
      </c>
      <c r="F27" s="459">
        <f t="shared" si="6"/>
        <v>0</v>
      </c>
      <c r="G27" s="459">
        <f t="shared" si="7"/>
        <v>111385.94005788975</v>
      </c>
      <c r="H27" s="459">
        <f t="shared" si="8"/>
        <v>23461.093320773864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135396.18256351125</v>
      </c>
    </row>
    <row r="28" spans="1:17" ht="16.5" customHeight="1">
      <c r="A28" s="454" t="s">
        <v>542</v>
      </c>
      <c r="B28" s="455">
        <f t="shared" ca="1" si="2"/>
        <v>0</v>
      </c>
      <c r="C28" s="455">
        <f t="shared" ca="1" si="3"/>
        <v>0</v>
      </c>
      <c r="D28" s="455">
        <f t="shared" si="4"/>
        <v>0</v>
      </c>
      <c r="E28" s="455">
        <f t="shared" si="5"/>
        <v>0</v>
      </c>
      <c r="F28" s="455">
        <f t="shared" si="6"/>
        <v>0</v>
      </c>
      <c r="G28" s="455">
        <f t="shared" si="7"/>
        <v>2480.8365631929173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2480.8365631929173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2535.9323159367627</v>
      </c>
      <c r="C32" s="455">
        <f t="shared" ca="1" si="3"/>
        <v>0</v>
      </c>
      <c r="D32" s="455">
        <f t="shared" si="4"/>
        <v>3770.9345695883685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6306.8668855251308</v>
      </c>
    </row>
    <row r="33" spans="1:17" s="466" customFormat="1">
      <c r="A33" s="464" t="s">
        <v>546</v>
      </c>
      <c r="B33" s="465">
        <f ca="1">SUM(B22:B32)</f>
        <v>63250.685946527708</v>
      </c>
      <c r="C33" s="465">
        <f t="shared" ref="C33:Q33" ca="1" si="19">SUM(C22:C32)</f>
        <v>650.04957983193287</v>
      </c>
      <c r="D33" s="465">
        <f t="shared" ca="1" si="19"/>
        <v>109761.85447002969</v>
      </c>
      <c r="E33" s="465">
        <f t="shared" si="19"/>
        <v>5080.8579227815972</v>
      </c>
      <c r="F33" s="465">
        <f t="shared" ca="1" si="19"/>
        <v>9633.7492681633939</v>
      </c>
      <c r="G33" s="465">
        <f t="shared" si="19"/>
        <v>113866.77662108267</v>
      </c>
      <c r="H33" s="465">
        <f t="shared" si="19"/>
        <v>23461.093320773864</v>
      </c>
      <c r="I33" s="465">
        <f t="shared" si="19"/>
        <v>0</v>
      </c>
      <c r="J33" s="465">
        <f t="shared" si="19"/>
        <v>1072.3270021051296</v>
      </c>
      <c r="K33" s="465">
        <f t="shared" si="19"/>
        <v>0</v>
      </c>
      <c r="L33" s="465">
        <f t="shared" ca="1" si="19"/>
        <v>0</v>
      </c>
      <c r="M33" s="465">
        <f t="shared" si="19"/>
        <v>0</v>
      </c>
      <c r="N33" s="465">
        <f t="shared" ca="1" si="19"/>
        <v>0</v>
      </c>
      <c r="O33" s="465">
        <f t="shared" si="19"/>
        <v>0</v>
      </c>
      <c r="P33" s="465">
        <f t="shared" si="19"/>
        <v>0</v>
      </c>
      <c r="Q33" s="465">
        <f t="shared" ca="1" si="19"/>
        <v>326777.39413129591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29440.36719651008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1914.75</v>
      </c>
      <c r="D8" s="1026">
        <f>'SEAP template'!D76</f>
        <v>2252.6470588235297</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455.03470588235302</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29440.36719651008</v>
      </c>
      <c r="C10" s="1028">
        <f>SUM(C4:C9)</f>
        <v>1914.75</v>
      </c>
      <c r="D10" s="1028">
        <f t="shared" ref="D10:H10" si="0">SUM(D8:D9)</f>
        <v>2252.6470588235297</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455.03470588235302</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0.20047866766175901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2735.3571428571431</v>
      </c>
      <c r="D17" s="1027">
        <f>'SEAP template'!D87</f>
        <v>3218.0672268907565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650.04957983193287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2735.3571428571431</v>
      </c>
      <c r="D20" s="1028">
        <f t="shared" ref="D20:H20" si="2">SUM(D17:D19)</f>
        <v>3218.0672268907565</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650.04957983193287</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0.20047866766175901</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2020-06-20T15:25:46Z</dcterms:modified>
</cp:coreProperties>
</file>