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0" i="13"/>
  <c r="C12" i="13" s="1"/>
  <c r="D41" i="14" s="1"/>
  <c r="D46" i="14" s="1"/>
  <c r="D61" i="14" s="1"/>
  <c r="D63" i="14" s="1"/>
  <c r="C29" i="20"/>
  <c r="C56" i="22"/>
  <c r="C58" i="22" s="1"/>
  <c r="D49" i="14" s="1"/>
  <c r="D52" i="14" s="1"/>
  <c r="C20" i="16"/>
  <c r="C22" i="16" s="1"/>
  <c r="D43" i="14" s="1"/>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<sst xmlns="http://schemas.openxmlformats.org/spreadsheetml/2006/main" count="2411" uniqueCount="882">
  <si>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</si>
  <si>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</si>
  <si>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</si>
  <si>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</si>
  <si>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</si>
  <si>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</si>
  <si>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</si>
  <si>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</si>
  <si>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</si>
  <si>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</si>
  <si>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</si>
  <si>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</si>
  <si>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</si>
  <si>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</si>
  <si>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</si>
  <si>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</si>
  <si>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</si>
  <si>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</si>
  <si>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</si>
  <si>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</si>
  <si>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</si>
  <si>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</si>
  <si>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</si>
  <si>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</si>
  <si>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</si>
  <si>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</si>
  <si>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</si>
  <si>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</si>
  <si>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</si>
  <si>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</si>
  <si>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</si>
  <si>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</si>
  <si>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</si>
  <si>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</si>
  <si>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</si>
  <si>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</si>
  <si>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</si>
  <si>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</si>
  <si>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</si>
  <si>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</si>
  <si>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</si>
  <si>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</si>
  <si>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</si>
  <si>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</si>
  <si>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</si>
  <si>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</si>
  <si>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</si>
  <si>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</si>
  <si>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</si>
  <si>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</si>
  <si>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</si>
  <si>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</si>
  <si>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</si>
  <si>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</si>
  <si>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</si>
  <si>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</si>
  <si>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</si>
  <si>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</si>
  <si>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</si>
  <si>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</si>
  <si>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</si>
  <si>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</si>
  <si>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</si>
  <si>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</si>
  <si>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</si>
  <si>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</si>
  <si>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</si>
  <si>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</si>
  <si>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</si>
  <si>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</si>
  <si>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</si>
  <si>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</si>
  <si>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</si>
  <si>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</si>
  <si>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</si>
  <si>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</si>
  <si>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</si>
  <si>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</si>
  <si>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</si>
  <si>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</si>
  <si>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</si>
  <si>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</si>
  <si>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</si>
  <si>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</si>
  <si>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</si>
  <si>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</si>
  <si>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</si>
  <si>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</si>
  <si>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</si>
  <si>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</si>
  <si>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</si>
  <si>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</si>
  <si>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</si>
  <si>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</si>
  <si>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</si>
  <si>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</si>
  <si>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</si>
  <si>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</si>
  <si>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</si>
  <si>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</si>
  <si>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</si>
  <si>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</si>
  <si>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</si>
  <si>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</si>
  <si>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</si>
  <si>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</si>
  <si>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</si>
  <si>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</si>
  <si>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</si>
  <si>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</si>
  <si>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</si>
  <si>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</si>
  <si>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</si>
  <si>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</si>
  <si>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</si>
  <si>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</si>
  <si>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</si>
  <si>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</si>
  <si>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</si>
  <si>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</si>
  <si>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</si>
  <si>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</si>
  <si>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</si>
  <si>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</si>
  <si>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</si>
  <si>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</si>
  <si>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</si>
  <si>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</si>
  <si>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</si>
  <si>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</si>
  <si>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</si>
  <si>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</si>
  <si>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</si>
  <si>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</si>
  <si>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</si>
  <si>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</si>
  <si>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</si>
  <si>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</si>
  <si>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</si>
  <si>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</si>
  <si>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</si>
  <si>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</si>
  <si>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</si>
  <si>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</si>
  <si>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</si>
  <si>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</si>
  <si>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</si>
  <si>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</si>
  <si>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</si>
  <si>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</si>
  <si>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</si>
  <si>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</si>
  <si>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</si>
  <si>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</si>
  <si>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</si>
  <si>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</si>
  <si>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</si>
  <si>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</si>
  <si>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</si>
  <si>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</si>
  <si>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</si>
  <si>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</si>
  <si>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</si>
  <si>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</si>
  <si>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</si>
  <si>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</si>
  <si>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</si>
  <si>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</si>
  <si>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</si>
  <si>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</si>
  <si>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</si>
  <si>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</si>
  <si>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</si>
  <si>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</si>
  <si>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</si>
  <si>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</si>
  <si>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</si>
  <si>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</si>
  <si>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</si>
  <si>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</si>
  <si>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</si>
  <si>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</si>
  <si>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</si>
  <si>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</si>
  <si>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</si>
  <si>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</si>
  <si>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</si>
  <si>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</si>
  <si>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</si>
  <si>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</si>
  <si>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</si>
  <si>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</si>
  <si>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</si>
  <si>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</si>
  <si>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</si>
  <si>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</si>
  <si>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</si>
  <si>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</si>
  <si>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</si>
  <si>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</si>
  <si>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</si>
  <si>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</si>
  <si>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</si>
  <si>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</si>
  <si>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</si>
  <si>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</si>
  <si>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</si>
  <si>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</si>
  <si>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</si>
  <si>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</si>
  <si>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</si>
  <si>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</si>
  <si>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</si>
  <si>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</si>
  <si>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</si>
  <si>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</si>
  <si>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</si>
  <si>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</si>
  <si>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</si>
  <si>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</si>
  <si>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</si>
  <si>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</si>
  <si>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</si>
  <si>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</si>
  <si>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</si>
  <si>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</si>
  <si>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</si>
  <si>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</si>
  <si>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</si>
  <si>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</si>
  <si>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</si>
  <si>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</si>
  <si>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</si>
  <si>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</si>
  <si>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</si>
  <si>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</si>
  <si>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</si>
  <si>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</si>
  <si>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</si>
  <si>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</si>
  <si>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</si>
  <si>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</si>
  <si>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</si>
  <si>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</si>
  <si>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</si>
  <si>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</si>
  <si>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</si>
  <si>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</si>
  <si>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</si>
  <si>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</si>
  <si>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</si>
  <si>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</si>
  <si>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</si>
  <si>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</si>
  <si>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</si>
  <si>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</si>
  <si>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</si>
  <si>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</si>
  <si>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</si>
  <si>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</si>
  <si>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</si>
  <si>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</si>
  <si>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</si>
  <si>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</si>
  <si>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</si>
  <si>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</si>
  <si>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</si>
  <si>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</si>
  <si>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</si>
  <si>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</si>
  <si>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</si>
  <si>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</si>
  <si>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</si>
  <si>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</si>
  <si>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</si>
  <si>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</si>
  <si>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</si>
  <si>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</si>
  <si>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</si>
  <si>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</si>
  <si>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</si>
  <si>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</si>
  <si>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</si>
  <si>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</si>
  <si>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</si>
  <si>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</si>
  <si>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</si>
  <si>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</si>
  <si>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</si>
  <si>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</si>
  <si>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</si>
  <si>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</si>
  <si>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</si>
  <si>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</si>
  <si>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</si>
  <si>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</si>
  <si>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</si>
  <si>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</si>
  <si>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</si>
  <si>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</si>
  <si>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</si>
  <si>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</si>
  <si>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</si>
  <si>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</si>
  <si>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</si>
  <si>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</si>
  <si>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</si>
  <si>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</si>
  <si>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</si>
  <si>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</si>
  <si>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</si>
  <si>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</si>
  <si>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</si>
  <si>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</si>
  <si>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</si>
  <si>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</si>
  <si>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</si>
  <si>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</si>
  <si>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</si>
  <si>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</si>
  <si>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</si>
  <si>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</si>
  <si>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</si>
  <si>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</si>
  <si>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</si>
  <si>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</si>
  <si>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</si>
  <si>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</si>
  <si>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</si>
  <si>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</si>
  <si>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</si>
  <si>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</si>
  <si>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</si>
  <si>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</si>
  <si>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</si>
  <si>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</si>
  <si>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</si>
  <si>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</si>
  <si>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</si>
  <si>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</si>
  <si>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</si>
  <si>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</si>
  <si>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</si>
  <si>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</si>
  <si>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</si>
  <si>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</si>
  <si>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</si>
  <si>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</si>
  <si>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</si>
  <si>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</si>
  <si>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</si>
  <si>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</si>
  <si>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</si>
  <si>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</si>
  <si>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</si>
  <si>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</si>
  <si>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</si>
  <si>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</si>
  <si>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</si>
  <si>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</si>
  <si>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</si>
  <si>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</si>
  <si>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</si>
  <si>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</si>
  <si>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</si>
  <si>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</si>
  <si>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</si>
  <si>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</si>
  <si>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</si>
  <si>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</si>
  <si>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</si>
  <si>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</si>
  <si>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</si>
  <si>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</si>
  <si>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</si>
  <si>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</si>
  <si>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</si>
  <si>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</si>
  <si>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</si>
  <si>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</si>
  <si>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</si>
  <si>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</si>
  <si>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</si>
  <si>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</si>
  <si>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</si>
  <si>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</si>
  <si>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</si>
  <si>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</si>
  <si>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</si>
  <si>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</si>
  <si>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</si>
  <si>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</si>
  <si>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</si>
  <si>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</si>
  <si>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</si>
  <si>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</si>
  <si>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</si>
  <si>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</si>
  <si>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</si>
  <si>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</si>
  <si>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</si>
  <si>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</si>
  <si>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</si>
  <si>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</si>
  <si>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</si>
  <si>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</si>
  <si>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</si>
  <si>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</si>
  <si>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</si>
  <si>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</si>
  <si>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</si>
  <si>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</si>
  <si>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</si>
  <si>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</si>
  <si>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</si>
  <si>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</si>
  <si>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</si>
  <si>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</si>
  <si>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</si>
  <si>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</si>
  <si>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</si>
  <si>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</si>
  <si>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</si>
  <si>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</si>
  <si>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</si>
  <si>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</si>
  <si>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</si>
  <si>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</si>
  <si>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</si>
  <si>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</si>
  <si>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</si>
  <si>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</si>
  <si>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</si>
  <si>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</si>
  <si>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</si>
  <si>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</si>
  <si>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</si>
  <si>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</si>
  <si>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</si>
  <si>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</si>
  <si>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</si>
  <si>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</si>
  <si>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</si>
  <si>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</si>
  <si>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</si>
  <si>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</si>
  <si>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</si>
  <si>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</si>
  <si>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</si>
  <si>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</si>
  <si>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</si>
  <si>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</si>
  <si>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</si>
  <si>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</si>
  <si>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</si>
  <si>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</si>
  <si>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</si>
  <si>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</si>
  <si>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</si>
  <si>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</si>
  <si>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</si>
  <si>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</si>
  <si>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</si>
  <si>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</si>
  <si>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</si>
  <si>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</si>
  <si>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</si>
  <si>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</si>
  <si>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</si>
  <si>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</si>
  <si>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</si>
  <si>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</si>
  <si>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</si>
  <si>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</si>
  <si>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</si>
  <si>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</si>
  <si>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</si>
  <si>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</si>
  <si>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</si>
  <si>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</si>
  <si>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</si>
  <si>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</si>
  <si>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</si>
  <si>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</si>
  <si>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</si>
  <si>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</si>
  <si>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</si>
  <si>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</si>
  <si>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</si>
  <si>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</si>
  <si>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</si>
  <si>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</si>
  <si>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</si>
  <si>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</si>
  <si>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</si>
  <si>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</si>
  <si>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</si>
  <si>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</si>
  <si>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</si>
  <si>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</si>
  <si>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</si>
  <si>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</si>
  <si>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</si>
  <si>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</si>
  <si>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</si>
  <si>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</si>
  <si>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</si>
  <si>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</si>
  <si>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</si>
  <si>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</si>
  <si>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</si>
  <si>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</si>
  <si>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</si>
  <si>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</si>
  <si>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</si>
  <si>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</si>
  <si>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</si>
  <si>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</si>
  <si>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</si>
  <si>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</si>
  <si>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</si>
  <si>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</si>
  <si>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</si>
  <si>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</si>
  <si>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</si>
  <si>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</si>
  <si>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</si>
  <si>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</si>
  <si>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</si>
  <si>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</si>
  <si>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</si>
  <si>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</si>
  <si>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</si>
  <si>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</si>
  <si>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</si>
  <si>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</si>
  <si>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</si>
  <si>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</si>
  <si>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</si>
  <si>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</si>
  <si>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</si>
  <si>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</si>
  <si>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</si>
  <si>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</si>
  <si>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</si>
  <si>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</si>
  <si>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</si>
  <si>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</si>
  <si>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</si>
  <si>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</si>
  <si>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</si>
  <si>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</si>
  <si>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</si>
  <si>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</si>
  <si>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</si>
  <si>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</si>
  <si>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</si>
  <si>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</si>
  <si>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</si>
  <si>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</si>
  <si>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</si>
  <si>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</si>
  <si>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</si>
  <si>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</si>
  <si>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</si>
  <si>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</si>
  <si>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</si>
  <si>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</si>
  <si>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</si>
  <si>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</si>
  <si>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</si>
  <si>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</si>
  <si>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</si>
  <si>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</si>
  <si>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</si>
  <si>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</si>
  <si>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</si>
  <si>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</si>
  <si>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</si>
  <si>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</si>
  <si>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</si>
  <si>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</si>
  <si>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</si>
  <si>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</si>
  <si>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</si>
  <si>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</si>
  <si>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</si>
  <si>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</si>
  <si>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</si>
  <si>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</si>
  <si>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</si>
  <si>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</si>
  <si>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</si>
  <si>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</si>
  <si>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</si>
  <si>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</si>
  <si>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</si>
  <si>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</si>
  <si>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</si>
  <si>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</si>
  <si>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</si>
  <si>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</si>
  <si>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</si>
  <si>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</si>
  <si>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</si>
  <si>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</si>
  <si>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</si>
  <si>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</si>
  <si>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</si>
  <si>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</si>
  <si>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</si>
  <si>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</si>
  <si>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</si>
  <si>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</si>
  <si>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</si>
  <si>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</si>
  <si>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</si>
  <si>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</si>
  <si>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</si>
  <si>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</si>
  <si>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</si>
  <si>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</si>
  <si>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</si>
  <si>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</si>
  <si>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</si>
  <si>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</si>
  <si>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</si>
  <si>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</si>
  <si>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</si>
  <si>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</si>
  <si>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</si>
  <si>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</si>
  <si>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</si>
  <si>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</si>
  <si>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</si>
  <si>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</si>
  <si>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</si>
  <si>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</si>
  <si>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</si>
  <si>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</si>
  <si>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</si>
  <si>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</si>
  <si>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</si>
  <si>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</si>
  <si>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</si>
  <si>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</si>
  <si>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</si>
  <si>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</si>
  <si>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</si>
  <si>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</si>
  <si>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</si>
  <si>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</si>
  <si>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</si>
  <si>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</si>
  <si>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</si>
  <si>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</si>
  <si>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</si>
  <si>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</si>
  <si>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</si>
  <si>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</si>
  <si>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</si>
  <si>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</si>
  <si>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</si>
  <si>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</si>
  <si>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</si>
  <si>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</si>
  <si>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</si>
  <si>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</si>
  <si>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</si>
  <si>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</si>
  <si>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</si>
  <si>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</si>
  <si>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</si>
  <si>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</si>
  <si>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</si>
  <si>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</si>
  <si>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</si>
  <si>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</si>
  <si>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</si>
  <si>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</si>
  <si>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</si>
  <si>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</si>
  <si>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</si>
  <si>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</si>
  <si>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</si>
  <si>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</si>
  <si>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</si>
  <si>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</si>
  <si>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</si>
  <si>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</si>
  <si>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</si>
  <si>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</si>
  <si>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</si>
  <si>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</si>
  <si>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</si>
  <si>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</si>
  <si>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</si>
  <si>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</si>
  <si>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</si>
  <si>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</si>
  <si>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</si>
  <si>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</si>
  <si>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</si>
  <si>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</si>
  <si>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</si>
  <si>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</si>
  <si>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</si>
  <si>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</si>
  <si>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</si>
  <si>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</si>
  <si>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</si>
  <si>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</si>
  <si>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</si>
  <si>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</si>
  <si>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</si>
  <si>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</si>
  <si>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</si>
  <si>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</si>
  <si>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</si>
  <si>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</si>
  <si>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</si>
  <si>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</si>
  <si>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</si>
  <si>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</si>
  <si>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</si>
  <si>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</si>
  <si>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</si>
  <si>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</si>
  <si>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</si>
  <si>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</si>
  <si>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</si>
  <si>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</si>
  <si>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</si>
  <si>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</si>
  <si>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</si>
  <si>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</si>
  <si>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</si>
  <si>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</si>
  <si>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</si>
  <si>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</si>
  <si>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</si>
  <si>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</si>
  <si>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</si>
  <si>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</si>
  <si>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</si>
  <si>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</si>
  <si>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</si>
  <si>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</si>
  <si>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</si>
  <si>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</si>
  <si>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</si>
  <si>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</si>
  <si>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</si>
  <si>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</si>
  <si>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</si>
  <si>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</si>
  <si>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</si>
  <si>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</si>
  <si>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</si>
  <si>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</si>
  <si>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</si>
  <si>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</si>
  <si>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</si>
  <si>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</si>
  <si>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</si>
  <si>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</si>
  <si>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</si>
  <si>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</si>
  <si>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</si>
  <si>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</si>
  <si>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</si>
  <si>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</si>
  <si>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</si>
  <si>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</si>
  <si>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</si>
  <si>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</si>
  <si>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</si>
  <si>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</si>
  <si>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</si>
  <si>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</si>
  <si>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</si>
  <si>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</si>
  <si>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</si>
  <si>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</si>
  <si>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</si>
  <si>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</si>
  <si>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</si>
  <si>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</si>
  <si>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</si>
  <si>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</si>
  <si>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</si>
  <si>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</si>
  <si>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</si>
  <si>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</si>
  <si>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</si>
  <si>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</si>
  <si>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</si>
  <si>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</si>
  <si>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</si>
  <si>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</si>
  <si>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</si>
  <si>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</si>
  <si>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</si>
  <si>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</si>
  <si>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</si>
  <si>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</si>
  <si>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</si>
  <si>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</si>
  <si>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</si>
  <si>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</si>
  <si>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</si>
  <si>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</si>
  <si>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</si>
  <si>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</si>
  <si>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</si>
  <si>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</si>
  <si>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</si>
  <si>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</si>
  <si>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</si>
  <si>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</si>
  <si>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</si>
  <si>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</si>
  <si>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</si>
  <si>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</si>
  <si>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</si>
  <si>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</si>
  <si>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</si>
  <si>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</si>
  <si>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</si>
  <si>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</si>
  <si>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</si>
  <si>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</si>
  <si>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</si>
  <si>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</si>
  <si>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</si>
  <si>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</si>
  <si>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</si>
  <si>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</si>
  <si>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</si>
  <si>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</si>
  <si>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</si>
  <si>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</si>
  <si>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</si>
  <si>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</si>
  <si>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</si>
  <si>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</si>
  <si>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</si>
  <si>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</si>
  <si>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</si>
  <si>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</si>
  <si>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</si>
  <si>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</si>
  <si>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</si>
  <si>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</si>
  <si>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</si>
  <si>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</si>
  <si>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</si>
  <si>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</si>
  <si>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</si>
  <si>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</si>
  <si>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</si>
  <si>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</si>
  <si>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46020</t>
  </si>
  <si>
    <t>SINT-GILLIS-WAAS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</si>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</sst>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148220.72540587175</c:v>
                </c:pt>
                <c:pt idx="1">
                  <c:v>33635.261043538449</c:v>
                </c:pt>
                <c:pt idx="2">
                  <c:v>1088.354</c:v>
                </c:pt>
                <c:pt idx="3">
                  <c:v>72211.705725409454</c:v>
                </c:pt>
                <c:pt idx="4">
                  <c:v>16831.547950126682</c:v>
                </c:pt>
                <c:pt idx="5">
                  <c:v>211452.69156645786</c:v>
                </c:pt>
                <c:pt idx="6">
                  <c:v>1846.8212903728145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148220.72540587175</c:v>
                </c:pt>
                <c:pt idx="1">
                  <c:v>33635.261043538449</c:v>
                </c:pt>
                <c:pt idx="2">
                  <c:v>1088.354</c:v>
                </c:pt>
                <c:pt idx="3">
                  <c:v>72211.705725409454</c:v>
                </c:pt>
                <c:pt idx="4">
                  <c:v>16831.547950126682</c:v>
                </c:pt>
                <c:pt idx="5">
                  <c:v>211452.69156645786</c:v>
                </c:pt>
                <c:pt idx="6">
                  <c:v>1846.8212903728145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22857.247297685048</c:v>
                </c:pt>
                <c:pt idx="1">
                  <c:v>6046.863950107916</c:v>
                </c:pt>
                <c:pt idx="2">
                  <c:v>151.73480260635566</c:v>
                </c:pt>
                <c:pt idx="3">
                  <c:v>17334.223071029122</c:v>
                </c:pt>
                <c:pt idx="4">
                  <c:v>2987.5886235051798</c:v>
                </c:pt>
                <c:pt idx="5">
                  <c:v>52680.422557201084</c:v>
                </c:pt>
                <c:pt idx="6">
                  <c:v>467.72012652309445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22857.247297685048</c:v>
                </c:pt>
                <c:pt idx="1">
                  <c:v>6046.863950107916</c:v>
                </c:pt>
                <c:pt idx="2">
                  <c:v>151.73480260635566</c:v>
                </c:pt>
                <c:pt idx="3">
                  <c:v>17334.223071029122</c:v>
                </c:pt>
                <c:pt idx="4">
                  <c:v>2987.5886235051798</c:v>
                </c:pt>
                <c:pt idx="5">
                  <c:v>52680.422557201084</c:v>
                </c:pt>
                <c:pt idx="6">
                  <c:v>467.72012652309445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46020</v>
      </c>
      <c r="B6" s="392"/>
      <c r="C6" s="393"/>
    </row>
    <row r="7" spans="1:7" s="390" customFormat="1" ht="15.75" customHeight="1">
      <c r="A7" s="394" t="str">
        <f>txtMunicipality</f>
        <v>SINT-GILLIS-WAAS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13371.495129215255</v>
      </c>
      <c r="D10" s="689">
        <f ca="1">tertiair!C16</f>
        <v>157.5</v>
      </c>
      <c r="E10" s="689">
        <f ca="1">tertiair!D16</f>
        <v>19125.03127042624</v>
      </c>
      <c r="F10" s="689">
        <f>tertiair!E16</f>
        <v>31.478087134083175</v>
      </c>
      <c r="G10" s="689">
        <f ca="1">tertiair!F16</f>
        <v>1597.5792967034604</v>
      </c>
      <c r="H10" s="689">
        <f>tertiair!G16</f>
        <v>0</v>
      </c>
      <c r="I10" s="689">
        <f>tertiair!H16</f>
        <v>0</v>
      </c>
      <c r="J10" s="689">
        <f>tertiair!I16</f>
        <v>0</v>
      </c>
      <c r="K10" s="689">
        <f>tertiair!J16</f>
        <v>8.82676396839625E-3</v>
      </c>
      <c r="L10" s="689">
        <f>tertiair!K16</f>
        <v>0</v>
      </c>
      <c r="M10" s="689">
        <f ca="1">tertiair!L16</f>
        <v>0</v>
      </c>
      <c r="N10" s="689">
        <f>tertiair!M16</f>
        <v>0</v>
      </c>
      <c r="O10" s="689">
        <f ca="1">tertiair!N16</f>
        <v>330.54689591660826</v>
      </c>
      <c r="P10" s="689">
        <f>tertiair!O16</f>
        <v>4.8972607658411542</v>
      </c>
      <c r="Q10" s="690">
        <f>tertiair!P16</f>
        <v>105.07827661299004</v>
      </c>
      <c r="R10" s="692">
        <f ca="1">SUM(C10:Q10)</f>
        <v>34723.615043538448</v>
      </c>
      <c r="S10" s="67"/>
    </row>
    <row r="11" spans="1:19" s="451" customFormat="1">
      <c r="A11" s="811" t="s">
        <v>224</v>
      </c>
      <c r="B11" s="816"/>
      <c r="C11" s="689">
        <f>huishoudens!B8</f>
        <v>33173.874495245494</v>
      </c>
      <c r="D11" s="689">
        <f>huishoudens!C8</f>
        <v>0</v>
      </c>
      <c r="E11" s="689">
        <f>huishoudens!D8</f>
        <v>78338.137625406933</v>
      </c>
      <c r="F11" s="689">
        <f>huishoudens!E8</f>
        <v>10607.704695840566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24591.585175325508</v>
      </c>
      <c r="P11" s="689">
        <f>huishoudens!O8</f>
        <v>392.82372743863232</v>
      </c>
      <c r="Q11" s="690">
        <f>huishoudens!P8</f>
        <v>1116.5996866146124</v>
      </c>
      <c r="R11" s="692">
        <f>SUM(C11:Q11)</f>
        <v>148220.72540587175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7747.162551669383</v>
      </c>
      <c r="D13" s="689">
        <f>industrie!C18</f>
        <v>0</v>
      </c>
      <c r="E13" s="689">
        <f>industrie!D18</f>
        <v>6898.1874962528118</v>
      </c>
      <c r="F13" s="689">
        <f>industrie!E18</f>
        <v>23.044478622609443</v>
      </c>
      <c r="G13" s="689">
        <f>industrie!F18</f>
        <v>1904.3880737086174</v>
      </c>
      <c r="H13" s="689">
        <f>industrie!G18</f>
        <v>0</v>
      </c>
      <c r="I13" s="689">
        <f>industrie!H18</f>
        <v>0</v>
      </c>
      <c r="J13" s="689">
        <f>industrie!I18</f>
        <v>0</v>
      </c>
      <c r="K13" s="689">
        <f>industrie!J18</f>
        <v>1.0385134353231666</v>
      </c>
      <c r="L13" s="689">
        <f>industrie!K18</f>
        <v>0</v>
      </c>
      <c r="M13" s="689">
        <f>industrie!L18</f>
        <v>0</v>
      </c>
      <c r="N13" s="689">
        <f>industrie!M18</f>
        <v>0</v>
      </c>
      <c r="O13" s="689">
        <f>industrie!N18</f>
        <v>257.72683643793772</v>
      </c>
      <c r="P13" s="689">
        <f>industrie!O18</f>
        <v>0</v>
      </c>
      <c r="Q13" s="690">
        <f>industrie!P18</f>
        <v>0</v>
      </c>
      <c r="R13" s="692">
        <f>SUM(C13:Q13)</f>
        <v>16831.547950126682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54292.532176130131</v>
      </c>
      <c r="D16" s="725">
        <f t="shared" ref="D16:R16" ca="1" si="0">SUM(D9:D15)</f>
        <v>157.5</v>
      </c>
      <c r="E16" s="725">
        <f t="shared" ca="1" si="0"/>
        <v>104361.35639208597</v>
      </c>
      <c r="F16" s="725">
        <f t="shared" si="0"/>
        <v>10662.227261597258</v>
      </c>
      <c r="G16" s="725">
        <f t="shared" ca="1" si="0"/>
        <v>3501.9673704120778</v>
      </c>
      <c r="H16" s="725">
        <f t="shared" si="0"/>
        <v>0</v>
      </c>
      <c r="I16" s="725">
        <f t="shared" si="0"/>
        <v>0</v>
      </c>
      <c r="J16" s="725">
        <f t="shared" si="0"/>
        <v>0</v>
      </c>
      <c r="K16" s="725">
        <f t="shared" si="0"/>
        <v>1.047340199291563</v>
      </c>
      <c r="L16" s="725">
        <f t="shared" si="0"/>
        <v>0</v>
      </c>
      <c r="M16" s="725">
        <f t="shared" ca="1" si="0"/>
        <v>0</v>
      </c>
      <c r="N16" s="725">
        <f t="shared" si="0"/>
        <v>0</v>
      </c>
      <c r="O16" s="725">
        <f t="shared" ca="1" si="0"/>
        <v>25179.858907680053</v>
      </c>
      <c r="P16" s="725">
        <f t="shared" si="0"/>
        <v>397.72098820447349</v>
      </c>
      <c r="Q16" s="725">
        <f t="shared" si="0"/>
        <v>1221.6779632276025</v>
      </c>
      <c r="R16" s="725">
        <f t="shared" ca="1" si="0"/>
        <v>199775.8883995369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1751.7607734947358</v>
      </c>
      <c r="I19" s="689">
        <f>transport!H54</f>
        <v>0</v>
      </c>
      <c r="J19" s="689">
        <f>transport!I54</f>
        <v>0</v>
      </c>
      <c r="K19" s="689">
        <f>transport!J54</f>
        <v>0</v>
      </c>
      <c r="L19" s="689">
        <f>transport!K54</f>
        <v>0</v>
      </c>
      <c r="M19" s="689">
        <f>transport!L54</f>
        <v>0</v>
      </c>
      <c r="N19" s="689">
        <f>transport!M54</f>
        <v>95.060516878078701</v>
      </c>
      <c r="O19" s="689">
        <f>transport!N54</f>
        <v>0</v>
      </c>
      <c r="P19" s="689">
        <f>transport!O54</f>
        <v>0</v>
      </c>
      <c r="Q19" s="690">
        <f>transport!P54</f>
        <v>0</v>
      </c>
      <c r="R19" s="692">
        <f>SUM(C19:Q19)</f>
        <v>1846.8212903728145</v>
      </c>
      <c r="S19" s="67"/>
    </row>
    <row r="20" spans="1:19" s="451" customFormat="1">
      <c r="A20" s="811" t="s">
        <v>306</v>
      </c>
      <c r="B20" s="816"/>
      <c r="C20" s="689">
        <f>transport!B14</f>
        <v>117.71114396980001</v>
      </c>
      <c r="D20" s="689">
        <f>transport!C14</f>
        <v>0</v>
      </c>
      <c r="E20" s="689">
        <f>transport!D14</f>
        <v>521.68430573788248</v>
      </c>
      <c r="F20" s="689">
        <f>transport!E14</f>
        <v>306.03897347804002</v>
      </c>
      <c r="G20" s="689">
        <f>transport!F14</f>
        <v>0</v>
      </c>
      <c r="H20" s="689">
        <f>transport!G14</f>
        <v>165102.26628454961</v>
      </c>
      <c r="I20" s="689">
        <f>transport!H14</f>
        <v>33762.471785720969</v>
      </c>
      <c r="J20" s="689">
        <f>transport!I14</f>
        <v>0</v>
      </c>
      <c r="K20" s="689">
        <f>transport!J14</f>
        <v>0</v>
      </c>
      <c r="L20" s="689">
        <f>transport!K14</f>
        <v>0</v>
      </c>
      <c r="M20" s="689">
        <f>transport!L14</f>
        <v>0</v>
      </c>
      <c r="N20" s="689">
        <f>transport!M14</f>
        <v>11642.519073001575</v>
      </c>
      <c r="O20" s="689">
        <f>transport!N14</f>
        <v>0</v>
      </c>
      <c r="P20" s="689">
        <f>transport!O14</f>
        <v>0</v>
      </c>
      <c r="Q20" s="690">
        <f>transport!P14</f>
        <v>0</v>
      </c>
      <c r="R20" s="692">
        <f>SUM(C20:Q20)</f>
        <v>211452.69156645786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117.71114396980001</v>
      </c>
      <c r="D22" s="814">
        <f t="shared" ref="D22:R22" si="1">SUM(D18:D21)</f>
        <v>0</v>
      </c>
      <c r="E22" s="814">
        <f t="shared" si="1"/>
        <v>521.68430573788248</v>
      </c>
      <c r="F22" s="814">
        <f t="shared" si="1"/>
        <v>306.03897347804002</v>
      </c>
      <c r="G22" s="814">
        <f t="shared" si="1"/>
        <v>0</v>
      </c>
      <c r="H22" s="814">
        <f t="shared" si="1"/>
        <v>166854.02705804433</v>
      </c>
      <c r="I22" s="814">
        <f t="shared" si="1"/>
        <v>33762.471785720969</v>
      </c>
      <c r="J22" s="814">
        <f t="shared" si="1"/>
        <v>0</v>
      </c>
      <c r="K22" s="814">
        <f t="shared" si="1"/>
        <v>0</v>
      </c>
      <c r="L22" s="814">
        <f t="shared" si="1"/>
        <v>0</v>
      </c>
      <c r="M22" s="814">
        <f t="shared" si="1"/>
        <v>0</v>
      </c>
      <c r="N22" s="814">
        <f t="shared" si="1"/>
        <v>11737.579589879653</v>
      </c>
      <c r="O22" s="814">
        <f t="shared" si="1"/>
        <v>0</v>
      </c>
      <c r="P22" s="814">
        <f t="shared" si="1"/>
        <v>0</v>
      </c>
      <c r="Q22" s="814">
        <f t="shared" si="1"/>
        <v>0</v>
      </c>
      <c r="R22" s="814">
        <f t="shared" si="1"/>
        <v>213299.51285683067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6384.3592385519505</v>
      </c>
      <c r="D24" s="689">
        <f>+landbouw!C8</f>
        <v>43200</v>
      </c>
      <c r="E24" s="689">
        <f>+landbouw!D8</f>
        <v>0</v>
      </c>
      <c r="F24" s="689">
        <f>+landbouw!E8</f>
        <v>238.09228436744201</v>
      </c>
      <c r="G24" s="689">
        <f>+landbouw!F8</f>
        <v>20713.328383381508</v>
      </c>
      <c r="H24" s="689">
        <f>+landbouw!G8</f>
        <v>0</v>
      </c>
      <c r="I24" s="689">
        <f>+landbouw!H8</f>
        <v>0</v>
      </c>
      <c r="J24" s="689">
        <f>+landbouw!I8</f>
        <v>0</v>
      </c>
      <c r="K24" s="689">
        <f>+landbouw!J8</f>
        <v>1675.9258191085551</v>
      </c>
      <c r="L24" s="689">
        <f>+landbouw!K8</f>
        <v>0</v>
      </c>
      <c r="M24" s="689">
        <f>+landbouw!L8</f>
        <v>0</v>
      </c>
      <c r="N24" s="689">
        <f>+landbouw!M8</f>
        <v>0</v>
      </c>
      <c r="O24" s="689">
        <f>+landbouw!N8</f>
        <v>0</v>
      </c>
      <c r="P24" s="689">
        <f>+landbouw!O8</f>
        <v>0</v>
      </c>
      <c r="Q24" s="690">
        <f>+landbouw!P8</f>
        <v>0</v>
      </c>
      <c r="R24" s="692">
        <f>SUM(C24:Q24)</f>
        <v>72211.705725409454</v>
      </c>
      <c r="S24" s="67"/>
    </row>
    <row r="25" spans="1:19" s="451" customFormat="1" ht="15" thickBot="1">
      <c r="A25" s="833" t="s">
        <v>714</v>
      </c>
      <c r="B25" s="947"/>
      <c r="C25" s="948">
        <f>IF(Onbekend_ele_kWh="---",0,Onbekend_ele_kWh)/1000+IF(REST_rest_ele_kWh="---",0,REST_rest_ele_kWh)/1000</f>
        <v>1801.5837583346699</v>
      </c>
      <c r="D25" s="948"/>
      <c r="E25" s="948">
        <f>IF(onbekend_gas_kWh="---",0,onbekend_gas_kWh)/1000+IF(REST_rest_gas_kWh="---",0,REST_rest_gas_kWh)/1000</f>
        <v>2974.5879504040699</v>
      </c>
      <c r="F25" s="948"/>
      <c r="G25" s="948"/>
      <c r="H25" s="948"/>
      <c r="I25" s="948"/>
      <c r="J25" s="948"/>
      <c r="K25" s="948"/>
      <c r="L25" s="948"/>
      <c r="M25" s="948"/>
      <c r="N25" s="948"/>
      <c r="O25" s="948"/>
      <c r="P25" s="948"/>
      <c r="Q25" s="949"/>
      <c r="R25" s="692">
        <f>SUM(C25:Q25)</f>
        <v>4776.1717087387397</v>
      </c>
      <c r="S25" s="67"/>
    </row>
    <row r="26" spans="1:19" s="451" customFormat="1" ht="15.75" thickBot="1">
      <c r="A26" s="697" t="s">
        <v>715</v>
      </c>
      <c r="B26" s="819"/>
      <c r="C26" s="814">
        <f>SUM(C24:C25)</f>
        <v>8185.9429968866207</v>
      </c>
      <c r="D26" s="814">
        <f t="shared" ref="D26:R26" si="2">SUM(D24:D25)</f>
        <v>43200</v>
      </c>
      <c r="E26" s="814">
        <f t="shared" si="2"/>
        <v>2974.5879504040699</v>
      </c>
      <c r="F26" s="814">
        <f t="shared" si="2"/>
        <v>238.09228436744201</v>
      </c>
      <c r="G26" s="814">
        <f t="shared" si="2"/>
        <v>20713.328383381508</v>
      </c>
      <c r="H26" s="814">
        <f t="shared" si="2"/>
        <v>0</v>
      </c>
      <c r="I26" s="814">
        <f t="shared" si="2"/>
        <v>0</v>
      </c>
      <c r="J26" s="814">
        <f t="shared" si="2"/>
        <v>0</v>
      </c>
      <c r="K26" s="814">
        <f t="shared" si="2"/>
        <v>1675.9258191085551</v>
      </c>
      <c r="L26" s="814">
        <f t="shared" si="2"/>
        <v>0</v>
      </c>
      <c r="M26" s="814">
        <f t="shared" si="2"/>
        <v>0</v>
      </c>
      <c r="N26" s="814">
        <f t="shared" si="2"/>
        <v>0</v>
      </c>
      <c r="O26" s="814">
        <f t="shared" si="2"/>
        <v>0</v>
      </c>
      <c r="P26" s="814">
        <f t="shared" si="2"/>
        <v>0</v>
      </c>
      <c r="Q26" s="814">
        <f t="shared" si="2"/>
        <v>0</v>
      </c>
      <c r="R26" s="814">
        <f t="shared" si="2"/>
        <v>76987.877434148191</v>
      </c>
      <c r="S26" s="67"/>
    </row>
    <row r="27" spans="1:19" s="451" customFormat="1" ht="17.25" thickTop="1" thickBot="1">
      <c r="A27" s="698" t="s">
        <v>115</v>
      </c>
      <c r="B27" s="806"/>
      <c r="C27" s="699">
        <f ca="1">C22+C16+C26</f>
        <v>62596.186316986554</v>
      </c>
      <c r="D27" s="699">
        <f t="shared" ref="D27:R27" ca="1" si="3">D22+D16+D26</f>
        <v>43357.5</v>
      </c>
      <c r="E27" s="699">
        <f t="shared" ca="1" si="3"/>
        <v>107857.62864822792</v>
      </c>
      <c r="F27" s="699">
        <f t="shared" si="3"/>
        <v>11206.35851944274</v>
      </c>
      <c r="G27" s="699">
        <f t="shared" ca="1" si="3"/>
        <v>24215.295753793587</v>
      </c>
      <c r="H27" s="699">
        <f t="shared" si="3"/>
        <v>166854.02705804433</v>
      </c>
      <c r="I27" s="699">
        <f t="shared" si="3"/>
        <v>33762.471785720969</v>
      </c>
      <c r="J27" s="699">
        <f t="shared" si="3"/>
        <v>0</v>
      </c>
      <c r="K27" s="699">
        <f t="shared" si="3"/>
        <v>1676.9731593078466</v>
      </c>
      <c r="L27" s="699">
        <f t="shared" si="3"/>
        <v>0</v>
      </c>
      <c r="M27" s="699">
        <f t="shared" ca="1" si="3"/>
        <v>0</v>
      </c>
      <c r="N27" s="699">
        <f t="shared" si="3"/>
        <v>11737.579589879653</v>
      </c>
      <c r="O27" s="699">
        <f t="shared" ca="1" si="3"/>
        <v>25179.858907680053</v>
      </c>
      <c r="P27" s="699">
        <f t="shared" si="3"/>
        <v>397.72098820447349</v>
      </c>
      <c r="Q27" s="699">
        <f t="shared" si="3"/>
        <v>1221.6779632276025</v>
      </c>
      <c r="R27" s="699">
        <f t="shared" ca="1" si="3"/>
        <v>490063.27869051578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1864.21070164976</v>
      </c>
      <c r="D40" s="689">
        <f ca="1">tertiair!C20</f>
        <v>37.429411764705904</v>
      </c>
      <c r="E40" s="689">
        <f ca="1">tertiair!D20</f>
        <v>3863.2563166261007</v>
      </c>
      <c r="F40" s="689">
        <f>tertiair!E20</f>
        <v>7.1455257794368814</v>
      </c>
      <c r="G40" s="689">
        <f ca="1">tertiair!F20</f>
        <v>426.55367221982397</v>
      </c>
      <c r="H40" s="689">
        <f>tertiair!G20</f>
        <v>0</v>
      </c>
      <c r="I40" s="689">
        <f>tertiair!H20</f>
        <v>0</v>
      </c>
      <c r="J40" s="689">
        <f>tertiair!I20</f>
        <v>0</v>
      </c>
      <c r="K40" s="689">
        <f>tertiair!J20</f>
        <v>3.1246744448122721E-3</v>
      </c>
      <c r="L40" s="689">
        <f>tertiair!K20</f>
        <v>0</v>
      </c>
      <c r="M40" s="689">
        <f ca="1">tertiair!L20</f>
        <v>0</v>
      </c>
      <c r="N40" s="689">
        <f>tertiair!M20</f>
        <v>0</v>
      </c>
      <c r="O40" s="689">
        <f ca="1">tertiair!N20</f>
        <v>0</v>
      </c>
      <c r="P40" s="689">
        <f>tertiair!O20</f>
        <v>0</v>
      </c>
      <c r="Q40" s="772">
        <f>tertiair!P20</f>
        <v>0</v>
      </c>
      <c r="R40" s="852">
        <f t="shared" ca="1" si="4"/>
        <v>6198.5987527142725</v>
      </c>
    </row>
    <row r="41" spans="1:18">
      <c r="A41" s="824" t="s">
        <v>224</v>
      </c>
      <c r="B41" s="831"/>
      <c r="C41" s="689">
        <f ca="1">huishoudens!B12</f>
        <v>4624.9945313970375</v>
      </c>
      <c r="D41" s="689">
        <f ca="1">huishoudens!C12</f>
        <v>0</v>
      </c>
      <c r="E41" s="689">
        <f>huishoudens!D12</f>
        <v>15824.303800332202</v>
      </c>
      <c r="F41" s="689">
        <f>huishoudens!E12</f>
        <v>2407.9489659558085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22857.247297685048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1080.0844031784736</v>
      </c>
      <c r="D43" s="689">
        <f ca="1">industrie!C22</f>
        <v>0</v>
      </c>
      <c r="E43" s="689">
        <f>industrie!D22</f>
        <v>1393.433874243068</v>
      </c>
      <c r="F43" s="689">
        <f>industrie!E22</f>
        <v>5.2310966473323441</v>
      </c>
      <c r="G43" s="689">
        <f>industrie!F22</f>
        <v>508.4716156802009</v>
      </c>
      <c r="H43" s="689">
        <f>industrie!G22</f>
        <v>0</v>
      </c>
      <c r="I43" s="689">
        <f>industrie!H22</f>
        <v>0</v>
      </c>
      <c r="J43" s="689">
        <f>industrie!I22</f>
        <v>0</v>
      </c>
      <c r="K43" s="689">
        <f>industrie!J22</f>
        <v>0.36763375610440097</v>
      </c>
      <c r="L43" s="689">
        <f>industrie!K22</f>
        <v>0</v>
      </c>
      <c r="M43" s="689">
        <f>industrie!L22</f>
        <v>0</v>
      </c>
      <c r="N43" s="689">
        <f>industrie!M22</f>
        <v>0</v>
      </c>
      <c r="O43" s="689">
        <f>industrie!N22</f>
        <v>0</v>
      </c>
      <c r="P43" s="689">
        <f>industrie!O22</f>
        <v>0</v>
      </c>
      <c r="Q43" s="772">
        <f>industrie!P22</f>
        <v>0</v>
      </c>
      <c r="R43" s="851">
        <f t="shared" ca="1" si="4"/>
        <v>2987.5886235051798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7569.2896362252714</v>
      </c>
      <c r="D46" s="725">
        <f t="shared" ref="D46:Q46" ca="1" si="5">SUM(D39:D45)</f>
        <v>37.429411764705904</v>
      </c>
      <c r="E46" s="725">
        <f t="shared" ca="1" si="5"/>
        <v>21080.993991201369</v>
      </c>
      <c r="F46" s="725">
        <f t="shared" si="5"/>
        <v>2420.3255883825777</v>
      </c>
      <c r="G46" s="725">
        <f t="shared" ca="1" si="5"/>
        <v>935.02528790002486</v>
      </c>
      <c r="H46" s="725">
        <f t="shared" si="5"/>
        <v>0</v>
      </c>
      <c r="I46" s="725">
        <f t="shared" si="5"/>
        <v>0</v>
      </c>
      <c r="J46" s="725">
        <f t="shared" si="5"/>
        <v>0</v>
      </c>
      <c r="K46" s="725">
        <f t="shared" si="5"/>
        <v>0.37075843054921326</v>
      </c>
      <c r="L46" s="725">
        <f t="shared" si="5"/>
        <v>0</v>
      </c>
      <c r="M46" s="725">
        <f t="shared" ca="1" si="5"/>
        <v>0</v>
      </c>
      <c r="N46" s="725">
        <f t="shared" si="5"/>
        <v>0</v>
      </c>
      <c r="O46" s="725">
        <f t="shared" ca="1" si="5"/>
        <v>0</v>
      </c>
      <c r="P46" s="725">
        <f t="shared" si="5"/>
        <v>0</v>
      </c>
      <c r="Q46" s="725">
        <f t="shared" si="5"/>
        <v>0</v>
      </c>
      <c r="R46" s="725">
        <f ca="1">SUM(R39:R45)</f>
        <v>32043.4346739045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467.72012652309445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467.72012652309445</v>
      </c>
    </row>
    <row r="50" spans="1:18">
      <c r="A50" s="827" t="s">
        <v>306</v>
      </c>
      <c r="B50" s="837"/>
      <c r="C50" s="695">
        <f ca="1">transport!B18</f>
        <v>16.41090784324394</v>
      </c>
      <c r="D50" s="695">
        <f>transport!C18</f>
        <v>0</v>
      </c>
      <c r="E50" s="695">
        <f>transport!D18</f>
        <v>105.38022975905227</v>
      </c>
      <c r="F50" s="695">
        <f>transport!E18</f>
        <v>69.470846979515088</v>
      </c>
      <c r="G50" s="695">
        <f>transport!F18</f>
        <v>0</v>
      </c>
      <c r="H50" s="695">
        <f>transport!G18</f>
        <v>44082.30509797475</v>
      </c>
      <c r="I50" s="695">
        <f>transport!H18</f>
        <v>8406.8554746445207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52680.422557201084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16.41090784324394</v>
      </c>
      <c r="D52" s="725">
        <f t="shared" ref="D52:Q52" ca="1" si="6">SUM(D48:D51)</f>
        <v>0</v>
      </c>
      <c r="E52" s="725">
        <f t="shared" si="6"/>
        <v>105.38022975905227</v>
      </c>
      <c r="F52" s="725">
        <f t="shared" si="6"/>
        <v>69.470846979515088</v>
      </c>
      <c r="G52" s="725">
        <f t="shared" si="6"/>
        <v>0</v>
      </c>
      <c r="H52" s="725">
        <f t="shared" si="6"/>
        <v>44550.025224497847</v>
      </c>
      <c r="I52" s="725">
        <f t="shared" si="6"/>
        <v>8406.8554746445207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53148.142683724182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890.08676297394345</v>
      </c>
      <c r="D54" s="695">
        <f ca="1">+landbouw!C12</f>
        <v>10266.352941176476</v>
      </c>
      <c r="E54" s="695">
        <f>+landbouw!D12</f>
        <v>0</v>
      </c>
      <c r="F54" s="695">
        <f>+landbouw!E12</f>
        <v>54.046948551409336</v>
      </c>
      <c r="G54" s="695">
        <f>+landbouw!F12</f>
        <v>5530.4586783628629</v>
      </c>
      <c r="H54" s="695">
        <f>+landbouw!G12</f>
        <v>0</v>
      </c>
      <c r="I54" s="695">
        <f>+landbouw!H12</f>
        <v>0</v>
      </c>
      <c r="J54" s="695">
        <f>+landbouw!I12</f>
        <v>0</v>
      </c>
      <c r="K54" s="695">
        <f>+landbouw!J12</f>
        <v>593.27773996442841</v>
      </c>
      <c r="L54" s="695">
        <f>+landbouw!K12</f>
        <v>0</v>
      </c>
      <c r="M54" s="695">
        <f>+landbouw!L12</f>
        <v>0</v>
      </c>
      <c r="N54" s="695">
        <f>+landbouw!M12</f>
        <v>0</v>
      </c>
      <c r="O54" s="695">
        <f>+landbouw!N12</f>
        <v>0</v>
      </c>
      <c r="P54" s="695">
        <f>+landbouw!O12</f>
        <v>0</v>
      </c>
      <c r="Q54" s="696">
        <f>+landbouw!P12</f>
        <v>0</v>
      </c>
      <c r="R54" s="724">
        <f ca="1">SUM(C54:Q54)</f>
        <v>17334.223071029122</v>
      </c>
    </row>
    <row r="55" spans="1:18" ht="15" thickBot="1">
      <c r="A55" s="827" t="s">
        <v>714</v>
      </c>
      <c r="B55" s="837"/>
      <c r="C55" s="695">
        <f ca="1">C25*'EF ele_warmte'!B12</f>
        <v>251.17099395024735</v>
      </c>
      <c r="D55" s="695"/>
      <c r="E55" s="695">
        <f>E25*EF_CO2_aardgas</f>
        <v>600.86676598162217</v>
      </c>
      <c r="F55" s="695"/>
      <c r="G55" s="695"/>
      <c r="H55" s="695"/>
      <c r="I55" s="695"/>
      <c r="J55" s="695"/>
      <c r="K55" s="695"/>
      <c r="L55" s="695"/>
      <c r="M55" s="695"/>
      <c r="N55" s="695"/>
      <c r="O55" s="695"/>
      <c r="P55" s="695"/>
      <c r="Q55" s="696"/>
      <c r="R55" s="724">
        <f ca="1">SUM(C55:Q55)</f>
        <v>852.03775993186946</v>
      </c>
    </row>
    <row r="56" spans="1:18" ht="15.75" thickBot="1">
      <c r="A56" s="825" t="s">
        <v>715</v>
      </c>
      <c r="B56" s="838"/>
      <c r="C56" s="725">
        <f ca="1">SUM(C54:C55)</f>
        <v>1141.2577569241907</v>
      </c>
      <c r="D56" s="725">
        <f t="shared" ref="D56:Q56" ca="1" si="7">SUM(D54:D55)</f>
        <v>10266.352941176476</v>
      </c>
      <c r="E56" s="725">
        <f t="shared" si="7"/>
        <v>600.86676598162217</v>
      </c>
      <c r="F56" s="725">
        <f t="shared" si="7"/>
        <v>54.046948551409336</v>
      </c>
      <c r="G56" s="725">
        <f t="shared" si="7"/>
        <v>5530.4586783628629</v>
      </c>
      <c r="H56" s="725">
        <f t="shared" si="7"/>
        <v>0</v>
      </c>
      <c r="I56" s="725">
        <f t="shared" si="7"/>
        <v>0</v>
      </c>
      <c r="J56" s="725">
        <f t="shared" si="7"/>
        <v>0</v>
      </c>
      <c r="K56" s="725">
        <f t="shared" si="7"/>
        <v>593.27773996442841</v>
      </c>
      <c r="L56" s="725">
        <f t="shared" si="7"/>
        <v>0</v>
      </c>
      <c r="M56" s="725">
        <f t="shared" si="7"/>
        <v>0</v>
      </c>
      <c r="N56" s="725">
        <f t="shared" si="7"/>
        <v>0</v>
      </c>
      <c r="O56" s="725">
        <f t="shared" si="7"/>
        <v>0</v>
      </c>
      <c r="P56" s="725">
        <f t="shared" si="7"/>
        <v>0</v>
      </c>
      <c r="Q56" s="726">
        <f t="shared" si="7"/>
        <v>0</v>
      </c>
      <c r="R56" s="727">
        <f ca="1">SUM(R54:R55)</f>
        <v>18186.260830960993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8726.9583009927064</v>
      </c>
      <c r="D61" s="733">
        <f t="shared" ref="D61:Q61" ca="1" si="8">D46+D52+D56</f>
        <v>10303.782352941182</v>
      </c>
      <c r="E61" s="733">
        <f t="shared" ca="1" si="8"/>
        <v>21787.240986942044</v>
      </c>
      <c r="F61" s="733">
        <f t="shared" si="8"/>
        <v>2543.8433839135023</v>
      </c>
      <c r="G61" s="733">
        <f t="shared" ca="1" si="8"/>
        <v>6465.4839662628874</v>
      </c>
      <c r="H61" s="733">
        <f t="shared" si="8"/>
        <v>44550.025224497847</v>
      </c>
      <c r="I61" s="733">
        <f t="shared" si="8"/>
        <v>8406.8554746445207</v>
      </c>
      <c r="J61" s="733">
        <f t="shared" si="8"/>
        <v>0</v>
      </c>
      <c r="K61" s="733">
        <f t="shared" si="8"/>
        <v>593.64849839497765</v>
      </c>
      <c r="L61" s="733">
        <f t="shared" si="8"/>
        <v>0</v>
      </c>
      <c r="M61" s="733">
        <f t="shared" ca="1" si="8"/>
        <v>0</v>
      </c>
      <c r="N61" s="733">
        <f t="shared" si="8"/>
        <v>0</v>
      </c>
      <c r="O61" s="733">
        <f t="shared" ca="1" si="8"/>
        <v>0</v>
      </c>
      <c r="P61" s="733">
        <f t="shared" si="8"/>
        <v>0</v>
      </c>
      <c r="Q61" s="733">
        <f t="shared" si="8"/>
        <v>0</v>
      </c>
      <c r="R61" s="733">
        <f ca="1">R46+R52+R56</f>
        <v>103377.83818858967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0.13941677304108374</v>
      </c>
      <c r="D63" s="779">
        <f t="shared" ca="1" si="9"/>
        <v>0.23764705882352954</v>
      </c>
      <c r="E63" s="973">
        <f t="shared" ca="1" si="9"/>
        <v>0.20200000000000004</v>
      </c>
      <c r="F63" s="779">
        <f t="shared" si="9"/>
        <v>0.22700000000000004</v>
      </c>
      <c r="G63" s="779">
        <f t="shared" ca="1" si="9"/>
        <v>0.26699999999999996</v>
      </c>
      <c r="H63" s="779">
        <f t="shared" si="9"/>
        <v>0.26700000000000007</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15293.595427666696</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10100.256482379213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30350.25</v>
      </c>
      <c r="D76" s="956">
        <f>'lokale energieproductie'!C8</f>
        <v>35706.176470588238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7212.6476470588241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25393.851910045909</v>
      </c>
      <c r="C78" s="751">
        <f>SUM(C72:C77)</f>
        <v>30350.25</v>
      </c>
      <c r="D78" s="752">
        <f t="shared" ref="D78:H78" si="10">SUM(D76:D77)</f>
        <v>35706.176470588238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7212.6476470588241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43357.500000000007</v>
      </c>
      <c r="D87" s="775">
        <f>'lokale energieproductie'!C17</f>
        <v>51008.823529411784</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10303.782352941182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43357.500000000007</v>
      </c>
      <c r="D90" s="751">
        <f t="shared" ref="D90:H90" si="12">SUM(D87:D89)</f>
        <v>51008.823529411784</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10303.782352941182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33173.874495245494</v>
      </c>
      <c r="C4" s="455">
        <f>huishoudens!C8</f>
        <v>0</v>
      </c>
      <c r="D4" s="455">
        <f>huishoudens!D8</f>
        <v>78338.137625406933</v>
      </c>
      <c r="E4" s="455">
        <f>huishoudens!E8</f>
        <v>10607.704695840566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24591.585175325508</v>
      </c>
      <c r="O4" s="455">
        <f>huishoudens!O8</f>
        <v>392.82372743863232</v>
      </c>
      <c r="P4" s="456">
        <f>huishoudens!P8</f>
        <v>1116.5996866146124</v>
      </c>
      <c r="Q4" s="457">
        <f>SUM(B4:P4)</f>
        <v>148220.72540587175</v>
      </c>
    </row>
    <row r="5" spans="1:17">
      <c r="A5" s="454" t="s">
        <v>155</v>
      </c>
      <c r="B5" s="455">
        <f ca="1">tertiair!B16</f>
        <v>12283.141129215255</v>
      </c>
      <c r="C5" s="455">
        <f ca="1">tertiair!C16</f>
        <v>157.5</v>
      </c>
      <c r="D5" s="455">
        <f ca="1">tertiair!D16</f>
        <v>19125.03127042624</v>
      </c>
      <c r="E5" s="455">
        <f>tertiair!E16</f>
        <v>31.478087134083175</v>
      </c>
      <c r="F5" s="455">
        <f ca="1">tertiair!F16</f>
        <v>1597.5792967034604</v>
      </c>
      <c r="G5" s="455">
        <f>tertiair!G16</f>
        <v>0</v>
      </c>
      <c r="H5" s="455">
        <f>tertiair!H16</f>
        <v>0</v>
      </c>
      <c r="I5" s="455">
        <f>tertiair!I16</f>
        <v>0</v>
      </c>
      <c r="J5" s="455">
        <f>tertiair!J16</f>
        <v>8.82676396839625E-3</v>
      </c>
      <c r="K5" s="455">
        <f>tertiair!K16</f>
        <v>0</v>
      </c>
      <c r="L5" s="455">
        <f ca="1">tertiair!L16</f>
        <v>0</v>
      </c>
      <c r="M5" s="455">
        <f>tertiair!M16</f>
        <v>0</v>
      </c>
      <c r="N5" s="455">
        <f ca="1">tertiair!N16</f>
        <v>330.54689591660826</v>
      </c>
      <c r="O5" s="455">
        <f>tertiair!O16</f>
        <v>4.8972607658411542</v>
      </c>
      <c r="P5" s="456">
        <f>tertiair!P16</f>
        <v>105.07827661299004</v>
      </c>
      <c r="Q5" s="454">
        <f t="shared" ref="Q5:Q14" ca="1" si="0">SUM(B5:P5)</f>
        <v>33635.261043538449</v>
      </c>
    </row>
    <row r="6" spans="1:17">
      <c r="A6" s="454" t="s">
        <v>193</v>
      </c>
      <c r="B6" s="455">
        <f>'openbare verlichting'!B8</f>
        <v>1088.354</v>
      </c>
      <c r="C6" s="455"/>
      <c r="D6" s="455"/>
      <c r="E6" s="455"/>
      <c r="F6" s="455"/>
      <c r="G6" s="455"/>
      <c r="H6" s="455"/>
      <c r="I6" s="455"/>
      <c r="J6" s="455"/>
      <c r="K6" s="455"/>
      <c r="L6" s="455"/>
      <c r="M6" s="455"/>
      <c r="N6" s="455"/>
      <c r="O6" s="455"/>
      <c r="P6" s="456"/>
      <c r="Q6" s="454">
        <f t="shared" si="0"/>
        <v>1088.354</v>
      </c>
    </row>
    <row r="7" spans="1:17">
      <c r="A7" s="454" t="s">
        <v>111</v>
      </c>
      <c r="B7" s="455">
        <f>landbouw!B8</f>
        <v>6384.3592385519505</v>
      </c>
      <c r="C7" s="455">
        <f>landbouw!C8</f>
        <v>43200</v>
      </c>
      <c r="D7" s="455">
        <f>landbouw!D8</f>
        <v>0</v>
      </c>
      <c r="E7" s="455">
        <f>landbouw!E8</f>
        <v>238.09228436744201</v>
      </c>
      <c r="F7" s="455">
        <f>landbouw!F8</f>
        <v>20713.328383381508</v>
      </c>
      <c r="G7" s="455">
        <f>landbouw!G8</f>
        <v>0</v>
      </c>
      <c r="H7" s="455">
        <f>landbouw!H8</f>
        <v>0</v>
      </c>
      <c r="I7" s="455">
        <f>landbouw!I8</f>
        <v>0</v>
      </c>
      <c r="J7" s="455">
        <f>landbouw!J8</f>
        <v>1675.9258191085551</v>
      </c>
      <c r="K7" s="455">
        <f>landbouw!K8</f>
        <v>0</v>
      </c>
      <c r="L7" s="455">
        <f>landbouw!L8</f>
        <v>0</v>
      </c>
      <c r="M7" s="455">
        <f>landbouw!M8</f>
        <v>0</v>
      </c>
      <c r="N7" s="455">
        <f>landbouw!N8</f>
        <v>0</v>
      </c>
      <c r="O7" s="455">
        <f>landbouw!O8</f>
        <v>0</v>
      </c>
      <c r="P7" s="456">
        <f>landbouw!P8</f>
        <v>0</v>
      </c>
      <c r="Q7" s="454">
        <f t="shared" si="0"/>
        <v>72211.705725409454</v>
      </c>
    </row>
    <row r="8" spans="1:17">
      <c r="A8" s="454" t="s">
        <v>626</v>
      </c>
      <c r="B8" s="455">
        <f>industrie!B18</f>
        <v>7747.162551669383</v>
      </c>
      <c r="C8" s="455">
        <f>industrie!C18</f>
        <v>0</v>
      </c>
      <c r="D8" s="455">
        <f>industrie!D18</f>
        <v>6898.1874962528118</v>
      </c>
      <c r="E8" s="455">
        <f>industrie!E18</f>
        <v>23.044478622609443</v>
      </c>
      <c r="F8" s="455">
        <f>industrie!F18</f>
        <v>1904.3880737086174</v>
      </c>
      <c r="G8" s="455">
        <f>industrie!G18</f>
        <v>0</v>
      </c>
      <c r="H8" s="455">
        <f>industrie!H18</f>
        <v>0</v>
      </c>
      <c r="I8" s="455">
        <f>industrie!I18</f>
        <v>0</v>
      </c>
      <c r="J8" s="455">
        <f>industrie!J18</f>
        <v>1.0385134353231666</v>
      </c>
      <c r="K8" s="455">
        <f>industrie!K18</f>
        <v>0</v>
      </c>
      <c r="L8" s="455">
        <f>industrie!L18</f>
        <v>0</v>
      </c>
      <c r="M8" s="455">
        <f>industrie!M18</f>
        <v>0</v>
      </c>
      <c r="N8" s="455">
        <f>industrie!N18</f>
        <v>257.72683643793772</v>
      </c>
      <c r="O8" s="455">
        <f>industrie!O18</f>
        <v>0</v>
      </c>
      <c r="P8" s="456">
        <f>industrie!P18</f>
        <v>0</v>
      </c>
      <c r="Q8" s="454">
        <f t="shared" si="0"/>
        <v>16831.547950126682</v>
      </c>
    </row>
    <row r="9" spans="1:17" s="460" customFormat="1">
      <c r="A9" s="458" t="s">
        <v>552</v>
      </c>
      <c r="B9" s="459">
        <f>transport!B14</f>
        <v>117.71114396980001</v>
      </c>
      <c r="C9" s="459">
        <f>transport!C14</f>
        <v>0</v>
      </c>
      <c r="D9" s="459">
        <f>transport!D14</f>
        <v>521.68430573788248</v>
      </c>
      <c r="E9" s="459">
        <f>transport!E14</f>
        <v>306.03897347804002</v>
      </c>
      <c r="F9" s="459">
        <f>transport!F14</f>
        <v>0</v>
      </c>
      <c r="G9" s="459">
        <f>transport!G14</f>
        <v>165102.26628454961</v>
      </c>
      <c r="H9" s="459">
        <f>transport!H14</f>
        <v>33762.471785720969</v>
      </c>
      <c r="I9" s="459">
        <f>transport!I14</f>
        <v>0</v>
      </c>
      <c r="J9" s="459">
        <f>transport!J14</f>
        <v>0</v>
      </c>
      <c r="K9" s="459">
        <f>transport!K14</f>
        <v>0</v>
      </c>
      <c r="L9" s="459">
        <f>transport!L14</f>
        <v>0</v>
      </c>
      <c r="M9" s="459">
        <f>transport!M14</f>
        <v>11642.519073001575</v>
      </c>
      <c r="N9" s="459">
        <f>transport!N14</f>
        <v>0</v>
      </c>
      <c r="O9" s="459">
        <f>transport!O14</f>
        <v>0</v>
      </c>
      <c r="P9" s="459">
        <f>transport!P14</f>
        <v>0</v>
      </c>
      <c r="Q9" s="458">
        <f>SUM(B9:P9)</f>
        <v>211452.69156645786</v>
      </c>
    </row>
    <row r="10" spans="1:17">
      <c r="A10" s="454" t="s">
        <v>542</v>
      </c>
      <c r="B10" s="455">
        <f>transport!B54</f>
        <v>0</v>
      </c>
      <c r="C10" s="455">
        <f>transport!C54</f>
        <v>0</v>
      </c>
      <c r="D10" s="455">
        <f>transport!D54</f>
        <v>0</v>
      </c>
      <c r="E10" s="455">
        <f>transport!E54</f>
        <v>0</v>
      </c>
      <c r="F10" s="455">
        <f>transport!F54</f>
        <v>0</v>
      </c>
      <c r="G10" s="455">
        <f>transport!G54</f>
        <v>1751.7607734947358</v>
      </c>
      <c r="H10" s="455">
        <f>transport!H54</f>
        <v>0</v>
      </c>
      <c r="I10" s="455">
        <f>transport!I54</f>
        <v>0</v>
      </c>
      <c r="J10" s="455">
        <f>transport!J54</f>
        <v>0</v>
      </c>
      <c r="K10" s="455">
        <f>transport!K54</f>
        <v>0</v>
      </c>
      <c r="L10" s="455">
        <f>transport!L54</f>
        <v>0</v>
      </c>
      <c r="M10" s="455">
        <f>transport!M54</f>
        <v>95.060516878078701</v>
      </c>
      <c r="N10" s="455">
        <f>transport!N54</f>
        <v>0</v>
      </c>
      <c r="O10" s="455">
        <f>transport!O54</f>
        <v>0</v>
      </c>
      <c r="P10" s="456">
        <f>transport!P54</f>
        <v>0</v>
      </c>
      <c r="Q10" s="454">
        <f t="shared" si="0"/>
        <v>1846.8212903728145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1801.5837583346699</v>
      </c>
      <c r="C14" s="462"/>
      <c r="D14" s="462">
        <f>'SEAP template'!E25</f>
        <v>2974.5879504040699</v>
      </c>
      <c r="E14" s="462"/>
      <c r="F14" s="462"/>
      <c r="G14" s="462"/>
      <c r="H14" s="462"/>
      <c r="I14" s="462"/>
      <c r="J14" s="462"/>
      <c r="K14" s="462"/>
      <c r="L14" s="462"/>
      <c r="M14" s="462"/>
      <c r="N14" s="462"/>
      <c r="O14" s="462"/>
      <c r="P14" s="463"/>
      <c r="Q14" s="454">
        <f t="shared" si="0"/>
        <v>4776.1717087387397</v>
      </c>
    </row>
    <row r="15" spans="1:17" s="466" customFormat="1">
      <c r="A15" s="464" t="s">
        <v>546</v>
      </c>
      <c r="B15" s="465">
        <f ca="1">SUM(B4:B14)</f>
        <v>62596.186316986554</v>
      </c>
      <c r="C15" s="465">
        <f t="shared" ref="C15:Q15" ca="1" si="1">SUM(C4:C14)</f>
        <v>43357.5</v>
      </c>
      <c r="D15" s="465">
        <f t="shared" ca="1" si="1"/>
        <v>107857.62864822792</v>
      </c>
      <c r="E15" s="465">
        <f t="shared" si="1"/>
        <v>11206.35851944274</v>
      </c>
      <c r="F15" s="465">
        <f t="shared" ca="1" si="1"/>
        <v>24215.295753793587</v>
      </c>
      <c r="G15" s="465">
        <f t="shared" si="1"/>
        <v>166854.02705804433</v>
      </c>
      <c r="H15" s="465">
        <f t="shared" si="1"/>
        <v>33762.471785720969</v>
      </c>
      <c r="I15" s="465">
        <f t="shared" si="1"/>
        <v>0</v>
      </c>
      <c r="J15" s="465">
        <f t="shared" si="1"/>
        <v>1676.9731593078468</v>
      </c>
      <c r="K15" s="465">
        <f t="shared" si="1"/>
        <v>0</v>
      </c>
      <c r="L15" s="465">
        <f t="shared" ca="1" si="1"/>
        <v>0</v>
      </c>
      <c r="M15" s="465">
        <f t="shared" si="1"/>
        <v>11737.579589879653</v>
      </c>
      <c r="N15" s="465">
        <f t="shared" ca="1" si="1"/>
        <v>25179.858907680053</v>
      </c>
      <c r="O15" s="465">
        <f t="shared" si="1"/>
        <v>397.72098820447349</v>
      </c>
      <c r="P15" s="465">
        <f t="shared" si="1"/>
        <v>1221.6779632276025</v>
      </c>
      <c r="Q15" s="465">
        <f t="shared" ca="1" si="1"/>
        <v>490063.27869051573</v>
      </c>
    </row>
    <row r="17" spans="1:17">
      <c r="A17" s="467" t="s">
        <v>547</v>
      </c>
      <c r="B17" s="784">
        <f ca="1">huishoudens!B10</f>
        <v>0.13941677304108374</v>
      </c>
      <c r="C17" s="784">
        <f ca="1">huishoudens!C10</f>
        <v>0.23764705882352954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4624.9945313970375</v>
      </c>
      <c r="C22" s="455">
        <f t="shared" ref="C22:C32" ca="1" si="3">C4*$C$17</f>
        <v>0</v>
      </c>
      <c r="D22" s="455">
        <f t="shared" ref="D22:D32" si="4">D4*$D$17</f>
        <v>15824.303800332202</v>
      </c>
      <c r="E22" s="455">
        <f t="shared" ref="E22:E32" si="5">E4*$E$17</f>
        <v>2407.9489659558085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22857.247297685048</v>
      </c>
    </row>
    <row r="23" spans="1:17">
      <c r="A23" s="454" t="s">
        <v>155</v>
      </c>
      <c r="B23" s="455">
        <f t="shared" ca="1" si="2"/>
        <v>1712.4758990434043</v>
      </c>
      <c r="C23" s="455">
        <f t="shared" ca="1" si="3"/>
        <v>37.429411764705904</v>
      </c>
      <c r="D23" s="455">
        <f t="shared" ca="1" si="4"/>
        <v>3863.2563166261007</v>
      </c>
      <c r="E23" s="455">
        <f t="shared" si="5"/>
        <v>7.1455257794368814</v>
      </c>
      <c r="F23" s="455">
        <f t="shared" ca="1" si="6"/>
        <v>426.55367221982397</v>
      </c>
      <c r="G23" s="455">
        <f t="shared" si="7"/>
        <v>0</v>
      </c>
      <c r="H23" s="455">
        <f t="shared" si="8"/>
        <v>0</v>
      </c>
      <c r="I23" s="455">
        <f t="shared" si="9"/>
        <v>0</v>
      </c>
      <c r="J23" s="455">
        <f t="shared" si="10"/>
        <v>3.1246744448122721E-3</v>
      </c>
      <c r="K23" s="455">
        <f t="shared" si="11"/>
        <v>0</v>
      </c>
      <c r="L23" s="455">
        <f t="shared" ca="1" si="12"/>
        <v>0</v>
      </c>
      <c r="M23" s="455">
        <f t="shared" si="13"/>
        <v>0</v>
      </c>
      <c r="N23" s="455">
        <f t="shared" ca="1" si="14"/>
        <v>0</v>
      </c>
      <c r="O23" s="455">
        <f t="shared" si="15"/>
        <v>0</v>
      </c>
      <c r="P23" s="456">
        <f t="shared" si="16"/>
        <v>0</v>
      </c>
      <c r="Q23" s="454">
        <f t="shared" ref="Q23:Q31" ca="1" si="17">SUM(B23:P23)</f>
        <v>6046.863950107916</v>
      </c>
    </row>
    <row r="24" spans="1:17">
      <c r="A24" s="454" t="s">
        <v>193</v>
      </c>
      <c r="B24" s="455">
        <f t="shared" ca="1" si="2"/>
        <v>151.73480260635566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151.73480260635566</v>
      </c>
    </row>
    <row r="25" spans="1:17">
      <c r="A25" s="454" t="s">
        <v>111</v>
      </c>
      <c r="B25" s="455">
        <f t="shared" ca="1" si="2"/>
        <v>890.08676297394345</v>
      </c>
      <c r="C25" s="455">
        <f t="shared" ca="1" si="3"/>
        <v>10266.352941176476</v>
      </c>
      <c r="D25" s="455">
        <f t="shared" si="4"/>
        <v>0</v>
      </c>
      <c r="E25" s="455">
        <f t="shared" si="5"/>
        <v>54.046948551409336</v>
      </c>
      <c r="F25" s="455">
        <f t="shared" si="6"/>
        <v>5530.4586783628629</v>
      </c>
      <c r="G25" s="455">
        <f t="shared" si="7"/>
        <v>0</v>
      </c>
      <c r="H25" s="455">
        <f t="shared" si="8"/>
        <v>0</v>
      </c>
      <c r="I25" s="455">
        <f t="shared" si="9"/>
        <v>0</v>
      </c>
      <c r="J25" s="455">
        <f t="shared" si="10"/>
        <v>593.27773996442841</v>
      </c>
      <c r="K25" s="455">
        <f t="shared" si="11"/>
        <v>0</v>
      </c>
      <c r="L25" s="455">
        <f t="shared" si="12"/>
        <v>0</v>
      </c>
      <c r="M25" s="455">
        <f t="shared" si="13"/>
        <v>0</v>
      </c>
      <c r="N25" s="455">
        <f t="shared" si="14"/>
        <v>0</v>
      </c>
      <c r="O25" s="455">
        <f t="shared" si="15"/>
        <v>0</v>
      </c>
      <c r="P25" s="456">
        <f t="shared" si="16"/>
        <v>0</v>
      </c>
      <c r="Q25" s="454">
        <f t="shared" ca="1" si="17"/>
        <v>17334.223071029122</v>
      </c>
    </row>
    <row r="26" spans="1:17">
      <c r="A26" s="454" t="s">
        <v>626</v>
      </c>
      <c r="B26" s="455">
        <f t="shared" ca="1" si="2"/>
        <v>1080.0844031784736</v>
      </c>
      <c r="C26" s="455">
        <f t="shared" ca="1" si="3"/>
        <v>0</v>
      </c>
      <c r="D26" s="455">
        <f t="shared" si="4"/>
        <v>1393.433874243068</v>
      </c>
      <c r="E26" s="455">
        <f t="shared" si="5"/>
        <v>5.2310966473323441</v>
      </c>
      <c r="F26" s="455">
        <f t="shared" si="6"/>
        <v>508.4716156802009</v>
      </c>
      <c r="G26" s="455">
        <f t="shared" si="7"/>
        <v>0</v>
      </c>
      <c r="H26" s="455">
        <f t="shared" si="8"/>
        <v>0</v>
      </c>
      <c r="I26" s="455">
        <f t="shared" si="9"/>
        <v>0</v>
      </c>
      <c r="J26" s="455">
        <f t="shared" si="10"/>
        <v>0.36763375610440097</v>
      </c>
      <c r="K26" s="455">
        <f t="shared" si="11"/>
        <v>0</v>
      </c>
      <c r="L26" s="455">
        <f t="shared" si="12"/>
        <v>0</v>
      </c>
      <c r="M26" s="455">
        <f t="shared" si="13"/>
        <v>0</v>
      </c>
      <c r="N26" s="455">
        <f t="shared" si="14"/>
        <v>0</v>
      </c>
      <c r="O26" s="455">
        <f t="shared" si="15"/>
        <v>0</v>
      </c>
      <c r="P26" s="456">
        <f t="shared" si="16"/>
        <v>0</v>
      </c>
      <c r="Q26" s="454">
        <f t="shared" ca="1" si="17"/>
        <v>2987.5886235051798</v>
      </c>
    </row>
    <row r="27" spans="1:17" s="460" customFormat="1">
      <c r="A27" s="458" t="s">
        <v>552</v>
      </c>
      <c r="B27" s="778">
        <f t="shared" ca="1" si="2"/>
        <v>16.41090784324394</v>
      </c>
      <c r="C27" s="459">
        <f t="shared" ca="1" si="3"/>
        <v>0</v>
      </c>
      <c r="D27" s="459">
        <f t="shared" si="4"/>
        <v>105.38022975905227</v>
      </c>
      <c r="E27" s="459">
        <f t="shared" si="5"/>
        <v>69.470846979515088</v>
      </c>
      <c r="F27" s="459">
        <f t="shared" si="6"/>
        <v>0</v>
      </c>
      <c r="G27" s="459">
        <f t="shared" si="7"/>
        <v>44082.30509797475</v>
      </c>
      <c r="H27" s="459">
        <f t="shared" si="8"/>
        <v>8406.8554746445207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52680.422557201084</v>
      </c>
    </row>
    <row r="28" spans="1:17" ht="16.5" customHeight="1">
      <c r="A28" s="454" t="s">
        <v>542</v>
      </c>
      <c r="B28" s="455">
        <f t="shared" ca="1" si="2"/>
        <v>0</v>
      </c>
      <c r="C28" s="455">
        <f t="shared" ca="1" si="3"/>
        <v>0</v>
      </c>
      <c r="D28" s="455">
        <f t="shared" si="4"/>
        <v>0</v>
      </c>
      <c r="E28" s="455">
        <f t="shared" si="5"/>
        <v>0</v>
      </c>
      <c r="F28" s="455">
        <f t="shared" si="6"/>
        <v>0</v>
      </c>
      <c r="G28" s="455">
        <f t="shared" si="7"/>
        <v>467.72012652309445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467.72012652309445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251.17099395024735</v>
      </c>
      <c r="C32" s="455">
        <f t="shared" ca="1" si="3"/>
        <v>0</v>
      </c>
      <c r="D32" s="455">
        <f t="shared" si="4"/>
        <v>600.86676598162217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852.03775993186946</v>
      </c>
    </row>
    <row r="33" spans="1:17" s="466" customFormat="1">
      <c r="A33" s="464" t="s">
        <v>546</v>
      </c>
      <c r="B33" s="465">
        <f ca="1">SUM(B22:B32)</f>
        <v>8726.9583009927064</v>
      </c>
      <c r="C33" s="465">
        <f t="shared" ref="C33:Q33" ca="1" si="19">SUM(C22:C32)</f>
        <v>10303.782352941182</v>
      </c>
      <c r="D33" s="465">
        <f t="shared" ca="1" si="19"/>
        <v>21787.240986942044</v>
      </c>
      <c r="E33" s="465">
        <f t="shared" si="19"/>
        <v>2543.8433839135023</v>
      </c>
      <c r="F33" s="465">
        <f t="shared" ca="1" si="19"/>
        <v>6465.4839662628874</v>
      </c>
      <c r="G33" s="465">
        <f t="shared" si="19"/>
        <v>44550.025224497847</v>
      </c>
      <c r="H33" s="465">
        <f t="shared" si="19"/>
        <v>8406.8554746445207</v>
      </c>
      <c r="I33" s="465">
        <f t="shared" si="19"/>
        <v>0</v>
      </c>
      <c r="J33" s="465">
        <f t="shared" si="19"/>
        <v>593.64849839497765</v>
      </c>
      <c r="K33" s="465">
        <f t="shared" si="19"/>
        <v>0</v>
      </c>
      <c r="L33" s="465">
        <f t="shared" ca="1" si="19"/>
        <v>0</v>
      </c>
      <c r="M33" s="465">
        <f t="shared" si="19"/>
        <v>0</v>
      </c>
      <c r="N33" s="465">
        <f t="shared" ca="1" si="19"/>
        <v>0</v>
      </c>
      <c r="O33" s="465">
        <f t="shared" si="19"/>
        <v>0</v>
      </c>
      <c r="P33" s="465">
        <f t="shared" si="19"/>
        <v>0</v>
      </c>
      <c r="Q33" s="465">
        <f t="shared" ca="1" si="19"/>
        <v>103377.83818858968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15293.595427666696</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10100.256482379213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30350.25</v>
      </c>
      <c r="D8" s="1026">
        <f>'SEAP template'!D76</f>
        <v>35706.176470588238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7212.6476470588241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25393.851910045909</v>
      </c>
      <c r="C10" s="1028">
        <f>SUM(C4:C9)</f>
        <v>30350.25</v>
      </c>
      <c r="D10" s="1028">
        <f t="shared" ref="D10:H10" si="0">SUM(D8:D9)</f>
        <v>35706.176470588238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7212.6476470588241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0.13941677304108374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43357.500000000007</v>
      </c>
      <c r="D17" s="1027">
        <f>'SEAP template'!D87</f>
        <v>51008.823529411784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10303.782352941182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43357.500000000007</v>
      </c>
      <c r="D20" s="1028">
        <f t="shared" ref="D20:H20" si="2">SUM(D17:D19)</f>
        <v>51008.823529411784</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10303.782352941182</v>
      </c>
    </row>
    <row r="21" spans="1:16">
      <c r="B21" s="890"/>
    </row>
    <row r="22" spans="1:16">
      <c r="A22" s="467" t="s">
        <v>773</v>
      </c>
      <c r="B22" s="784" t="s">
        <v>771</v>
      </c>
      <c r="C22" s="784">
        <f ca="1">'EF ele_warmte'!B22</f>
        <v>0.23764705882352954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0.13941677304108374</v>
      </c>
      <c r="C17" s="504">
        <f ca="1">'EF ele_warmte'!B22</f>
        <v>0.23764705882352954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0.13941677304108374</v>
      </c>
      <c r="C17" s="504">
        <f ca="1">'EF ele_warmte'!B22</f>
        <v>0.23764705882352954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0.13941677304108374</v>
      </c>
      <c r="C29" s="505">
        <f ca="1">'EF ele_warmte'!B22</f>
        <v>0.23764705882352954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7824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3617.46</v>
      </c>
      <c r="C14" s="332"/>
      <c r="D14" s="332"/>
      <c r="E14" s="332"/>
      <c r="F14" s="332"/>
    </row>
    <row r="15" spans="1:6">
      <c r="A15" s="1310" t="s">
        <v>183</v>
      </c>
      <c r="B15" s="1311">
        <v>25</v>
      </c>
      <c r="C15" s="332"/>
      <c r="D15" s="332"/>
      <c r="E15" s="332"/>
      <c r="F15" s="332"/>
    </row>
    <row r="16" spans="1:6">
      <c r="A16" s="1310" t="s">
        <v>6</v>
      </c>
      <c r="B16" s="1311">
        <v>844</v>
      </c>
      <c r="C16" s="332"/>
      <c r="D16" s="332"/>
      <c r="E16" s="332"/>
      <c r="F16" s="332"/>
    </row>
    <row r="17" spans="1:6">
      <c r="A17" s="1310" t="s">
        <v>7</v>
      </c>
      <c r="B17" s="1311">
        <v>793</v>
      </c>
      <c r="C17" s="332"/>
      <c r="D17" s="332"/>
      <c r="E17" s="332"/>
      <c r="F17" s="332"/>
    </row>
    <row r="18" spans="1:6">
      <c r="A18" s="1310" t="s">
        <v>8</v>
      </c>
      <c r="B18" s="1311">
        <v>1185</v>
      </c>
      <c r="C18" s="332"/>
      <c r="D18" s="332"/>
      <c r="E18" s="332"/>
      <c r="F18" s="332"/>
    </row>
    <row r="19" spans="1:6">
      <c r="A19" s="1310" t="s">
        <v>9</v>
      </c>
      <c r="B19" s="1311">
        <v>1163</v>
      </c>
      <c r="C19" s="332"/>
      <c r="D19" s="332"/>
      <c r="E19" s="332"/>
      <c r="F19" s="332"/>
    </row>
    <row r="20" spans="1:6">
      <c r="A20" s="1310" t="s">
        <v>10</v>
      </c>
      <c r="B20" s="1311">
        <v>805</v>
      </c>
      <c r="C20" s="332"/>
      <c r="D20" s="332"/>
      <c r="E20" s="332"/>
      <c r="F20" s="332"/>
    </row>
    <row r="21" spans="1:6">
      <c r="A21" s="1310" t="s">
        <v>11</v>
      </c>
      <c r="B21" s="1311">
        <v>5954</v>
      </c>
      <c r="C21" s="332"/>
      <c r="D21" s="332"/>
      <c r="E21" s="332"/>
      <c r="F21" s="332"/>
    </row>
    <row r="22" spans="1:6">
      <c r="A22" s="1310" t="s">
        <v>12</v>
      </c>
      <c r="B22" s="1311">
        <v>27204</v>
      </c>
      <c r="C22" s="332"/>
      <c r="D22" s="332"/>
      <c r="E22" s="332"/>
      <c r="F22" s="332"/>
    </row>
    <row r="23" spans="1:6">
      <c r="A23" s="1310" t="s">
        <v>13</v>
      </c>
      <c r="B23" s="1311">
        <v>228</v>
      </c>
      <c r="C23" s="332"/>
      <c r="D23" s="332"/>
      <c r="E23" s="332"/>
      <c r="F23" s="332"/>
    </row>
    <row r="24" spans="1:6">
      <c r="A24" s="1310" t="s">
        <v>14</v>
      </c>
      <c r="B24" s="1311">
        <v>120</v>
      </c>
      <c r="C24" s="332"/>
      <c r="D24" s="332"/>
      <c r="E24" s="332"/>
      <c r="F24" s="332"/>
    </row>
    <row r="25" spans="1:6">
      <c r="A25" s="1310" t="s">
        <v>15</v>
      </c>
      <c r="B25" s="1311">
        <v>1149</v>
      </c>
      <c r="C25" s="332"/>
      <c r="D25" s="332"/>
      <c r="E25" s="332"/>
      <c r="F25" s="332"/>
    </row>
    <row r="26" spans="1:6">
      <c r="A26" s="1310" t="s">
        <v>16</v>
      </c>
      <c r="B26" s="1311">
        <v>214</v>
      </c>
      <c r="C26" s="332"/>
      <c r="D26" s="332"/>
      <c r="E26" s="332"/>
      <c r="F26" s="332"/>
    </row>
    <row r="27" spans="1:6">
      <c r="A27" s="1310" t="s">
        <v>17</v>
      </c>
      <c r="B27" s="1311">
        <v>5202</v>
      </c>
      <c r="C27" s="332"/>
      <c r="D27" s="332"/>
      <c r="E27" s="332"/>
      <c r="F27" s="332"/>
    </row>
    <row r="28" spans="1:6" s="43" customFormat="1">
      <c r="A28" s="1312" t="s">
        <v>18</v>
      </c>
      <c r="B28" s="1313">
        <v>403815</v>
      </c>
      <c r="C28" s="338"/>
      <c r="D28" s="338"/>
      <c r="E28" s="338"/>
      <c r="F28" s="338"/>
    </row>
    <row r="29" spans="1:6">
      <c r="A29" s="1312" t="s">
        <v>699</v>
      </c>
      <c r="B29" s="1313">
        <v>390</v>
      </c>
      <c r="C29" s="338"/>
      <c r="D29" s="338"/>
      <c r="E29" s="338"/>
      <c r="F29" s="338"/>
    </row>
    <row r="30" spans="1:6">
      <c r="A30" s="1305" t="s">
        <v>700</v>
      </c>
      <c r="B30" s="1314">
        <v>117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153053.17759772</v>
      </c>
    </row>
    <row r="37" spans="1:6">
      <c r="A37" s="1310" t="s">
        <v>24</v>
      </c>
      <c r="B37" s="1310" t="s">
        <v>27</v>
      </c>
      <c r="C37" s="1311">
        <v>0</v>
      </c>
      <c r="D37" s="1311">
        <v>0</v>
      </c>
      <c r="E37" s="1311">
        <v>0</v>
      </c>
      <c r="F37" s="1311">
        <v>0</v>
      </c>
    </row>
    <row r="38" spans="1:6">
      <c r="A38" s="1310" t="s">
        <v>24</v>
      </c>
      <c r="B38" s="1310" t="s">
        <v>28</v>
      </c>
      <c r="C38" s="1311">
        <v>1</v>
      </c>
      <c r="D38" s="1311">
        <v>293257.619507458</v>
      </c>
      <c r="E38" s="1311">
        <v>0</v>
      </c>
      <c r="F38" s="1311">
        <v>0</v>
      </c>
    </row>
    <row r="39" spans="1:6">
      <c r="A39" s="1310" t="s">
        <v>29</v>
      </c>
      <c r="B39" s="1310" t="s">
        <v>30</v>
      </c>
      <c r="C39" s="1311">
        <v>5765</v>
      </c>
      <c r="D39" s="1311">
        <v>86690283.587832004</v>
      </c>
      <c r="E39" s="1311">
        <v>7580</v>
      </c>
      <c r="F39" s="1311">
        <v>25855119.280125115</v>
      </c>
    </row>
    <row r="40" spans="1:6">
      <c r="A40" s="1310" t="s">
        <v>29</v>
      </c>
      <c r="B40" s="1310" t="s">
        <v>28</v>
      </c>
      <c r="C40" s="1311">
        <v>2</v>
      </c>
      <c r="D40" s="1311">
        <v>62914.225464703202</v>
      </c>
      <c r="E40" s="1311">
        <v>0</v>
      </c>
      <c r="F40" s="1311">
        <v>0</v>
      </c>
    </row>
    <row r="41" spans="1:6">
      <c r="A41" s="1310" t="s">
        <v>31</v>
      </c>
      <c r="B41" s="1310" t="s">
        <v>32</v>
      </c>
      <c r="C41" s="1311">
        <v>120</v>
      </c>
      <c r="D41" s="1311">
        <v>2500309.6514111599</v>
      </c>
      <c r="E41" s="1311">
        <v>205</v>
      </c>
      <c r="F41" s="1311">
        <v>2894608.3253146298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893875.48407043202</v>
      </c>
      <c r="E44" s="1311">
        <v>33</v>
      </c>
      <c r="F44" s="1311">
        <v>854974.56209371099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86604.384184076203</v>
      </c>
      <c r="E48" s="1311">
        <v>3</v>
      </c>
      <c r="F48" s="1311">
        <v>137397.69520203501</v>
      </c>
    </row>
    <row r="49" spans="1:6">
      <c r="A49" s="1310" t="s">
        <v>31</v>
      </c>
      <c r="B49" s="1310" t="s">
        <v>39</v>
      </c>
      <c r="C49" s="1311">
        <v>0</v>
      </c>
      <c r="D49" s="1311">
        <v>0</v>
      </c>
      <c r="E49" s="1311">
        <v>4</v>
      </c>
      <c r="F49" s="1311">
        <v>43419.3264746973</v>
      </c>
    </row>
    <row r="50" spans="1:6">
      <c r="A50" s="1310" t="s">
        <v>31</v>
      </c>
      <c r="B50" s="1310" t="s">
        <v>40</v>
      </c>
      <c r="C50" s="1311">
        <v>14</v>
      </c>
      <c r="D50" s="1311">
        <v>4158399.2912455299</v>
      </c>
      <c r="E50" s="1311">
        <v>20</v>
      </c>
      <c r="F50" s="1311">
        <v>3816762.6425843099</v>
      </c>
    </row>
    <row r="51" spans="1:6">
      <c r="A51" s="1310" t="s">
        <v>41</v>
      </c>
      <c r="B51" s="1310" t="s">
        <v>42</v>
      </c>
      <c r="C51" s="1311">
        <v>44</v>
      </c>
      <c r="D51" s="1311">
        <v>21169777.606753599</v>
      </c>
      <c r="E51" s="1311">
        <v>182</v>
      </c>
      <c r="F51" s="1311">
        <v>6384359.2385519501</v>
      </c>
    </row>
    <row r="52" spans="1:6">
      <c r="A52" s="1310" t="s">
        <v>41</v>
      </c>
      <c r="B52" s="1310" t="s">
        <v>28</v>
      </c>
      <c r="C52" s="1311">
        <v>0</v>
      </c>
      <c r="D52" s="1311">
        <v>0</v>
      </c>
      <c r="E52" s="1311">
        <v>0</v>
      </c>
      <c r="F52" s="1311">
        <v>0</v>
      </c>
    </row>
    <row r="53" spans="1:6">
      <c r="A53" s="1310" t="s">
        <v>43</v>
      </c>
      <c r="B53" s="1310" t="s">
        <v>44</v>
      </c>
      <c r="C53" s="1311">
        <v>121</v>
      </c>
      <c r="D53" s="1311">
        <v>2974587.9504040699</v>
      </c>
      <c r="E53" s="1311">
        <v>325</v>
      </c>
      <c r="F53" s="1311">
        <v>1801583.75833467</v>
      </c>
    </row>
    <row r="54" spans="1:6">
      <c r="A54" s="1310" t="s">
        <v>45</v>
      </c>
      <c r="B54" s="1310" t="s">
        <v>46</v>
      </c>
      <c r="C54" s="1311">
        <v>0</v>
      </c>
      <c r="D54" s="1311">
        <v>0</v>
      </c>
      <c r="E54" s="1311">
        <v>1</v>
      </c>
      <c r="F54" s="1311">
        <v>1088354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78</v>
      </c>
      <c r="D57" s="1311">
        <v>4977197.6954427501</v>
      </c>
      <c r="E57" s="1311">
        <v>76</v>
      </c>
      <c r="F57" s="1311">
        <v>893775.28880281397</v>
      </c>
    </row>
    <row r="58" spans="1:6">
      <c r="A58" s="1310" t="s">
        <v>48</v>
      </c>
      <c r="B58" s="1310" t="s">
        <v>50</v>
      </c>
      <c r="C58" s="1311">
        <v>36</v>
      </c>
      <c r="D58" s="1311">
        <v>2482417.24894867</v>
      </c>
      <c r="E58" s="1311">
        <v>46</v>
      </c>
      <c r="F58" s="1311">
        <v>918712.41904439498</v>
      </c>
    </row>
    <row r="59" spans="1:6">
      <c r="A59" s="1310" t="s">
        <v>48</v>
      </c>
      <c r="B59" s="1310" t="s">
        <v>51</v>
      </c>
      <c r="C59" s="1311">
        <v>139</v>
      </c>
      <c r="D59" s="1311">
        <v>4949290.3557309201</v>
      </c>
      <c r="E59" s="1311">
        <v>221</v>
      </c>
      <c r="F59" s="1311">
        <v>5063833.89780802</v>
      </c>
    </row>
    <row r="60" spans="1:6">
      <c r="A60" s="1310" t="s">
        <v>48</v>
      </c>
      <c r="B60" s="1310" t="s">
        <v>52</v>
      </c>
      <c r="C60" s="1311">
        <v>54</v>
      </c>
      <c r="D60" s="1311">
        <v>1932805.44743063</v>
      </c>
      <c r="E60" s="1311">
        <v>67</v>
      </c>
      <c r="F60" s="1311">
        <v>1389767.2247308299</v>
      </c>
    </row>
    <row r="61" spans="1:6">
      <c r="A61" s="1310" t="s">
        <v>48</v>
      </c>
      <c r="B61" s="1310" t="s">
        <v>53</v>
      </c>
      <c r="C61" s="1311">
        <v>163</v>
      </c>
      <c r="D61" s="1311">
        <v>6779233.2551100804</v>
      </c>
      <c r="E61" s="1311">
        <v>292</v>
      </c>
      <c r="F61" s="1311">
        <v>3675839.1481251898</v>
      </c>
    </row>
    <row r="62" spans="1:6">
      <c r="A62" s="1310" t="s">
        <v>48</v>
      </c>
      <c r="B62" s="1310" t="s">
        <v>54</v>
      </c>
      <c r="C62" s="1311">
        <v>8</v>
      </c>
      <c r="D62" s="1311">
        <v>407329.82948117901</v>
      </c>
      <c r="E62" s="1311">
        <v>16</v>
      </c>
      <c r="F62" s="1311">
        <v>230963.150704006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92471.546308210294</v>
      </c>
    </row>
    <row r="67" spans="1:6">
      <c r="A67" s="1312" t="s">
        <v>55</v>
      </c>
      <c r="B67" s="1312" t="s">
        <v>58</v>
      </c>
      <c r="C67" s="1311">
        <v>0</v>
      </c>
      <c r="D67" s="1311">
        <v>0</v>
      </c>
      <c r="E67" s="1311">
        <v>0</v>
      </c>
      <c r="F67" s="1311">
        <v>0</v>
      </c>
    </row>
    <row r="68" spans="1:6">
      <c r="A68" s="1305" t="s">
        <v>55</v>
      </c>
      <c r="B68" s="1305" t="s">
        <v>59</v>
      </c>
      <c r="C68" s="1314">
        <v>10</v>
      </c>
      <c r="D68" s="1314">
        <v>239808.06868182201</v>
      </c>
      <c r="E68" s="1314">
        <v>24</v>
      </c>
      <c r="F68" s="1314">
        <v>195997.32789089601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29881128</v>
      </c>
      <c r="E73" s="453"/>
      <c r="F73" s="332"/>
    </row>
    <row r="74" spans="1:6">
      <c r="A74" s="1310" t="s">
        <v>63</v>
      </c>
      <c r="B74" s="1310" t="s">
        <v>648</v>
      </c>
      <c r="C74" s="1324" t="s">
        <v>650</v>
      </c>
      <c r="D74" s="1325">
        <v>4119250.3142574891</v>
      </c>
      <c r="E74" s="453"/>
      <c r="F74" s="332"/>
    </row>
    <row r="75" spans="1:6">
      <c r="A75" s="1310" t="s">
        <v>64</v>
      </c>
      <c r="B75" s="1310" t="s">
        <v>647</v>
      </c>
      <c r="C75" s="1324" t="s">
        <v>651</v>
      </c>
      <c r="D75" s="1325">
        <v>56411435</v>
      </c>
      <c r="E75" s="453"/>
      <c r="F75" s="332"/>
    </row>
    <row r="76" spans="1:6">
      <c r="A76" s="1310" t="s">
        <v>64</v>
      </c>
      <c r="B76" s="1310" t="s">
        <v>648</v>
      </c>
      <c r="C76" s="1324" t="s">
        <v>652</v>
      </c>
      <c r="D76" s="1325">
        <v>3324442.3142574891</v>
      </c>
      <c r="E76" s="453"/>
      <c r="F76" s="332"/>
    </row>
    <row r="77" spans="1:6">
      <c r="A77" s="1310" t="s">
        <v>65</v>
      </c>
      <c r="B77" s="1310" t="s">
        <v>647</v>
      </c>
      <c r="C77" s="1324" t="s">
        <v>653</v>
      </c>
      <c r="D77" s="1325">
        <v>87961837</v>
      </c>
      <c r="E77" s="453"/>
      <c r="F77" s="332"/>
    </row>
    <row r="78" spans="1:6">
      <c r="A78" s="1305" t="s">
        <v>65</v>
      </c>
      <c r="B78" s="1305" t="s">
        <v>648</v>
      </c>
      <c r="C78" s="1305" t="s">
        <v>654</v>
      </c>
      <c r="D78" s="1326">
        <v>22142360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512263.37148502201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15293.595427666696</v>
      </c>
      <c r="C90" s="332"/>
      <c r="D90" s="332"/>
      <c r="E90" s="332"/>
      <c r="F90" s="332"/>
    </row>
    <row r="91" spans="1:6">
      <c r="A91" s="1310" t="s">
        <v>67</v>
      </c>
      <c r="B91" s="1311">
        <v>7318.7552151203772</v>
      </c>
      <c r="C91" s="332"/>
      <c r="D91" s="332"/>
      <c r="E91" s="332"/>
      <c r="F91" s="332"/>
    </row>
    <row r="92" spans="1:6">
      <c r="A92" s="1305" t="s">
        <v>68</v>
      </c>
      <c r="B92" s="1306">
        <v>2781.5012672588364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3398</v>
      </c>
      <c r="C97" s="332"/>
      <c r="D97" s="332"/>
      <c r="E97" s="332"/>
      <c r="F97" s="332"/>
    </row>
    <row r="98" spans="1:6">
      <c r="A98" s="1310" t="s">
        <v>71</v>
      </c>
      <c r="B98" s="1311">
        <v>2</v>
      </c>
      <c r="C98" s="332"/>
      <c r="D98" s="332"/>
      <c r="E98" s="332"/>
      <c r="F98" s="332"/>
    </row>
    <row r="99" spans="1:6">
      <c r="A99" s="1310" t="s">
        <v>72</v>
      </c>
      <c r="B99" s="1311">
        <v>114</v>
      </c>
      <c r="C99" s="332"/>
      <c r="D99" s="332"/>
      <c r="E99" s="332"/>
      <c r="F99" s="332"/>
    </row>
    <row r="100" spans="1:6">
      <c r="A100" s="1310" t="s">
        <v>73</v>
      </c>
      <c r="B100" s="1311">
        <v>499</v>
      </c>
      <c r="C100" s="332"/>
      <c r="D100" s="332"/>
      <c r="E100" s="332"/>
      <c r="F100" s="332"/>
    </row>
    <row r="101" spans="1:6">
      <c r="A101" s="1310" t="s">
        <v>74</v>
      </c>
      <c r="B101" s="1311">
        <v>141</v>
      </c>
      <c r="C101" s="332"/>
      <c r="D101" s="332"/>
      <c r="E101" s="332"/>
      <c r="F101" s="332"/>
    </row>
    <row r="102" spans="1:6">
      <c r="A102" s="1310" t="s">
        <v>75</v>
      </c>
      <c r="B102" s="1311">
        <v>152</v>
      </c>
      <c r="C102" s="332"/>
      <c r="D102" s="332"/>
      <c r="E102" s="332"/>
      <c r="F102" s="332"/>
    </row>
    <row r="103" spans="1:6">
      <c r="A103" s="1310" t="s">
        <v>76</v>
      </c>
      <c r="B103" s="1311">
        <v>229</v>
      </c>
      <c r="C103" s="332"/>
      <c r="D103" s="332"/>
      <c r="E103" s="332"/>
      <c r="F103" s="332"/>
    </row>
    <row r="104" spans="1:6">
      <c r="A104" s="1310" t="s">
        <v>77</v>
      </c>
      <c r="B104" s="1311">
        <v>1855</v>
      </c>
      <c r="C104" s="332"/>
      <c r="D104" s="332"/>
      <c r="E104" s="332"/>
      <c r="F104" s="332"/>
    </row>
    <row r="105" spans="1:6">
      <c r="A105" s="1305" t="s">
        <v>78</v>
      </c>
      <c r="B105" s="1314">
        <v>18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72</v>
      </c>
      <c r="C123" s="1311">
        <v>43</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155</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62596.186316986554</v>
      </c>
      <c r="C3" s="43" t="s">
        <v>169</v>
      </c>
      <c r="D3" s="43"/>
      <c r="E3" s="154"/>
      <c r="F3" s="43"/>
      <c r="G3" s="43"/>
      <c r="H3" s="43"/>
      <c r="I3" s="43"/>
      <c r="J3" s="43"/>
      <c r="K3" s="96"/>
    </row>
    <row r="4" spans="1:11">
      <c r="A4" s="360" t="s">
        <v>170</v>
      </c>
      <c r="B4" s="49">
        <f>IF(ISERROR('SEAP template'!B78+'SEAP template'!C78),0,'SEAP template'!B78+'SEAP template'!C78)</f>
        <v>55744.101910045909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7212.6476470588241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0.13941677304108374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10303.782352941182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43357.5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0.23764705882352954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1088.354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1088.354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0.13941677304108374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151.73480260635566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25855.119280125116</v>
      </c>
      <c r="C5" s="17">
        <f>IF(ISERROR('Eigen informatie GS &amp; warmtenet'!B59),0,'Eigen informatie GS &amp; warmtenet'!B59)</f>
        <v>0</v>
      </c>
      <c r="D5" s="30">
        <f>(SUM(HH_hh_gas_kWh,HH_rest_gas_kWh)/1000)*0.903</f>
        <v>78338.137625406933</v>
      </c>
      <c r="E5" s="17">
        <f>B46*B57</f>
        <v>10607.704695840566</v>
      </c>
      <c r="F5" s="17">
        <f>B51*B62</f>
        <v>0</v>
      </c>
      <c r="G5" s="18"/>
      <c r="H5" s="17"/>
      <c r="I5" s="17"/>
      <c r="J5" s="17">
        <f>B50*B61+C50*C61</f>
        <v>0</v>
      </c>
      <c r="K5" s="17"/>
      <c r="L5" s="17"/>
      <c r="M5" s="17"/>
      <c r="N5" s="17">
        <f>B48*B59+C48*C59</f>
        <v>24591.585175325508</v>
      </c>
      <c r="O5" s="17">
        <f>B69*B70*B71</f>
        <v>392.82372743863232</v>
      </c>
      <c r="P5" s="17">
        <f>B77*B78*B79/1000-B77*B78*B79/1000/B80</f>
        <v>1116.5996866146124</v>
      </c>
    </row>
    <row r="6" spans="1:16">
      <c r="A6" s="16" t="s">
        <v>612</v>
      </c>
      <c r="B6" s="786">
        <f>kWh_PV_kleiner_dan_10kW</f>
        <v>7318.7552151203772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33173.874495245494</v>
      </c>
      <c r="C8" s="21">
        <f>C5</f>
        <v>0</v>
      </c>
      <c r="D8" s="21">
        <f>D5</f>
        <v>78338.137625406933</v>
      </c>
      <c r="E8" s="21">
        <f>E5</f>
        <v>10607.704695840566</v>
      </c>
      <c r="F8" s="21">
        <f>F5</f>
        <v>0</v>
      </c>
      <c r="G8" s="21"/>
      <c r="H8" s="21"/>
      <c r="I8" s="21"/>
      <c r="J8" s="21">
        <f>J5</f>
        <v>0</v>
      </c>
      <c r="K8" s="21"/>
      <c r="L8" s="21">
        <f>L5</f>
        <v>0</v>
      </c>
      <c r="M8" s="21">
        <f>M5</f>
        <v>0</v>
      </c>
      <c r="N8" s="21">
        <f>N5</f>
        <v>24591.585175325508</v>
      </c>
      <c r="O8" s="21">
        <f>O5</f>
        <v>392.82372743863232</v>
      </c>
      <c r="P8" s="21">
        <f>P5</f>
        <v>1116.5996866146124</v>
      </c>
    </row>
    <row r="9" spans="1:16">
      <c r="B9" s="19"/>
      <c r="C9" s="19"/>
      <c r="D9" s="258"/>
      <c r="E9" s="19"/>
      <c r="F9" s="19"/>
      <c r="G9" s="19"/>
      <c r="H9" s="19"/>
      <c r="I9" s="19"/>
      <c r="J9" s="19"/>
      <c r="K9" s="19"/>
      <c r="L9" s="19"/>
      <c r="M9" s="19"/>
      <c r="N9" s="19"/>
      <c r="O9" s="19"/>
      <c r="P9" s="19"/>
    </row>
    <row r="10" spans="1:16">
      <c r="A10" s="24" t="s">
        <v>213</v>
      </c>
      <c r="B10" s="25">
        <f ca="1">'EF ele_warmte'!B12</f>
        <v>0.13941677304108374</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4624.9945313970375</v>
      </c>
      <c r="C12" s="23">
        <f ca="1">C10*C8</f>
        <v>0</v>
      </c>
      <c r="D12" s="23">
        <f>D8*D10</f>
        <v>15824.303800332202</v>
      </c>
      <c r="E12" s="23">
        <f>E10*E8</f>
        <v>2407.9489659558085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838</v>
      </c>
      <c r="B28" s="37">
        <f>aantalHuishoudens</f>
        <v>7824</v>
      </c>
      <c r="C28" s="36"/>
      <c r="D28" s="228"/>
    </row>
    <row r="29" spans="1:7" s="15" customFormat="1">
      <c r="A29" s="230" t="s">
        <v>839</v>
      </c>
      <c r="B29" s="37">
        <f>SUM(HH_hh_gas_aantal,HH_rest_gas_aantal)</f>
        <v>5767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5767</v>
      </c>
      <c r="C32" s="167">
        <f>IF(ISERROR(B32/SUM($B$32,$B$34,$B$35,$B$36,$B$38,$B$39)*100),0,B32/SUM($B$32,$B$34,$B$35,$B$36,$B$38,$B$39)*100)</f>
        <v>74.721430422389219</v>
      </c>
      <c r="D32" s="233"/>
      <c r="G32" s="15"/>
    </row>
    <row r="33" spans="1:7">
      <c r="A33" s="171" t="s">
        <v>71</v>
      </c>
      <c r="B33" s="34" t="s">
        <v>110</v>
      </c>
      <c r="C33" s="167"/>
      <c r="D33" s="233"/>
      <c r="G33" s="15"/>
    </row>
    <row r="34" spans="1:7">
      <c r="A34" s="171" t="s">
        <v>72</v>
      </c>
      <c r="B34" s="33">
        <f>IF((($B$28-$B$32-$B$39-$B$77-$B$38)*C20/100)&lt;0,0,($B$28-$B$32-$B$39-$B$77-$B$38)*C20/100)</f>
        <v>294.97877984084874</v>
      </c>
      <c r="C34" s="167">
        <f>IF(ISERROR(B34/SUM($B$32,$B$34,$B$35,$B$36,$B$38,$B$39)*100),0,B34/SUM($B$32,$B$34,$B$35,$B$36,$B$38,$B$39)*100)</f>
        <v>3.8219587955538836</v>
      </c>
      <c r="D34" s="233"/>
      <c r="G34" s="15"/>
    </row>
    <row r="35" spans="1:7">
      <c r="A35" s="171" t="s">
        <v>73</v>
      </c>
      <c r="B35" s="33">
        <f>IF((($B$28-$B$32-$B$39-$B$77-$B$38)*C21/100)&lt;0,0,($B$28-$B$32-$B$39-$B$77-$B$38)*C21/100)</f>
        <v>1291.1790450928381</v>
      </c>
      <c r="C35" s="167">
        <f>IF(ISERROR(B35/SUM($B$32,$B$34,$B$35,$B$36,$B$38,$B$39)*100),0,B35/SUM($B$32,$B$34,$B$35,$B$36,$B$38,$B$39)*100)</f>
        <v>16.729451219134987</v>
      </c>
      <c r="D35" s="233"/>
      <c r="G35" s="15"/>
    </row>
    <row r="36" spans="1:7">
      <c r="A36" s="171" t="s">
        <v>74</v>
      </c>
      <c r="B36" s="33">
        <f>IF((($B$28-$B$32-$B$39-$B$77-$B$38)*C22/100)&lt;0,0,($B$28-$B$32-$B$39-$B$77-$B$38)*C22/100)</f>
        <v>364.84217506631302</v>
      </c>
      <c r="C36" s="167">
        <f>IF(ISERROR(B36/SUM($B$32,$B$34,$B$35,$B$36,$B$38,$B$39)*100),0,B36/SUM($B$32,$B$34,$B$35,$B$36,$B$38,$B$39)*100)</f>
        <v>4.7271595629219103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5767</v>
      </c>
      <c r="C44" s="34" t="s">
        <v>110</v>
      </c>
      <c r="D44" s="174"/>
    </row>
    <row r="45" spans="1:7">
      <c r="A45" s="171" t="s">
        <v>71</v>
      </c>
      <c r="B45" s="33" t="str">
        <f t="shared" si="0"/>
        <v>-</v>
      </c>
      <c r="C45" s="34" t="s">
        <v>110</v>
      </c>
      <c r="D45" s="174"/>
    </row>
    <row r="46" spans="1:7">
      <c r="A46" s="171" t="s">
        <v>72</v>
      </c>
      <c r="B46" s="33">
        <f t="shared" si="0"/>
        <v>294.97877984084874</v>
      </c>
      <c r="C46" s="34" t="s">
        <v>110</v>
      </c>
      <c r="D46" s="174"/>
    </row>
    <row r="47" spans="1:7">
      <c r="A47" s="171" t="s">
        <v>73</v>
      </c>
      <c r="B47" s="33">
        <f t="shared" si="0"/>
        <v>1291.1790450928381</v>
      </c>
      <c r="C47" s="34" t="s">
        <v>110</v>
      </c>
      <c r="D47" s="174"/>
    </row>
    <row r="48" spans="1:7">
      <c r="A48" s="171" t="s">
        <v>74</v>
      </c>
      <c r="B48" s="33">
        <f t="shared" si="0"/>
        <v>364.84217506631302</v>
      </c>
      <c r="C48" s="33">
        <f>B48*10</f>
        <v>3648.4217506631303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12172.891129215255</v>
      </c>
      <c r="C5" s="17">
        <f>IF(ISERROR('Eigen informatie GS &amp; warmtenet'!B60),0,'Eigen informatie GS &amp; warmtenet'!B60)</f>
        <v>0</v>
      </c>
      <c r="D5" s="30">
        <f>SUM(D6:D12)</f>
        <v>19440.03127042624</v>
      </c>
      <c r="E5" s="17">
        <f>SUM(E6:E12)</f>
        <v>31.478087134083175</v>
      </c>
      <c r="F5" s="17">
        <f>SUM(F6:F12)</f>
        <v>1597.5792967034604</v>
      </c>
      <c r="G5" s="18"/>
      <c r="H5" s="17"/>
      <c r="I5" s="17"/>
      <c r="J5" s="17">
        <f>SUM(J6:J12)</f>
        <v>8.82676396839625E-3</v>
      </c>
      <c r="K5" s="17"/>
      <c r="L5" s="17"/>
      <c r="M5" s="17"/>
      <c r="N5" s="17">
        <f>SUM(N6:N12)</f>
        <v>330.54689591660826</v>
      </c>
      <c r="O5" s="17">
        <f>B38*B39*B40</f>
        <v>4.8972607658411542</v>
      </c>
      <c r="P5" s="17">
        <f>B46*B47*B48/1000-B46*B47*B48/1000/B49</f>
        <v>105.07827661299004</v>
      </c>
      <c r="R5" s="32"/>
    </row>
    <row r="6" spans="1:18">
      <c r="A6" s="32" t="s">
        <v>53</v>
      </c>
      <c r="B6" s="37">
        <f>B26</f>
        <v>3675.8391481251897</v>
      </c>
      <c r="C6" s="33"/>
      <c r="D6" s="37">
        <f>IF(ISERROR(TER_kantoor_gas_kWh/1000),0,TER_kantoor_gas_kWh/1000)*0.903</f>
        <v>6121.6476293644027</v>
      </c>
      <c r="E6" s="33">
        <f>$C$26*'E Balans VL '!I12/100/3.6*1000000</f>
        <v>0.88064368659460557</v>
      </c>
      <c r="F6" s="33">
        <f>$C$26*('E Balans VL '!L12+'E Balans VL '!N12)/100/3.6*1000000</f>
        <v>348.57550902829655</v>
      </c>
      <c r="G6" s="34"/>
      <c r="H6" s="33"/>
      <c r="I6" s="33"/>
      <c r="J6" s="33">
        <f>$C$26*('E Balans VL '!D12+'E Balans VL '!E12)/100/3.6*1000000</f>
        <v>0</v>
      </c>
      <c r="K6" s="33"/>
      <c r="L6" s="33"/>
      <c r="M6" s="33"/>
      <c r="N6" s="33">
        <f>$C$26*'E Balans VL '!Y12/100/3.6*1000000</f>
        <v>1.8671361592615958</v>
      </c>
      <c r="O6" s="33"/>
      <c r="P6" s="33"/>
      <c r="R6" s="32"/>
    </row>
    <row r="7" spans="1:18">
      <c r="A7" s="32" t="s">
        <v>52</v>
      </c>
      <c r="B7" s="37">
        <f t="shared" ref="B7:B12" si="0">B27</f>
        <v>1389.7672247308299</v>
      </c>
      <c r="C7" s="33"/>
      <c r="D7" s="37">
        <f>IF(ISERROR(TER_horeca_gas_kWh/1000),0,TER_horeca_gas_kWh/1000)*0.903</f>
        <v>1745.323319029859</v>
      </c>
      <c r="E7" s="33">
        <f>$C$27*'E Balans VL '!I9/100/3.6*1000000</f>
        <v>0</v>
      </c>
      <c r="F7" s="33">
        <f>$C$27*('E Balans VL '!L9+'E Balans VL '!N9)/100/3.6*1000000</f>
        <v>113.95764551698565</v>
      </c>
      <c r="G7" s="34"/>
      <c r="H7" s="33"/>
      <c r="I7" s="33"/>
      <c r="J7" s="33">
        <f>$C$27*('E Balans VL '!D9+'E Balans VL '!E9)/100/3.6*1000000</f>
        <v>0</v>
      </c>
      <c r="K7" s="33"/>
      <c r="L7" s="33"/>
      <c r="M7" s="33"/>
      <c r="N7" s="33">
        <f>$C$27*'E Balans VL '!Y9/100/3.6*1000000</f>
        <v>0.42601949113237453</v>
      </c>
      <c r="O7" s="33"/>
      <c r="P7" s="33"/>
      <c r="R7" s="32"/>
    </row>
    <row r="8" spans="1:18">
      <c r="A8" s="6" t="s">
        <v>51</v>
      </c>
      <c r="B8" s="37">
        <f t="shared" si="0"/>
        <v>5063.8338978080201</v>
      </c>
      <c r="C8" s="33"/>
      <c r="D8" s="37">
        <f>IF(ISERROR(TER_handel_gas_kWh/1000),0,TER_handel_gas_kWh/1000)*0.903</f>
        <v>4469.2091912250207</v>
      </c>
      <c r="E8" s="33">
        <f>$C$28*'E Balans VL '!I13/100/3.6*1000000</f>
        <v>17.796608496668586</v>
      </c>
      <c r="F8" s="33">
        <f>$C$28*('E Balans VL '!L13+'E Balans VL '!N13)/100/3.6*1000000</f>
        <v>463.33170785244442</v>
      </c>
      <c r="G8" s="34"/>
      <c r="H8" s="33"/>
      <c r="I8" s="33"/>
      <c r="J8" s="33">
        <f>$C$28*('E Balans VL '!D13+'E Balans VL '!E13)/100/3.6*1000000</f>
        <v>0</v>
      </c>
      <c r="K8" s="33"/>
      <c r="L8" s="33"/>
      <c r="M8" s="33"/>
      <c r="N8" s="33">
        <f>$C$28*'E Balans VL '!Y13/100/3.6*1000000</f>
        <v>1.8339026315779614</v>
      </c>
      <c r="O8" s="33"/>
      <c r="P8" s="33"/>
      <c r="R8" s="32"/>
    </row>
    <row r="9" spans="1:18">
      <c r="A9" s="32" t="s">
        <v>50</v>
      </c>
      <c r="B9" s="37">
        <f t="shared" si="0"/>
        <v>918.71241904439501</v>
      </c>
      <c r="C9" s="33"/>
      <c r="D9" s="37">
        <f>IF(ISERROR(TER_gezond_gas_kWh/1000),0,TER_gezond_gas_kWh/1000)*0.903</f>
        <v>2241.6227758006489</v>
      </c>
      <c r="E9" s="33">
        <f>$C$29*'E Balans VL '!I10/100/3.6*1000000</f>
        <v>0</v>
      </c>
      <c r="F9" s="33">
        <f>$C$29*('E Balans VL '!L10+'E Balans VL '!N10)/100/3.6*1000000</f>
        <v>112.61727230620795</v>
      </c>
      <c r="G9" s="34"/>
      <c r="H9" s="33"/>
      <c r="I9" s="33"/>
      <c r="J9" s="33">
        <f>$C$29*('E Balans VL '!D10+'E Balans VL '!E10)/100/3.6*1000000</f>
        <v>0</v>
      </c>
      <c r="K9" s="33"/>
      <c r="L9" s="33"/>
      <c r="M9" s="33"/>
      <c r="N9" s="33">
        <f>$C$29*'E Balans VL '!Y10/100/3.6*1000000</f>
        <v>6.7748638812609263</v>
      </c>
      <c r="O9" s="33"/>
      <c r="P9" s="33"/>
      <c r="R9" s="32"/>
    </row>
    <row r="10" spans="1:18">
      <c r="A10" s="32" t="s">
        <v>49</v>
      </c>
      <c r="B10" s="37">
        <f t="shared" si="0"/>
        <v>893.77528880281398</v>
      </c>
      <c r="C10" s="33"/>
      <c r="D10" s="37">
        <f>IF(ISERROR(TER_ander_gas_kWh/1000),0,TER_ander_gas_kWh/1000)*0.903</f>
        <v>4494.4095189848031</v>
      </c>
      <c r="E10" s="33">
        <f>$C$30*'E Balans VL '!I14/100/3.6*1000000</f>
        <v>12.800834950819983</v>
      </c>
      <c r="F10" s="33">
        <f>$C$30*('E Balans VL '!L14+'E Balans VL '!N14)/100/3.6*1000000</f>
        <v>532.09481927769014</v>
      </c>
      <c r="G10" s="34"/>
      <c r="H10" s="33"/>
      <c r="I10" s="33"/>
      <c r="J10" s="33">
        <f>$C$30*('E Balans VL '!D14+'E Balans VL '!E14)/100/3.6*1000000</f>
        <v>8.82676396839625E-3</v>
      </c>
      <c r="K10" s="33"/>
      <c r="L10" s="33"/>
      <c r="M10" s="33"/>
      <c r="N10" s="33">
        <f>$C$30*'E Balans VL '!Y14/100/3.6*1000000</f>
        <v>318.99460804277265</v>
      </c>
      <c r="O10" s="33"/>
      <c r="P10" s="33"/>
      <c r="R10" s="32"/>
    </row>
    <row r="11" spans="1:18">
      <c r="A11" s="32" t="s">
        <v>54</v>
      </c>
      <c r="B11" s="37">
        <f t="shared" si="0"/>
        <v>230.96315070400598</v>
      </c>
      <c r="C11" s="33"/>
      <c r="D11" s="37">
        <f>IF(ISERROR(TER_onderwijs_gas_kWh/1000),0,TER_onderwijs_gas_kWh/1000)*0.903</f>
        <v>367.81883602150464</v>
      </c>
      <c r="E11" s="33">
        <f>$C$31*'E Balans VL '!I11/100/3.6*1000000</f>
        <v>0</v>
      </c>
      <c r="F11" s="33">
        <f>$C$31*('E Balans VL '!L11+'E Balans VL '!N11)/100/3.6*1000000</f>
        <v>27.002342721835781</v>
      </c>
      <c r="G11" s="34"/>
      <c r="H11" s="33"/>
      <c r="I11" s="33"/>
      <c r="J11" s="33">
        <f>$C$31*('E Balans VL '!D11+'E Balans VL '!E11)/100/3.6*1000000</f>
        <v>0</v>
      </c>
      <c r="K11" s="33"/>
      <c r="L11" s="33"/>
      <c r="M11" s="33"/>
      <c r="N11" s="33">
        <f>$C$31*'E Balans VL '!Y11/100/3.6*1000000</f>
        <v>0.65036571060273629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energieproductie'!N35</f>
        <v>110.25</v>
      </c>
      <c r="C13" s="247">
        <f ca="1">'lokale energieproductie'!O42+'lokale energieproductie'!O35</f>
        <v>157.5</v>
      </c>
      <c r="D13" s="310">
        <f ca="1">('lokale energieproductie'!P35+'lokale energieproductie'!P42)*(-1)</f>
        <v>-315</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12283.141129215255</v>
      </c>
      <c r="C16" s="21">
        <f t="shared" ca="1" si="1"/>
        <v>157.5</v>
      </c>
      <c r="D16" s="21">
        <f t="shared" ca="1" si="1"/>
        <v>19125.03127042624</v>
      </c>
      <c r="E16" s="21">
        <f t="shared" si="1"/>
        <v>31.478087134083175</v>
      </c>
      <c r="F16" s="21">
        <f t="shared" ca="1" si="1"/>
        <v>1597.5792967034604</v>
      </c>
      <c r="G16" s="21">
        <f t="shared" si="1"/>
        <v>0</v>
      </c>
      <c r="H16" s="21">
        <f t="shared" si="1"/>
        <v>0</v>
      </c>
      <c r="I16" s="21">
        <f t="shared" si="1"/>
        <v>0</v>
      </c>
      <c r="J16" s="21">
        <f t="shared" si="1"/>
        <v>8.82676396839625E-3</v>
      </c>
      <c r="K16" s="21">
        <f t="shared" si="1"/>
        <v>0</v>
      </c>
      <c r="L16" s="21">
        <f t="shared" ca="1" si="1"/>
        <v>0</v>
      </c>
      <c r="M16" s="21">
        <f t="shared" si="1"/>
        <v>0</v>
      </c>
      <c r="N16" s="21">
        <f t="shared" ca="1" si="1"/>
        <v>330.54689591660826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0.13941677304108374</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1712.4758990434043</v>
      </c>
      <c r="C20" s="23">
        <f t="shared" ref="C20:P20" ca="1" si="2">C16*C18</f>
        <v>37.429411764705904</v>
      </c>
      <c r="D20" s="23">
        <f t="shared" ca="1" si="2"/>
        <v>3863.2563166261007</v>
      </c>
      <c r="E20" s="23">
        <f t="shared" si="2"/>
        <v>7.1455257794368814</v>
      </c>
      <c r="F20" s="23">
        <f t="shared" ca="1" si="2"/>
        <v>426.55367221982397</v>
      </c>
      <c r="G20" s="23">
        <f t="shared" si="2"/>
        <v>0</v>
      </c>
      <c r="H20" s="23">
        <f t="shared" si="2"/>
        <v>0</v>
      </c>
      <c r="I20" s="23">
        <f t="shared" si="2"/>
        <v>0</v>
      </c>
      <c r="J20" s="23">
        <f t="shared" si="2"/>
        <v>3.1246744448122721E-3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3675.8391481251897</v>
      </c>
      <c r="C26" s="39">
        <f>IF(ISERROR(B26*3.6/1000000/'E Balans VL '!Z12*100),0,B26*3.6/1000000/'E Balans VL '!Z12*100)</f>
        <v>0.10366839809203457</v>
      </c>
      <c r="D26" s="237" t="s">
        <v>702</v>
      </c>
      <c r="F26" s="6"/>
    </row>
    <row r="27" spans="1:18">
      <c r="A27" s="231" t="s">
        <v>52</v>
      </c>
      <c r="B27" s="33">
        <f>IF(ISERROR(TER_horeca_ele_kWh/1000),0,TER_horeca_ele_kWh/1000)</f>
        <v>1389.7672247308299</v>
      </c>
      <c r="C27" s="39">
        <f>IF(ISERROR(B27*3.6/1000000/'E Balans VL '!Z9*100),0,B27*3.6/1000000/'E Balans VL '!Z9*100)</f>
        <v>0.10303416687200996</v>
      </c>
      <c r="D27" s="237" t="s">
        <v>702</v>
      </c>
      <c r="F27" s="6"/>
    </row>
    <row r="28" spans="1:18">
      <c r="A28" s="171" t="s">
        <v>51</v>
      </c>
      <c r="B28" s="33">
        <f>IF(ISERROR(TER_handel_ele_kWh/1000),0,TER_handel_ele_kWh/1000)</f>
        <v>5063.8338978080201</v>
      </c>
      <c r="C28" s="39">
        <f>IF(ISERROR(B28*3.6/1000000/'E Balans VL '!Z13*100),0,B28*3.6/1000000/'E Balans VL '!Z13*100)</f>
        <v>0.15170042386372387</v>
      </c>
      <c r="D28" s="237" t="s">
        <v>702</v>
      </c>
      <c r="F28" s="6"/>
    </row>
    <row r="29" spans="1:18">
      <c r="A29" s="231" t="s">
        <v>50</v>
      </c>
      <c r="B29" s="33">
        <f>IF(ISERROR(TER_gezond_ele_kWh/1000),0,TER_gezond_ele_kWh/1000)</f>
        <v>918.71241904439501</v>
      </c>
      <c r="C29" s="39">
        <f>IF(ISERROR(B29*3.6/1000000/'E Balans VL '!Z10*100),0,B29*3.6/1000000/'E Balans VL '!Z10*100)</f>
        <v>9.0842644082707799E-2</v>
      </c>
      <c r="D29" s="237" t="s">
        <v>702</v>
      </c>
      <c r="F29" s="6"/>
    </row>
    <row r="30" spans="1:18">
      <c r="A30" s="231" t="s">
        <v>49</v>
      </c>
      <c r="B30" s="33">
        <f>IF(ISERROR(TER_ander_ele_kWh/1000),0,TER_ander_ele_kWh/1000)</f>
        <v>893.77528880281398</v>
      </c>
      <c r="C30" s="39">
        <f>IF(ISERROR(B30*3.6/1000000/'E Balans VL '!Z14*100),0,B30*3.6/1000000/'E Balans VL '!Z14*100)</f>
        <v>3.6150569153841294E-2</v>
      </c>
      <c r="D30" s="237" t="s">
        <v>702</v>
      </c>
      <c r="F30" s="6"/>
    </row>
    <row r="31" spans="1:18">
      <c r="A31" s="231" t="s">
        <v>54</v>
      </c>
      <c r="B31" s="33">
        <f>IF(ISERROR(TER_onderwijs_ele_kWh/1000),0,TER_onderwijs_ele_kWh/1000)</f>
        <v>230.96315070400598</v>
      </c>
      <c r="C31" s="39">
        <f>IF(ISERROR(B31*3.6/1000000/'E Balans VL '!Z11*100),0,B31*3.6/1000000/'E Balans VL '!Z11*100)</f>
        <v>6.3455678587724787E-2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7747.162551669383</v>
      </c>
      <c r="C5" s="17">
        <f>IF(ISERROR('Eigen informatie GS &amp; warmtenet'!B61),0,'Eigen informatie GS &amp; warmtenet'!B61)</f>
        <v>0</v>
      </c>
      <c r="D5" s="30">
        <f>SUM(D6:D15)</f>
        <v>6898.1874962528118</v>
      </c>
      <c r="E5" s="17">
        <f>SUM(E6:E15)</f>
        <v>23.044478622609443</v>
      </c>
      <c r="F5" s="17">
        <f>SUM(F6:F15)</f>
        <v>1904.3880737086174</v>
      </c>
      <c r="G5" s="18"/>
      <c r="H5" s="17"/>
      <c r="I5" s="17"/>
      <c r="J5" s="17">
        <f>SUM(J6:J15)</f>
        <v>1.0385134353231666</v>
      </c>
      <c r="K5" s="17"/>
      <c r="L5" s="17"/>
      <c r="M5" s="17"/>
      <c r="N5" s="17">
        <f>SUM(N6:N15)</f>
        <v>257.72683643793772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854.97456209371103</v>
      </c>
      <c r="C8" s="33"/>
      <c r="D8" s="37">
        <f>IF( ISERROR(IND_metaal_Gas_kWH/1000),0,IND_metaal_Gas_kWH/1000)*0.903</f>
        <v>807.16956211560012</v>
      </c>
      <c r="E8" s="33">
        <f>C30*'E Balans VL '!I18/100/3.6*1000000</f>
        <v>4.3109309174616683</v>
      </c>
      <c r="F8" s="33">
        <f>C30*'E Balans VL '!L18/100/3.6*1000000+C30*'E Balans VL '!N18/100/3.6*1000000</f>
        <v>58.413609180889502</v>
      </c>
      <c r="G8" s="34"/>
      <c r="H8" s="33"/>
      <c r="I8" s="33"/>
      <c r="J8" s="40">
        <f>C30*'E Balans VL '!D18/100/3.6*1000000+C30*'E Balans VL '!E18/100/3.6*1000000</f>
        <v>0.75800787956574411</v>
      </c>
      <c r="K8" s="33"/>
      <c r="L8" s="33"/>
      <c r="M8" s="33"/>
      <c r="N8" s="33">
        <f>C30*'E Balans VL '!Y18/100/3.6*1000000</f>
        <v>11.362617004095291</v>
      </c>
      <c r="O8" s="33"/>
      <c r="P8" s="33"/>
      <c r="R8" s="32"/>
    </row>
    <row r="9" spans="1:18">
      <c r="A9" s="6" t="s">
        <v>32</v>
      </c>
      <c r="B9" s="37">
        <f t="shared" si="0"/>
        <v>2894.6083253146298</v>
      </c>
      <c r="C9" s="33"/>
      <c r="D9" s="37">
        <f>IF( ISERROR(IND_andere_gas_kWh/1000),0,IND_andere_gas_kWh/1000)*0.903</f>
        <v>2257.7796152242772</v>
      </c>
      <c r="E9" s="33">
        <f>C31*'E Balans VL '!I19/100/3.6*1000000</f>
        <v>9.1244895626915099</v>
      </c>
      <c r="F9" s="33">
        <f>C31*'E Balans VL '!L19/100/3.6*1000000+C31*'E Balans VL '!N19/100/3.6*1000000</f>
        <v>1771.9574732614299</v>
      </c>
      <c r="G9" s="34"/>
      <c r="H9" s="33"/>
      <c r="I9" s="33"/>
      <c r="J9" s="40">
        <f>C31*'E Balans VL '!D19/100/3.6*1000000+C31*'E Balans VL '!E19/100/3.6*1000000</f>
        <v>0</v>
      </c>
      <c r="K9" s="33"/>
      <c r="L9" s="33"/>
      <c r="M9" s="33"/>
      <c r="N9" s="33">
        <f>C31*'E Balans VL '!Y19/100/3.6*1000000</f>
        <v>121.37485744001827</v>
      </c>
      <c r="O9" s="33"/>
      <c r="P9" s="33"/>
      <c r="R9" s="32"/>
    </row>
    <row r="10" spans="1:18">
      <c r="A10" s="6" t="s">
        <v>40</v>
      </c>
      <c r="B10" s="37">
        <f t="shared" si="0"/>
        <v>3816.76264258431</v>
      </c>
      <c r="C10" s="33"/>
      <c r="D10" s="37">
        <f>IF( ISERROR(IND_voed_gas_kWh/1000),0,IND_voed_gas_kWh/1000)*0.903</f>
        <v>3755.0345599947132</v>
      </c>
      <c r="E10" s="33">
        <f>C32*'E Balans VL '!I20/100/3.6*1000000</f>
        <v>6.0828477404233636</v>
      </c>
      <c r="F10" s="33">
        <f>C32*'E Balans VL '!L20/100/3.6*1000000+C32*'E Balans VL '!N20/100/3.6*1000000</f>
        <v>62.013120974520497</v>
      </c>
      <c r="G10" s="34"/>
      <c r="H10" s="33"/>
      <c r="I10" s="33"/>
      <c r="J10" s="40">
        <f>C32*'E Balans VL '!D20/100/3.6*1000000+C32*'E Balans VL '!E20/100/3.6*1000000</f>
        <v>0</v>
      </c>
      <c r="K10" s="33"/>
      <c r="L10" s="33"/>
      <c r="M10" s="33"/>
      <c r="N10" s="33">
        <f>C32*'E Balans VL '!Y20/100/3.6*1000000</f>
        <v>120.55242658498517</v>
      </c>
      <c r="O10" s="33"/>
      <c r="P10" s="33"/>
      <c r="R10" s="32"/>
    </row>
    <row r="11" spans="1:18">
      <c r="A11" s="6" t="s">
        <v>39</v>
      </c>
      <c r="B11" s="37">
        <f t="shared" si="0"/>
        <v>43.4193264746973</v>
      </c>
      <c r="C11" s="33"/>
      <c r="D11" s="37">
        <f>IF( ISERROR(IND_textiel_gas_kWh/1000),0,IND_textiel_gas_kWh/1000)*0.903</f>
        <v>0</v>
      </c>
      <c r="E11" s="33">
        <f>C33*'E Balans VL '!I21/100/3.6*1000000</f>
        <v>6.2993508760168432E-2</v>
      </c>
      <c r="F11" s="33">
        <f>C33*'E Balans VL '!L21/100/3.6*1000000+C33*'E Balans VL '!N21/100/3.6*1000000</f>
        <v>0.84974411677223505</v>
      </c>
      <c r="G11" s="34"/>
      <c r="H11" s="33"/>
      <c r="I11" s="33"/>
      <c r="J11" s="40">
        <f>C33*'E Balans VL '!D21/100/3.6*1000000+C33*'E Balans VL '!E21/100/3.6*1000000</f>
        <v>0</v>
      </c>
      <c r="K11" s="33"/>
      <c r="L11" s="33"/>
      <c r="M11" s="33"/>
      <c r="N11" s="33">
        <f>C33*'E Balans VL '!Y21/100/3.6*1000000</f>
        <v>2.115291043816526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137.39769520203501</v>
      </c>
      <c r="C15" s="33"/>
      <c r="D15" s="37">
        <f>IF( ISERROR(IND_rest_gas_kWh/1000),0,IND_rest_gas_kWh/1000)*0.903</f>
        <v>78.203758918220814</v>
      </c>
      <c r="E15" s="33">
        <f>C37*'E Balans VL '!I15/100/3.6*1000000</f>
        <v>3.4632168932727319</v>
      </c>
      <c r="F15" s="33">
        <f>C37*'E Balans VL '!L15/100/3.6*1000000+C37*'E Balans VL '!N15/100/3.6*1000000</f>
        <v>11.154126175005333</v>
      </c>
      <c r="G15" s="34"/>
      <c r="H15" s="33"/>
      <c r="I15" s="33"/>
      <c r="J15" s="40">
        <f>C37*'E Balans VL '!D15/100/3.6*1000000+C37*'E Balans VL '!E15/100/3.6*1000000</f>
        <v>0.28050555575742253</v>
      </c>
      <c r="K15" s="33"/>
      <c r="L15" s="33"/>
      <c r="M15" s="33"/>
      <c r="N15" s="33">
        <f>C37*'E Balans VL '!Y15/100/3.6*1000000</f>
        <v>2.3216443650224519</v>
      </c>
      <c r="O15" s="33"/>
      <c r="P15" s="33"/>
      <c r="R15" s="32"/>
    </row>
    <row r="16" spans="1:18">
      <c r="A16" s="16" t="s">
        <v>479</v>
      </c>
      <c r="B16" s="247">
        <f>'lokale energieproductie'!N41+'lokale energieproductie'!N34</f>
        <v>0</v>
      </c>
      <c r="C16" s="247">
        <f>'lokale energieproductie'!O41+'lokale energieproductie'!O34</f>
        <v>0</v>
      </c>
      <c r="D16" s="310">
        <f>('lokale energieproductie'!P34+'lokale energieproductie'!P41)*(-1)</f>
        <v>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7747.162551669383</v>
      </c>
      <c r="C18" s="21">
        <f>C5+C16</f>
        <v>0</v>
      </c>
      <c r="D18" s="21">
        <f>MAX((D5+D16),0)</f>
        <v>6898.1874962528118</v>
      </c>
      <c r="E18" s="21">
        <f>MAX((E5+E16),0)</f>
        <v>23.044478622609443</v>
      </c>
      <c r="F18" s="21">
        <f>MAX((F5+F16),0)</f>
        <v>1904.3880737086174</v>
      </c>
      <c r="G18" s="21"/>
      <c r="H18" s="21"/>
      <c r="I18" s="21"/>
      <c r="J18" s="21">
        <f>MAX((J5+J16),0)</f>
        <v>1.0385134353231666</v>
      </c>
      <c r="K18" s="21"/>
      <c r="L18" s="21">
        <f>MAX((L5+L16),0)</f>
        <v>0</v>
      </c>
      <c r="M18" s="21"/>
      <c r="N18" s="21">
        <f>MAX((N5+N16),0)</f>
        <v>257.72683643793772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0.13941677304108374</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1080.0844031784736</v>
      </c>
      <c r="C22" s="23">
        <f ca="1">C18*C20</f>
        <v>0</v>
      </c>
      <c r="D22" s="23">
        <f>D18*D20</f>
        <v>1393.433874243068</v>
      </c>
      <c r="E22" s="23">
        <f>E18*E20</f>
        <v>5.2310966473323441</v>
      </c>
      <c r="F22" s="23">
        <f>F18*F20</f>
        <v>508.4716156802009</v>
      </c>
      <c r="G22" s="23"/>
      <c r="H22" s="23"/>
      <c r="I22" s="23"/>
      <c r="J22" s="23">
        <f>J18*J20</f>
        <v>0.36763375610440097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854.97456209371103</v>
      </c>
      <c r="C30" s="39">
        <f>IF(ISERROR(B30*3.6/1000000/'E Balans VL '!Z18*100),0,B30*3.6/1000000/'E Balans VL '!Z18*100)</f>
        <v>4.2439010364489431E-2</v>
      </c>
      <c r="D30" s="237" t="s">
        <v>702</v>
      </c>
    </row>
    <row r="31" spans="1:18">
      <c r="A31" s="6" t="s">
        <v>32</v>
      </c>
      <c r="B31" s="37">
        <f>IF( ISERROR(IND_ander_ele_kWh/1000),0,IND_ander_ele_kWh/1000)</f>
        <v>2894.6083253146298</v>
      </c>
      <c r="C31" s="39">
        <f>IF(ISERROR(B31*3.6/1000000/'E Balans VL '!Z19*100),0,B31*3.6/1000000/'E Balans VL '!Z19*100)</f>
        <v>9.7678198088524432E-2</v>
      </c>
      <c r="D31" s="237" t="s">
        <v>702</v>
      </c>
    </row>
    <row r="32" spans="1:18">
      <c r="A32" s="171" t="s">
        <v>40</v>
      </c>
      <c r="B32" s="37">
        <f>IF( ISERROR(IND_voed_ele_kWh/1000),0,IND_voed_ele_kWh/1000)</f>
        <v>3816.76264258431</v>
      </c>
      <c r="C32" s="39">
        <f>IF(ISERROR(B32*3.6/1000000/'E Balans VL '!Z20*100),0,B32*3.6/1000000/'E Balans VL '!Z20*100)</f>
        <v>8.9634048851590362E-2</v>
      </c>
      <c r="D32" s="237" t="s">
        <v>702</v>
      </c>
    </row>
    <row r="33" spans="1:5">
      <c r="A33" s="171" t="s">
        <v>39</v>
      </c>
      <c r="B33" s="37">
        <f>IF( ISERROR(IND_textiel_ele_kWh/1000),0,IND_textiel_ele_kWh/1000)</f>
        <v>43.4193264746973</v>
      </c>
      <c r="C33" s="39">
        <f>IF(ISERROR(B33*3.6/1000000/'E Balans VL '!Z21*100),0,B33*3.6/1000000/'E Balans VL '!Z21*100)</f>
        <v>4.7652160440556065E-3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137.39769520203501</v>
      </c>
      <c r="C37" s="39">
        <f>IF(ISERROR(B37*3.6/1000000/'E Balans VL '!Z15*100),0,B37*3.6/1000000/'E Balans VL '!Z15*100)</f>
        <v>5.149018751518245E-4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6384.3592385519505</v>
      </c>
      <c r="C5" s="17">
        <f>'Eigen informatie GS &amp; warmtenet'!B62</f>
        <v>0</v>
      </c>
      <c r="D5" s="30">
        <f>IF(ISERROR(SUM(LB_lb_gas_kWh,LB_rest_gas_kWh)/1000),0,SUM(LB_lb_gas_kWh,LB_rest_gas_kWh)/1000)*0.903</f>
        <v>19116.3091788985</v>
      </c>
      <c r="E5" s="17">
        <f>B17*'E Balans VL '!I25/3.6*1000000/100</f>
        <v>238.09228436744201</v>
      </c>
      <c r="F5" s="17">
        <f>B17*('E Balans VL '!L25/3.6*1000000+'E Balans VL '!N25/3.6*1000000)/100</f>
        <v>20713.328383381508</v>
      </c>
      <c r="G5" s="18"/>
      <c r="H5" s="17"/>
      <c r="I5" s="17"/>
      <c r="J5" s="17">
        <f>('E Balans VL '!D25+'E Balans VL '!E25)/3.6*1000000*landbouw!B17/100</f>
        <v>1675.9258191085551</v>
      </c>
      <c r="K5" s="17"/>
      <c r="L5" s="17">
        <f>L6*(-1)</f>
        <v>0</v>
      </c>
      <c r="M5" s="17"/>
      <c r="N5" s="17">
        <f>N6*(-1)</f>
        <v>0</v>
      </c>
      <c r="O5" s="17"/>
      <c r="P5" s="17"/>
      <c r="R5" s="32"/>
    </row>
    <row r="6" spans="1:18">
      <c r="A6" s="16" t="s">
        <v>479</v>
      </c>
      <c r="B6" s="17" t="s">
        <v>210</v>
      </c>
      <c r="C6" s="17">
        <f>'lokale energieproductie'!O43+'lokale energieproductie'!O36</f>
        <v>43200</v>
      </c>
      <c r="D6" s="310">
        <f>('lokale energieproductie'!P36+'lokale energieproductie'!P43)*(-1)</f>
        <v>-86400</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6384.3592385519505</v>
      </c>
      <c r="C8" s="21">
        <f>C5+C6</f>
        <v>43200</v>
      </c>
      <c r="D8" s="21">
        <f>MAX((D5+D6),0)</f>
        <v>0</v>
      </c>
      <c r="E8" s="21">
        <f>MAX((E5+E6),0)</f>
        <v>238.09228436744201</v>
      </c>
      <c r="F8" s="21">
        <f>MAX((F5+F6),0)</f>
        <v>20713.328383381508</v>
      </c>
      <c r="G8" s="21"/>
      <c r="H8" s="21"/>
      <c r="I8" s="21"/>
      <c r="J8" s="21">
        <f>MAX((J5+J6),0)</f>
        <v>1675.9258191085551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0.13941677304108374</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890.08676297394345</v>
      </c>
      <c r="C12" s="23">
        <f ca="1">C8*C10</f>
        <v>10266.352941176476</v>
      </c>
      <c r="D12" s="23">
        <f>D8*D10</f>
        <v>0</v>
      </c>
      <c r="E12" s="23">
        <f>E8*E10</f>
        <v>54.046948551409336</v>
      </c>
      <c r="F12" s="23">
        <f>F8*F10</f>
        <v>5530.4586783628629</v>
      </c>
      <c r="G12" s="23"/>
      <c r="H12" s="23"/>
      <c r="I12" s="23"/>
      <c r="J12" s="23">
        <f>J8*J10</f>
        <v>593.27773996442841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0.87687508131249825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426.64745195232894</v>
      </c>
      <c r="C26" s="247">
        <f>B26*'GWP N2O_CH4'!B5</f>
        <v>8959.596490998907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213.20809434884072</v>
      </c>
      <c r="C27" s="247">
        <f>B27*'GWP N2O_CH4'!B5</f>
        <v>4477.3699813256553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6.2465349443292393</v>
      </c>
      <c r="C28" s="247">
        <f>B28*'GWP N2O_CH4'!B4</f>
        <v>1936.4258327420641</v>
      </c>
      <c r="D28" s="50"/>
    </row>
    <row r="29" spans="1:4">
      <c r="A29" s="41" t="s">
        <v>276</v>
      </c>
      <c r="B29" s="247">
        <f>B34*'ha_N2O bodem landbouw'!B4</f>
        <v>23.483428371816984</v>
      </c>
      <c r="C29" s="247">
        <f>B29*'GWP N2O_CH4'!B4</f>
        <v>7279.8627952632651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5.3519403901907282E-3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4.2376011829128001E-4</v>
      </c>
      <c r="C5" s="440" t="s">
        <v>210</v>
      </c>
      <c r="D5" s="425">
        <f>SUM(D6:D11)</f>
        <v>1.8780635006563769E-3</v>
      </c>
      <c r="E5" s="425">
        <f>SUM(E6:E11)</f>
        <v>1.1017403045209442E-3</v>
      </c>
      <c r="F5" s="438" t="s">
        <v>210</v>
      </c>
      <c r="G5" s="425">
        <f>SUM(G6:G11)</f>
        <v>0.59436815862437853</v>
      </c>
      <c r="H5" s="425">
        <f>SUM(H6:H11)</f>
        <v>0.12154489842859549</v>
      </c>
      <c r="I5" s="440" t="s">
        <v>210</v>
      </c>
      <c r="J5" s="440" t="s">
        <v>210</v>
      </c>
      <c r="K5" s="440" t="s">
        <v>210</v>
      </c>
      <c r="L5" s="440" t="s">
        <v>210</v>
      </c>
      <c r="M5" s="425">
        <f>SUM(M6:M11)</f>
        <v>4.1913068662805669E-2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7.2666344929923598E-5</v>
      </c>
      <c r="C6" s="426"/>
      <c r="D6" s="893">
        <f>vkm_GW_PW*SUMIFS(TableVerdeelsleutelVkm[CNG],TableVerdeelsleutelVkm[Voertuigtype],"Lichte voertuigen")*SUMIFS(TableECFTransport[EnergieConsumptieFactor (PJ per km)],TableECFTransport[Index],CONCATENATE($A6,"_CNG_CNG"))</f>
        <v>2.6244866230755486E-4</v>
      </c>
      <c r="E6" s="893">
        <f>vkm_GW_PW*SUMIFS(TableVerdeelsleutelVkm[LPG],TableVerdeelsleutelVkm[Voertuigtype],"Lichte voertuigen")*SUMIFS(TableECFTransport[EnergieConsumptieFactor (PJ per km)],TableECFTransport[Index],CONCATENATE($A6,"_LPG_LPG"))</f>
        <v>1.426341112539079E-4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4.4386856604631618E-2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1.6798643005112256E-2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3.6668371686406358E-3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3.9350392441320423E-2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4.142629505399904E-7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2.2154887304983617E-3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1.3718400435559075E-4</v>
      </c>
      <c r="C8" s="426"/>
      <c r="D8" s="428">
        <f>vkm_NGW_PW*SUMIFS(TableVerdeelsleutelVkm[CNG],TableVerdeelsleutelVkm[Voertuigtype],"Lichte voertuigen")*SUMIFS(TableECFTransport[EnergieConsumptieFactor (PJ per km)],TableECFTransport[Index],CONCATENATE($A8,"_CNG_CNG"))</f>
        <v>8.3984845640235365E-4</v>
      </c>
      <c r="E8" s="428">
        <f>vkm_NGW_PW*SUMIFS(TableVerdeelsleutelVkm[LPG],TableVerdeelsleutelVkm[Voertuigtype],"Lichte voertuigen")*SUMIFS(TableECFTransport[EnergieConsumptieFactor (PJ per km)],TableECFTransport[Index],CONCATENATE($A8,"_LPG_LPG"))</f>
        <v>4.3373623077526462E-4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0.12561011948290041</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5.2938063763095927E-2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1.0752140796636188E-2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3.8280629985215961E-2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5.8534109197515527E-7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2.155272104659637E-3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2.1390976900576564E-4</v>
      </c>
      <c r="C10" s="426"/>
      <c r="D10" s="428">
        <f>vkm_SW_PW*SUMIFS(TableVerdeelsleutelVkm[CNG],TableVerdeelsleutelVkm[Voertuigtype],"Lichte voertuigen")*SUMIFS(TableECFTransport[EnergieConsumptieFactor (PJ per km)],TableECFTransport[Index],CONCATENATE($A10,"_CNG_CNG"))</f>
        <v>7.7576638194646838E-4</v>
      </c>
      <c r="E10" s="428">
        <f>vkm_SW_PW*SUMIFS(TableVerdeelsleutelVkm[LPG],TableVerdeelsleutelVkm[Voertuigtype],"Lichte voertuigen")*SUMIFS(TableECFTransport[EnergieConsumptieFactor (PJ per km)],TableECFTransport[Index],CONCATENATE($A10,"_LPG_LPG"))</f>
        <v>5.2536996249177164E-4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0.1452862838377629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5.1804946076565633E-2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1.1781152381835622E-2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0.20145387627254716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2.2459797791637279E-6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1.1342177480535226E-2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117.71114396980001</v>
      </c>
      <c r="C14" s="21"/>
      <c r="D14" s="21">
        <f t="shared" ref="D14:M14" si="0">((D5)*10^9/3600)+D12</f>
        <v>521.68430573788248</v>
      </c>
      <c r="E14" s="21">
        <f t="shared" si="0"/>
        <v>306.03897347804002</v>
      </c>
      <c r="F14" s="21"/>
      <c r="G14" s="21">
        <f t="shared" si="0"/>
        <v>165102.26628454961</v>
      </c>
      <c r="H14" s="21">
        <f t="shared" si="0"/>
        <v>33762.471785720969</v>
      </c>
      <c r="I14" s="21"/>
      <c r="J14" s="21"/>
      <c r="K14" s="21"/>
      <c r="L14" s="21"/>
      <c r="M14" s="21">
        <f t="shared" si="0"/>
        <v>11642.519073001575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0.13941677304108374</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16.41090784324394</v>
      </c>
      <c r="C18" s="23"/>
      <c r="D18" s="23">
        <f t="shared" ref="D18:M18" si="1">D14*D16</f>
        <v>105.38022975905227</v>
      </c>
      <c r="E18" s="23">
        <f t="shared" si="1"/>
        <v>69.470846979515088</v>
      </c>
      <c r="F18" s="23"/>
      <c r="G18" s="23">
        <f t="shared" si="1"/>
        <v>44082.30509797475</v>
      </c>
      <c r="H18" s="23">
        <f t="shared" si="1"/>
        <v>8406.8554746445207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6.3063387845810484E-3</v>
      </c>
      <c r="H50" s="321">
        <f t="shared" si="2"/>
        <v>0</v>
      </c>
      <c r="I50" s="321">
        <f t="shared" si="2"/>
        <v>0</v>
      </c>
      <c r="J50" s="321">
        <f t="shared" si="2"/>
        <v>0</v>
      </c>
      <c r="K50" s="321">
        <f t="shared" si="2"/>
        <v>0</v>
      </c>
      <c r="L50" s="321">
        <f t="shared" si="2"/>
        <v>0</v>
      </c>
      <c r="M50" s="321">
        <f t="shared" si="2"/>
        <v>3.4221786076108331E-4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6.3063387845810484E-3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3.4221786076108331E-4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1751.7607734947358</v>
      </c>
      <c r="H54" s="21">
        <f t="shared" si="3"/>
        <v>0</v>
      </c>
      <c r="I54" s="21">
        <f t="shared" si="3"/>
        <v>0</v>
      </c>
      <c r="J54" s="21">
        <f t="shared" si="3"/>
        <v>0</v>
      </c>
      <c r="K54" s="21">
        <f t="shared" si="3"/>
        <v>0</v>
      </c>
      <c r="L54" s="21">
        <f t="shared" si="3"/>
        <v>0</v>
      </c>
      <c r="M54" s="21">
        <f t="shared" si="3"/>
        <v>95.060516878078701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0.13941677304108374</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467.72012652309445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15293.595427666696</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10100.256482379213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30350.25</v>
      </c>
      <c r="C8" s="551">
        <f>B52</f>
        <v>35706.176470588238</v>
      </c>
      <c r="D8" s="552"/>
      <c r="E8" s="552">
        <f>E52</f>
        <v>0</v>
      </c>
      <c r="F8" s="553"/>
      <c r="G8" s="554"/>
      <c r="H8" s="552">
        <f>I52</f>
        <v>0</v>
      </c>
      <c r="I8" s="552">
        <f>G52+F52</f>
        <v>0</v>
      </c>
      <c r="J8" s="552">
        <f>H52+D52+C52</f>
        <v>0</v>
      </c>
      <c r="K8" s="552"/>
      <c r="L8" s="552"/>
      <c r="M8" s="552"/>
      <c r="N8" s="555"/>
      <c r="O8" s="556">
        <f>C8*$C$12+D8*$D$12+E8*$E$12+F8*$F$12+G8*$G$12+H8*$H$12+I8*$I$12+J8*$J$12</f>
        <v>7212.6476470588241</v>
      </c>
      <c r="P8" s="1256"/>
      <c r="Q8" s="1257"/>
      <c r="S8" s="546"/>
      <c r="T8" s="1244"/>
      <c r="U8" s="1244"/>
    </row>
    <row r="9" spans="1:21" s="537" customFormat="1" ht="17.45" customHeight="1" thickBot="1">
      <c r="A9" s="557" t="s">
        <v>247</v>
      </c>
      <c r="B9" s="558">
        <f>N40+'Eigen informatie GS &amp; warmtenet'!B12</f>
        <v>0</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55744.101910045909</v>
      </c>
      <c r="C10" s="566">
        <f t="shared" ref="C10:L10" si="0">SUM(C8:C9)</f>
        <v>35706.176470588238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7212.6476470588241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43357.500000000007</v>
      </c>
      <c r="C17" s="582">
        <f>B53</f>
        <v>51008.823529411784</v>
      </c>
      <c r="D17" s="583"/>
      <c r="E17" s="583">
        <f>E53</f>
        <v>0</v>
      </c>
      <c r="F17" s="584"/>
      <c r="G17" s="585"/>
      <c r="H17" s="582">
        <f>I53</f>
        <v>0</v>
      </c>
      <c r="I17" s="583">
        <f>G53+F53</f>
        <v>0</v>
      </c>
      <c r="J17" s="583">
        <f>H53+D53+C53</f>
        <v>0</v>
      </c>
      <c r="K17" s="583"/>
      <c r="L17" s="583"/>
      <c r="M17" s="583"/>
      <c r="N17" s="970"/>
      <c r="O17" s="586">
        <f>C17*$C$22+E17*$E$22+H17*$H$22+I17*$I$22+J17*$J$22+D17*$D$22+F17*$F$22+G17*$G$22+K17*$K$22+L17*$L$22</f>
        <v>10303.782352941182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43357.500000000007</v>
      </c>
      <c r="C20" s="565">
        <f>SUM(C17:C19)</f>
        <v>51008.823529411784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10303.782352941182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46020</v>
      </c>
      <c r="C28" s="794">
        <v>9170</v>
      </c>
      <c r="D28" s="643" t="s">
        <v>865</v>
      </c>
      <c r="E28" s="642" t="s">
        <v>866</v>
      </c>
      <c r="F28" s="642" t="s">
        <v>867</v>
      </c>
      <c r="G28" s="642" t="s">
        <v>868</v>
      </c>
      <c r="H28" s="642" t="s">
        <v>869</v>
      </c>
      <c r="I28" s="642" t="s">
        <v>866</v>
      </c>
      <c r="J28" s="793">
        <v>40374</v>
      </c>
      <c r="K28" s="793">
        <v>40374</v>
      </c>
      <c r="L28" s="642" t="s">
        <v>870</v>
      </c>
      <c r="M28" s="642">
        <v>1600</v>
      </c>
      <c r="N28" s="642">
        <v>7200</v>
      </c>
      <c r="O28" s="642">
        <v>10285.714285714286</v>
      </c>
      <c r="P28" s="642">
        <v>20571.428571428572</v>
      </c>
      <c r="Q28" s="642">
        <v>0</v>
      </c>
      <c r="R28" s="642">
        <v>0</v>
      </c>
      <c r="S28" s="642">
        <v>0</v>
      </c>
      <c r="T28" s="642">
        <v>0</v>
      </c>
      <c r="U28" s="642">
        <v>0</v>
      </c>
      <c r="V28" s="642">
        <v>0</v>
      </c>
      <c r="W28" s="642">
        <v>0</v>
      </c>
      <c r="X28" s="642">
        <v>10</v>
      </c>
      <c r="Y28" s="642" t="s">
        <v>111</v>
      </c>
      <c r="Z28" s="644" t="s">
        <v>111</v>
      </c>
    </row>
    <row r="29" spans="1:26" s="596" customFormat="1" ht="25.5">
      <c r="A29" s="595"/>
      <c r="B29" s="794">
        <v>46020</v>
      </c>
      <c r="C29" s="794">
        <v>9170</v>
      </c>
      <c r="D29" s="643" t="s">
        <v>871</v>
      </c>
      <c r="E29" s="642" t="s">
        <v>872</v>
      </c>
      <c r="F29" s="642" t="s">
        <v>873</v>
      </c>
      <c r="G29" s="642" t="s">
        <v>868</v>
      </c>
      <c r="H29" s="642" t="s">
        <v>869</v>
      </c>
      <c r="I29" s="642" t="s">
        <v>872</v>
      </c>
      <c r="J29" s="793">
        <v>40590</v>
      </c>
      <c r="K29" s="793">
        <v>40590</v>
      </c>
      <c r="L29" s="642" t="s">
        <v>870</v>
      </c>
      <c r="M29" s="642">
        <v>5120</v>
      </c>
      <c r="N29" s="642">
        <v>23040</v>
      </c>
      <c r="O29" s="642">
        <v>32914.285714285717</v>
      </c>
      <c r="P29" s="642">
        <v>65828.571428571435</v>
      </c>
      <c r="Q29" s="642">
        <v>0</v>
      </c>
      <c r="R29" s="642">
        <v>0</v>
      </c>
      <c r="S29" s="642">
        <v>0</v>
      </c>
      <c r="T29" s="642">
        <v>0</v>
      </c>
      <c r="U29" s="642">
        <v>0</v>
      </c>
      <c r="V29" s="642">
        <v>0</v>
      </c>
      <c r="W29" s="642">
        <v>0</v>
      </c>
      <c r="X29" s="642">
        <v>10</v>
      </c>
      <c r="Y29" s="642" t="s">
        <v>111</v>
      </c>
      <c r="Z29" s="644" t="s">
        <v>111</v>
      </c>
    </row>
    <row r="30" spans="1:26" s="596" customFormat="1" ht="51">
      <c r="A30" s="595"/>
      <c r="B30" s="794">
        <v>46020</v>
      </c>
      <c r="C30" s="794">
        <v>9170</v>
      </c>
      <c r="D30" s="643" t="s">
        <v>874</v>
      </c>
      <c r="E30" s="642" t="s">
        <v>875</v>
      </c>
      <c r="F30" s="642" t="s">
        <v>876</v>
      </c>
      <c r="G30" s="642" t="s">
        <v>868</v>
      </c>
      <c r="H30" s="642" t="s">
        <v>869</v>
      </c>
      <c r="I30" s="642" t="s">
        <v>875</v>
      </c>
      <c r="J30" s="793">
        <v>41561</v>
      </c>
      <c r="K30" s="793">
        <v>41565</v>
      </c>
      <c r="L30" s="642" t="s">
        <v>870</v>
      </c>
      <c r="M30" s="642">
        <v>5.5</v>
      </c>
      <c r="N30" s="642">
        <v>24.75</v>
      </c>
      <c r="O30" s="642">
        <v>35.357142857142861</v>
      </c>
      <c r="P30" s="642">
        <v>70.714285714285722</v>
      </c>
      <c r="Q30" s="642">
        <v>0</v>
      </c>
      <c r="R30" s="642">
        <v>0</v>
      </c>
      <c r="S30" s="642">
        <v>0</v>
      </c>
      <c r="T30" s="642">
        <v>0</v>
      </c>
      <c r="U30" s="642">
        <v>0</v>
      </c>
      <c r="V30" s="642">
        <v>0</v>
      </c>
      <c r="W30" s="642">
        <v>0</v>
      </c>
      <c r="X30" s="642">
        <v>1500</v>
      </c>
      <c r="Y30" s="642" t="s">
        <v>50</v>
      </c>
      <c r="Z30" s="644" t="s">
        <v>155</v>
      </c>
    </row>
    <row r="31" spans="1:26" s="596" customFormat="1" ht="51">
      <c r="A31" s="595"/>
      <c r="B31" s="794">
        <v>46020</v>
      </c>
      <c r="C31" s="794">
        <v>9170</v>
      </c>
      <c r="D31" s="643" t="s">
        <v>874</v>
      </c>
      <c r="E31" s="642" t="s">
        <v>875</v>
      </c>
      <c r="F31" s="642" t="s">
        <v>877</v>
      </c>
      <c r="G31" s="642" t="s">
        <v>868</v>
      </c>
      <c r="H31" s="642" t="s">
        <v>869</v>
      </c>
      <c r="I31" s="642" t="s">
        <v>878</v>
      </c>
      <c r="J31" s="793">
        <v>41561</v>
      </c>
      <c r="K31" s="793">
        <v>41565</v>
      </c>
      <c r="L31" s="642" t="s">
        <v>870</v>
      </c>
      <c r="M31" s="642">
        <v>10</v>
      </c>
      <c r="N31" s="642">
        <v>45</v>
      </c>
      <c r="O31" s="642">
        <v>64.285714285714292</v>
      </c>
      <c r="P31" s="642">
        <v>128.57142857142858</v>
      </c>
      <c r="Q31" s="642">
        <v>0</v>
      </c>
      <c r="R31" s="642">
        <v>0</v>
      </c>
      <c r="S31" s="642">
        <v>0</v>
      </c>
      <c r="T31" s="642">
        <v>0</v>
      </c>
      <c r="U31" s="642">
        <v>0</v>
      </c>
      <c r="V31" s="642">
        <v>0</v>
      </c>
      <c r="W31" s="642">
        <v>0</v>
      </c>
      <c r="X31" s="642">
        <v>1500</v>
      </c>
      <c r="Y31" s="642" t="s">
        <v>50</v>
      </c>
      <c r="Z31" s="644" t="s">
        <v>155</v>
      </c>
    </row>
    <row r="32" spans="1:26" s="596" customFormat="1" ht="63.75">
      <c r="A32" s="595"/>
      <c r="B32" s="794">
        <v>46020</v>
      </c>
      <c r="C32" s="794">
        <v>9170</v>
      </c>
      <c r="D32" s="643" t="s">
        <v>879</v>
      </c>
      <c r="E32" s="642" t="s">
        <v>880</v>
      </c>
      <c r="F32" s="642" t="s">
        <v>881</v>
      </c>
      <c r="G32" s="642" t="s">
        <v>868</v>
      </c>
      <c r="H32" s="642" t="s">
        <v>869</v>
      </c>
      <c r="I32" s="642" t="s">
        <v>880</v>
      </c>
      <c r="J32" s="793">
        <v>41807</v>
      </c>
      <c r="K32" s="793">
        <v>41807</v>
      </c>
      <c r="L32" s="642" t="s">
        <v>870</v>
      </c>
      <c r="M32" s="642">
        <v>9</v>
      </c>
      <c r="N32" s="642">
        <v>40.5</v>
      </c>
      <c r="O32" s="642">
        <v>57.857142857142861</v>
      </c>
      <c r="P32" s="642">
        <v>115.71428571428572</v>
      </c>
      <c r="Q32" s="642">
        <v>0</v>
      </c>
      <c r="R32" s="642">
        <v>0</v>
      </c>
      <c r="S32" s="642">
        <v>0</v>
      </c>
      <c r="T32" s="642">
        <v>0</v>
      </c>
      <c r="U32" s="642">
        <v>0</v>
      </c>
      <c r="V32" s="642">
        <v>0</v>
      </c>
      <c r="W32" s="642">
        <v>0</v>
      </c>
      <c r="X32" s="642">
        <v>1600</v>
      </c>
      <c r="Y32" s="642" t="s">
        <v>49</v>
      </c>
      <c r="Z32" s="644" t="s">
        <v>155</v>
      </c>
    </row>
    <row r="33" spans="1:27" s="576" customFormat="1">
      <c r="A33" s="598" t="s">
        <v>279</v>
      </c>
      <c r="B33" s="599"/>
      <c r="C33" s="599"/>
      <c r="D33" s="599"/>
      <c r="E33" s="599"/>
      <c r="F33" s="599"/>
      <c r="G33" s="599"/>
      <c r="H33" s="599"/>
      <c r="I33" s="599"/>
      <c r="J33" s="599"/>
      <c r="K33" s="599"/>
      <c r="L33" s="600"/>
      <c r="M33" s="600">
        <f>SUM(M28:M32)</f>
        <v>6744.5</v>
      </c>
      <c r="N33" s="600">
        <f>SUM(N28:N32)</f>
        <v>30350.25</v>
      </c>
      <c r="O33" s="600">
        <f>SUM(O28:O32)</f>
        <v>43357.500000000007</v>
      </c>
      <c r="P33" s="600">
        <f>SUM(P28:P32)</f>
        <v>86715.000000000015</v>
      </c>
      <c r="Q33" s="600">
        <f>SUM(Q28:Q32)</f>
        <v>0</v>
      </c>
      <c r="R33" s="600">
        <f>SUM(R28:R32)</f>
        <v>0</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0</v>
      </c>
      <c r="N34" s="600">
        <f>SUMIF($Z$28:$Z$32,"industrie",N28:N32)</f>
        <v>0</v>
      </c>
      <c r="O34" s="600">
        <f>SUMIF($Z$28:$Z$32,"industrie",O28:O32)</f>
        <v>0</v>
      </c>
      <c r="P34" s="600">
        <f>SUMIF($Z$28:$Z$32,"industrie",P28:P32)</f>
        <v>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24.5</v>
      </c>
      <c r="N35" s="600">
        <f ca="1">SUMIF($Z$28:AD32,"tertiair",N28:N32)</f>
        <v>110.25</v>
      </c>
      <c r="O35" s="600">
        <f ca="1">SUMIF($Z$28:AE32,"tertiair",O28:O32)</f>
        <v>157.5</v>
      </c>
      <c r="P35" s="600">
        <f ca="1">SUMIF($Z$28:AF32,"tertiair",P28:P32)</f>
        <v>315</v>
      </c>
      <c r="Q35" s="600">
        <f ca="1">SUMIF($Z$28:AG32,"tertiair",Q28:Q32)</f>
        <v>0</v>
      </c>
      <c r="R35" s="600">
        <f ca="1">SUMIF($Z$28:AH32,"tertiair",R28:R32)</f>
        <v>0</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6720</v>
      </c>
      <c r="N36" s="605">
        <f>SUMIF($Z$28:$Z$32,"landbouw",N28:N32)</f>
        <v>30240</v>
      </c>
      <c r="O36" s="605">
        <f>SUMIF($Z$28:$Z$32,"landbouw",O28:O32)</f>
        <v>43200</v>
      </c>
      <c r="P36" s="605">
        <f>SUMIF($Z$28:$Z$32,"landbouw",P28:P32)</f>
        <v>86400</v>
      </c>
      <c r="Q36" s="605">
        <f>SUMIF($Z$28:$Z$32,"landbouw",Q28:Q32)</f>
        <v>0</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12.75">
      <c r="A39" s="597"/>
      <c r="B39" s="794"/>
      <c r="C39" s="794"/>
      <c r="D39" s="645"/>
      <c r="E39" s="645"/>
      <c r="F39" s="645"/>
      <c r="G39" s="645"/>
      <c r="H39" s="645"/>
      <c r="I39" s="645"/>
      <c r="J39" s="793"/>
      <c r="K39" s="793"/>
      <c r="L39" s="645"/>
      <c r="M39" s="645"/>
      <c r="N39" s="645"/>
      <c r="O39" s="645"/>
      <c r="P39" s="645"/>
      <c r="Q39" s="645"/>
      <c r="R39" s="645"/>
      <c r="S39" s="645"/>
      <c r="T39" s="645"/>
      <c r="U39" s="645"/>
      <c r="V39" s="645"/>
      <c r="W39" s="645"/>
      <c r="X39" s="645"/>
      <c r="Y39" s="645"/>
      <c r="Z39" s="646"/>
    </row>
    <row r="40" spans="1:27" s="576" customFormat="1">
      <c r="A40" s="598" t="s">
        <v>279</v>
      </c>
      <c r="B40" s="599"/>
      <c r="C40" s="599"/>
      <c r="D40" s="599"/>
      <c r="E40" s="599"/>
      <c r="F40" s="599"/>
      <c r="G40" s="599"/>
      <c r="H40" s="599"/>
      <c r="I40" s="599"/>
      <c r="J40" s="599"/>
      <c r="K40" s="599"/>
      <c r="L40" s="600"/>
      <c r="M40" s="600">
        <f>SUM(M39:M39)</f>
        <v>0</v>
      </c>
      <c r="N40" s="600">
        <f>SUM(N39:N39)</f>
        <v>0</v>
      </c>
      <c r="O40" s="600">
        <f>SUM(O39:O39)</f>
        <v>0</v>
      </c>
      <c r="P40" s="600">
        <f>SUM(P39:P39)</f>
        <v>0</v>
      </c>
      <c r="Q40" s="600">
        <f>SUM(Q39:Q39)</f>
        <v>0</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0</v>
      </c>
      <c r="N42" s="600">
        <f>SUMIF($Z$39:$Z$40,"tertiair",N39:N40)</f>
        <v>0</v>
      </c>
      <c r="O42" s="600">
        <f>SUMIF($Z$39:$Z$40,"tertiair",O39:O40)</f>
        <v>0</v>
      </c>
      <c r="P42" s="600">
        <f>SUMIF($Z$39:$Z$40,"tertiair",P39:P40)</f>
        <v>0</v>
      </c>
      <c r="Q42" s="600">
        <f>SUMIF($Z$39:$Z$40,"tertiair",Q39:Q40)</f>
        <v>0</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0.58823529411764719</v>
      </c>
      <c r="C49" s="625">
        <f>IF(ISERROR(N33/(O33+N33)),0,N33/(N33+O33))</f>
        <v>0.41176470588235292</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35706.176470588238</v>
      </c>
      <c r="C52" s="634">
        <f t="shared" si="2"/>
        <v>0</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51008.823529411784</v>
      </c>
      <c r="C53" s="637">
        <f t="shared" si="3"/>
        <v>0</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2020-06-20T15:25:44Z</dcterms:modified>
</cp:coreProperties>
</file>