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2" i="59"/>
  <c r="C20" i="16"/>
  <c r="C22" i="16" s="1"/>
  <c r="D43" i="14" s="1"/>
  <c r="C10" i="17"/>
  <c r="C12" i="17" s="1"/>
  <c r="D54" i="14" s="1"/>
  <c r="D56" i="14" s="1"/>
  <c r="C17" i="49"/>
  <c r="C18" i="15"/>
  <c r="C20" i="15" s="1"/>
  <c r="D40"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<sst xmlns="http://schemas.openxmlformats.org/spreadsheetml/2006/main" count="2375" uniqueCount="872">
  <si>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</si>
  <si>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</si>
  <si>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</si>
  <si>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</si>
  <si>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</si>
  <si>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</si>
  <si>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</si>
  <si>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</si>
  <si>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</si>
  <si>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</si>
  <si>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</si>
  <si>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</si>
  <si>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</si>
  <si>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</si>
  <si>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</si>
  <si>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</si>
  <si>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</si>
  <si>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</si>
  <si>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</si>
  <si>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</si>
  <si>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</si>
  <si>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</si>
  <si>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</si>
  <si>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</si>
  <si>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</si>
  <si>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</si>
  <si>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</si>
  <si>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</si>
  <si>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</si>
  <si>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</si>
  <si>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</si>
  <si>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</si>
  <si>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</si>
  <si>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</si>
  <si>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</si>
  <si>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</si>
  <si>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</si>
  <si>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</si>
  <si>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</si>
  <si>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</si>
  <si>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</si>
  <si>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</si>
  <si>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</si>
  <si>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</si>
  <si>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</si>
  <si>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</si>
  <si>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</si>
  <si>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</si>
  <si>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</si>
  <si>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</si>
  <si>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</si>
  <si>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</si>
  <si>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</si>
  <si>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</si>
  <si>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</si>
  <si>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</si>
  <si>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</si>
  <si>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</si>
  <si>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</si>
  <si>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</si>
  <si>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</si>
  <si>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</si>
  <si>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</si>
  <si>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</si>
  <si>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</si>
  <si>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</si>
  <si>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</si>
  <si>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</si>
  <si>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</si>
  <si>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</si>
  <si>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</si>
  <si>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</si>
  <si>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</si>
  <si>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</si>
  <si>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</si>
  <si>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</si>
  <si>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</si>
  <si>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</si>
  <si>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</si>
  <si>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</si>
  <si>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</si>
  <si>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</si>
  <si>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</si>
  <si>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</si>
  <si>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</si>
  <si>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</si>
  <si>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</si>
  <si>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</si>
  <si>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</si>
  <si>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</si>
  <si>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</si>
  <si>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</si>
  <si>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</si>
  <si>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</si>
  <si>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</si>
  <si>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</si>
  <si>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</si>
  <si>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</si>
  <si>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</si>
  <si>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</si>
  <si>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</si>
  <si>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</si>
  <si>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</si>
  <si>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</si>
  <si>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</si>
  <si>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</si>
  <si>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</si>
  <si>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</si>
  <si>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</si>
  <si>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</si>
  <si>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</si>
  <si>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</si>
  <si>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</si>
  <si>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</si>
  <si>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</si>
  <si>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</si>
  <si>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</si>
  <si>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</si>
  <si>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</si>
  <si>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</si>
  <si>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</si>
  <si>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</si>
  <si>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</si>
  <si>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</si>
  <si>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</si>
  <si>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</si>
  <si>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</si>
  <si>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</si>
  <si>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</si>
  <si>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</si>
  <si>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</si>
  <si>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</si>
  <si>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</si>
  <si>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</si>
  <si>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</si>
  <si>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</si>
  <si>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</si>
  <si>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</si>
  <si>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</si>
  <si>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</si>
  <si>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</si>
  <si>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</si>
  <si>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</si>
  <si>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</si>
  <si>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</si>
  <si>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</si>
  <si>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</si>
  <si>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</si>
  <si>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</si>
  <si>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</si>
  <si>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</si>
  <si>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</si>
  <si>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</si>
  <si>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</si>
  <si>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</si>
  <si>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</si>
  <si>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</si>
  <si>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</si>
  <si>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</si>
  <si>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</si>
  <si>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</si>
  <si>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</si>
  <si>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</si>
  <si>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</si>
  <si>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</si>
  <si>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</si>
  <si>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</si>
  <si>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</si>
  <si>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</si>
  <si>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</si>
  <si>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</si>
  <si>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</si>
  <si>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</si>
  <si>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</si>
  <si>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</si>
  <si>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</si>
  <si>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</si>
  <si>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</si>
  <si>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</si>
  <si>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</si>
  <si>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</si>
  <si>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</si>
  <si>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</si>
  <si>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</si>
  <si>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</si>
  <si>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</si>
  <si>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</si>
  <si>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</si>
  <si>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</si>
  <si>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</si>
  <si>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</si>
  <si>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</si>
  <si>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</si>
  <si>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</si>
  <si>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</si>
  <si>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</si>
  <si>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</si>
  <si>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</si>
  <si>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</si>
  <si>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</si>
  <si>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</si>
  <si>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</si>
  <si>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</si>
  <si>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</si>
  <si>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</si>
  <si>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</si>
  <si>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</si>
  <si>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</si>
  <si>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</si>
  <si>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</si>
  <si>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</si>
  <si>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</si>
  <si>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</si>
  <si>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</si>
  <si>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</si>
  <si>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</si>
  <si>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</si>
  <si>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</si>
  <si>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</si>
  <si>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</si>
  <si>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</si>
  <si>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</si>
  <si>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</si>
  <si>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</si>
  <si>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</si>
  <si>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</si>
  <si>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</si>
  <si>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</si>
  <si>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</si>
  <si>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</si>
  <si>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</si>
  <si>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</si>
  <si>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</si>
  <si>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</si>
  <si>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</si>
  <si>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</si>
  <si>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</si>
  <si>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</si>
  <si>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</si>
  <si>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</si>
  <si>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</si>
  <si>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</si>
  <si>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</si>
  <si>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</si>
  <si>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</si>
  <si>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</si>
  <si>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</si>
  <si>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</si>
  <si>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</si>
  <si>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</si>
  <si>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</si>
  <si>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</si>
  <si>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</si>
  <si>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</si>
  <si>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</si>
  <si>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</si>
  <si>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</si>
  <si>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</si>
  <si>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</si>
  <si>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</si>
  <si>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</si>
  <si>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</si>
  <si>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</si>
  <si>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</si>
  <si>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</si>
  <si>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</si>
  <si>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</si>
  <si>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</si>
  <si>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</si>
  <si>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</si>
  <si>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</si>
  <si>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</si>
  <si>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</si>
  <si>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</si>
  <si>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</si>
  <si>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</si>
  <si>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</si>
  <si>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</si>
  <si>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</si>
  <si>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</si>
  <si>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</si>
  <si>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</si>
  <si>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</si>
  <si>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</si>
  <si>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</si>
  <si>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</si>
  <si>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</si>
  <si>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</si>
  <si>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</si>
  <si>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</si>
  <si>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</si>
  <si>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</si>
  <si>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</si>
  <si>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</si>
  <si>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</si>
  <si>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</si>
  <si>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</si>
  <si>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</si>
  <si>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</si>
  <si>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</si>
  <si>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</si>
  <si>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</si>
  <si>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</si>
  <si>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</si>
  <si>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</si>
  <si>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</si>
  <si>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</si>
  <si>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</si>
  <si>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</si>
  <si>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</si>
  <si>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</si>
  <si>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</si>
  <si>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</si>
  <si>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</si>
  <si>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</si>
  <si>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</si>
  <si>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</si>
  <si>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</si>
  <si>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</si>
  <si>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</si>
  <si>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</si>
  <si>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</si>
  <si>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</si>
  <si>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</si>
  <si>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</si>
  <si>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</si>
  <si>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</si>
  <si>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</si>
  <si>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</si>
  <si>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</si>
  <si>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</si>
  <si>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</si>
  <si>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</si>
  <si>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</si>
  <si>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</si>
  <si>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</si>
  <si>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</si>
  <si>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</si>
  <si>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</si>
  <si>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</si>
  <si>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</si>
  <si>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</si>
  <si>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</si>
  <si>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</si>
  <si>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</si>
  <si>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</si>
  <si>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</si>
  <si>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</si>
  <si>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</si>
  <si>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</si>
  <si>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</si>
  <si>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</si>
  <si>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</si>
  <si>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</si>
  <si>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</si>
  <si>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</si>
  <si>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</si>
  <si>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</si>
  <si>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</si>
  <si>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</si>
  <si>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</si>
  <si>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</si>
  <si>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</si>
  <si>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</si>
  <si>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</si>
  <si>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</si>
  <si>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</si>
  <si>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</si>
  <si>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</si>
  <si>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</si>
  <si>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</si>
  <si>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</si>
  <si>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</si>
  <si>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</si>
  <si>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</si>
  <si>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</si>
  <si>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</si>
  <si>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</si>
  <si>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</si>
  <si>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</si>
  <si>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</si>
  <si>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</si>
  <si>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</si>
  <si>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</si>
  <si>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</si>
  <si>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</si>
  <si>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</si>
  <si>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</si>
  <si>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</si>
  <si>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</si>
  <si>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</si>
  <si>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</si>
  <si>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</si>
  <si>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</si>
  <si>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</si>
  <si>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</si>
  <si>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</si>
  <si>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</si>
  <si>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</si>
  <si>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</si>
  <si>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</si>
  <si>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</si>
  <si>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</si>
  <si>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</si>
  <si>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</si>
  <si>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</si>
  <si>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</si>
  <si>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</si>
  <si>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</si>
  <si>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</si>
  <si>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</si>
  <si>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</si>
  <si>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</si>
  <si>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</si>
  <si>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</si>
  <si>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</si>
  <si>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</si>
  <si>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</si>
  <si>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</si>
  <si>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</si>
  <si>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</si>
  <si>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</si>
  <si>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</si>
  <si>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</si>
  <si>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</si>
  <si>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</si>
  <si>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</si>
  <si>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</si>
  <si>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</si>
  <si>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</si>
  <si>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</si>
  <si>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</si>
  <si>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</si>
  <si>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</si>
  <si>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</si>
  <si>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</si>
  <si>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</si>
  <si>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</si>
  <si>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</si>
  <si>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</si>
  <si>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</si>
  <si>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</si>
  <si>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</si>
  <si>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</si>
  <si>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</si>
  <si>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</si>
  <si>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</si>
  <si>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</si>
  <si>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</si>
  <si>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</si>
  <si>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</si>
  <si>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</si>
  <si>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</si>
  <si>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</si>
  <si>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</si>
  <si>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</si>
  <si>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</si>
  <si>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</si>
  <si>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</si>
  <si>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</si>
  <si>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</si>
  <si>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</si>
  <si>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</si>
  <si>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</si>
  <si>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</si>
  <si>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</si>
  <si>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</si>
  <si>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</si>
  <si>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</si>
  <si>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</si>
  <si>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</si>
  <si>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</si>
  <si>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</si>
  <si>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</si>
  <si>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</si>
  <si>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</si>
  <si>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</si>
  <si>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</si>
  <si>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</si>
  <si>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</si>
  <si>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</si>
  <si>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</si>
  <si>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</si>
  <si>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</si>
  <si>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</si>
  <si>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</si>
  <si>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</si>
  <si>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</si>
  <si>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</si>
  <si>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</si>
  <si>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</si>
  <si>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</si>
  <si>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</si>
  <si>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</si>
  <si>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</si>
  <si>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</si>
  <si>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</si>
  <si>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</si>
  <si>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</si>
  <si>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</si>
  <si>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</si>
  <si>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</si>
  <si>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</si>
  <si>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</si>
  <si>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</si>
  <si>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</si>
  <si>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</si>
  <si>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</si>
  <si>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</si>
  <si>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</si>
  <si>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</si>
  <si>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</si>
  <si>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</si>
  <si>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</si>
  <si>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</si>
  <si>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</si>
  <si>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</si>
  <si>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</si>
  <si>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</si>
  <si>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</si>
  <si>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</si>
  <si>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</si>
  <si>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</si>
  <si>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</si>
  <si>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</si>
  <si>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</si>
  <si>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</si>
  <si>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</si>
  <si>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</si>
  <si>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</si>
  <si>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</si>
  <si>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</si>
  <si>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</si>
  <si>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</si>
  <si>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</si>
  <si>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</si>
  <si>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</si>
  <si>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</si>
  <si>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</si>
  <si>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</si>
  <si>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</si>
  <si>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</si>
  <si>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</si>
  <si>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</si>
  <si>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</si>
  <si>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</si>
  <si>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</si>
  <si>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</si>
  <si>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</si>
  <si>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</si>
  <si>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</si>
  <si>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</si>
  <si>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</si>
  <si>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</si>
  <si>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</si>
  <si>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</si>
  <si>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</si>
  <si>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</si>
  <si>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</si>
  <si>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</si>
  <si>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</si>
  <si>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</si>
  <si>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</si>
  <si>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</si>
  <si>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</si>
  <si>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</si>
  <si>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</si>
  <si>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</si>
  <si>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</si>
  <si>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</si>
  <si>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</si>
  <si>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</si>
  <si>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</si>
  <si>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</si>
  <si>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</si>
  <si>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</si>
  <si>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</si>
  <si>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</si>
  <si>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</si>
  <si>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</si>
  <si>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</si>
  <si>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</si>
  <si>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</si>
  <si>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</si>
  <si>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</si>
  <si>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</si>
  <si>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</si>
  <si>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</si>
  <si>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</si>
  <si>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</si>
  <si>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</si>
  <si>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</si>
  <si>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</si>
  <si>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</si>
  <si>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</si>
  <si>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</si>
  <si>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</si>
  <si>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</si>
  <si>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</si>
  <si>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</si>
  <si>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</si>
  <si>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</si>
  <si>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</si>
  <si>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</si>
  <si>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</si>
  <si>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</si>
  <si>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</si>
  <si>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</si>
  <si>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</si>
  <si>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</si>
  <si>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</si>
  <si>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</si>
  <si>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</si>
  <si>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</si>
  <si>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</si>
  <si>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</si>
  <si>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</si>
  <si>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</si>
  <si>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</si>
  <si>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</si>
  <si>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</si>
  <si>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</si>
  <si>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</si>
  <si>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</si>
  <si>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</si>
  <si>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</si>
  <si>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</si>
  <si>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</si>
  <si>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</si>
  <si>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</si>
  <si>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</si>
  <si>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</si>
  <si>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</si>
  <si>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</si>
  <si>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</si>
  <si>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</si>
  <si>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</si>
  <si>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</si>
  <si>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</si>
  <si>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</si>
  <si>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</si>
  <si>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</si>
  <si>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</si>
  <si>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</si>
  <si>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</si>
  <si>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</si>
  <si>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</si>
  <si>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</si>
  <si>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</si>
  <si>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</si>
  <si>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</si>
  <si>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</si>
  <si>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</si>
  <si>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</si>
  <si>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</si>
  <si>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</si>
  <si>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</si>
  <si>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</si>
  <si>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</si>
  <si>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</si>
  <si>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</si>
  <si>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</si>
  <si>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</si>
  <si>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</si>
  <si>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</si>
  <si>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</si>
  <si>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</si>
  <si>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</si>
  <si>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</si>
  <si>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</si>
  <si>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</si>
  <si>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</si>
  <si>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</si>
  <si>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</si>
  <si>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</si>
  <si>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</si>
  <si>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</si>
  <si>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</si>
  <si>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</si>
  <si>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</si>
  <si>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</si>
  <si>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</si>
  <si>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</si>
  <si>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</si>
  <si>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</si>
  <si>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</si>
  <si>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</si>
  <si>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</si>
  <si>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</si>
  <si>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</si>
  <si>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</si>
  <si>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</si>
  <si>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</si>
  <si>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</si>
  <si>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</si>
  <si>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</si>
  <si>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</si>
  <si>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</si>
  <si>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</si>
  <si>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</si>
  <si>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</si>
  <si>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</si>
  <si>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</si>
  <si>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</si>
  <si>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</si>
  <si>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</si>
  <si>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</si>
  <si>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</si>
  <si>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</si>
  <si>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</si>
  <si>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</si>
  <si>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</si>
  <si>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</si>
  <si>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</si>
  <si>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</si>
  <si>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</si>
  <si>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</si>
  <si>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</si>
  <si>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</si>
  <si>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</si>
  <si>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</si>
  <si>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</si>
  <si>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</si>
  <si>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</si>
  <si>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</si>
  <si>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</si>
  <si>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</si>
  <si>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</si>
  <si>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</si>
  <si>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</si>
  <si>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</si>
  <si>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</si>
  <si>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</si>
  <si>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</si>
  <si>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</si>
  <si>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</si>
  <si>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</si>
  <si>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</si>
  <si>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</si>
  <si>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</si>
  <si>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</si>
  <si>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</si>
  <si>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</si>
  <si>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</si>
  <si>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</si>
  <si>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</si>
  <si>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</si>
  <si>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</si>
  <si>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</si>
  <si>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</si>
  <si>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</si>
  <si>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</si>
  <si>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</si>
  <si>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</si>
  <si>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</si>
  <si>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</si>
  <si>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</si>
  <si>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</si>
  <si>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</si>
  <si>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</si>
  <si>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</si>
  <si>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</si>
  <si>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</si>
  <si>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</si>
  <si>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</si>
  <si>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</si>
  <si>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</si>
  <si>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</si>
  <si>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</si>
  <si>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</si>
  <si>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</si>
  <si>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</si>
  <si>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</si>
  <si>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</si>
  <si>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</si>
  <si>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</si>
  <si>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</si>
  <si>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</si>
  <si>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</si>
  <si>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</si>
  <si>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</si>
  <si>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</si>
  <si>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</si>
  <si>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</si>
  <si>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</si>
  <si>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</si>
  <si>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</si>
  <si>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</si>
  <si>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</si>
  <si>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</si>
  <si>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</si>
  <si>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</si>
  <si>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</si>
  <si>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</si>
  <si>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</si>
  <si>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</si>
  <si>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</si>
  <si>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</si>
  <si>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</si>
  <si>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</si>
  <si>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</si>
  <si>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</si>
  <si>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</si>
  <si>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</si>
  <si>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</si>
  <si>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</si>
  <si>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</si>
  <si>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</si>
  <si>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</si>
  <si>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</si>
  <si>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</si>
  <si>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</si>
  <si>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</si>
  <si>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</si>
  <si>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</si>
  <si>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</si>
  <si>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</si>
  <si>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</si>
  <si>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</si>
  <si>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</si>
  <si>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</si>
  <si>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</si>
  <si>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</si>
  <si>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</si>
  <si>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</si>
  <si>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</si>
  <si>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</si>
  <si>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</si>
  <si>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</si>
  <si>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</si>
  <si>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</si>
  <si>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</si>
  <si>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</si>
  <si>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</si>
  <si>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</si>
  <si>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</si>
  <si>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</si>
  <si>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</si>
  <si>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</si>
  <si>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</si>
  <si>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</si>
  <si>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</si>
  <si>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</si>
  <si>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</si>
  <si>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</si>
  <si>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</si>
  <si>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</si>
  <si>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</si>
  <si>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</si>
  <si>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</si>
  <si>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</si>
  <si>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</si>
  <si>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</si>
  <si>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</si>
  <si>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</si>
  <si>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</si>
  <si>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</si>
  <si>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</si>
  <si>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</si>
  <si>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</si>
  <si>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</si>
  <si>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</si>
  <si>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46014</t>
  </si>
  <si>
    <t>LOKEREN</t>
  </si>
  <si>
    <t>referentietaak LNE (2017); Jaarverslag De Lijn</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</si>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</sst>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276271.08606803417</c:v>
                </c:pt>
                <c:pt idx="1">
                  <c:v>196378.06630761907</c:v>
                </c:pt>
                <c:pt idx="2">
                  <c:v>2226.4954638307099</c:v>
                </c:pt>
                <c:pt idx="3">
                  <c:v>22389.292532386655</c:v>
                </c:pt>
                <c:pt idx="4">
                  <c:v>124550.21604297549</c:v>
                </c:pt>
                <c:pt idx="5">
                  <c:v>471093.74224908609</c:v>
                </c:pt>
                <c:pt idx="6">
                  <c:v>1970.2373817079149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276271.08606803417</c:v>
                </c:pt>
                <c:pt idx="1">
                  <c:v>196378.06630761907</c:v>
                </c:pt>
                <c:pt idx="2">
                  <c:v>2226.4954638307099</c:v>
                </c:pt>
                <c:pt idx="3">
                  <c:v>22389.292532386655</c:v>
                </c:pt>
                <c:pt idx="4">
                  <c:v>124550.21604297549</c:v>
                </c:pt>
                <c:pt idx="5">
                  <c:v>471093.74224908609</c:v>
                </c:pt>
                <c:pt idx="6">
                  <c:v>1970.2373817079149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46955.063370013617</c:v>
                </c:pt>
                <c:pt idx="1">
                  <c:v>38097.41267913604</c:v>
                </c:pt>
                <c:pt idx="2">
                  <c:v>407.57034663981426</c:v>
                </c:pt>
                <c:pt idx="3">
                  <c:v>5344.067204465483</c:v>
                </c:pt>
                <c:pt idx="4">
                  <c:v>24330.584672147503</c:v>
                </c:pt>
                <c:pt idx="5">
                  <c:v>117469.93439447644</c:v>
                </c:pt>
                <c:pt idx="6">
                  <c:v>498.97609598540578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46955.063370013617</c:v>
                </c:pt>
                <c:pt idx="1">
                  <c:v>38097.41267913604</c:v>
                </c:pt>
                <c:pt idx="2">
                  <c:v>407.57034663981426</c:v>
                </c:pt>
                <c:pt idx="3">
                  <c:v>5344.067204465483</c:v>
                </c:pt>
                <c:pt idx="4">
                  <c:v>24330.584672147503</c:v>
                </c:pt>
                <c:pt idx="5">
                  <c:v>117469.93439447644</c:v>
                </c:pt>
                <c:pt idx="6">
                  <c:v>498.97609598540578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46014</v>
      </c>
      <c r="B6" s="392"/>
      <c r="C6" s="393"/>
    </row>
    <row r="7" spans="1:7" s="390" customFormat="1" ht="15.75" customHeight="1">
      <c r="A7" s="394" t="str">
        <f>txtMunicipality</f>
        <v>LOKEREN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81691.689163509465</v>
      </c>
      <c r="D10" s="689">
        <f ca="1">tertiair!C16</f>
        <v>0</v>
      </c>
      <c r="E10" s="689">
        <f ca="1">tertiair!D16</f>
        <v>98803.968671198832</v>
      </c>
      <c r="F10" s="689">
        <f>tertiair!E16</f>
        <v>291.49174693686268</v>
      </c>
      <c r="G10" s="689">
        <f ca="1">tertiair!F16</f>
        <v>13207.227695344811</v>
      </c>
      <c r="H10" s="689">
        <f>tertiair!G16</f>
        <v>0</v>
      </c>
      <c r="I10" s="689">
        <f>tertiair!H16</f>
        <v>0</v>
      </c>
      <c r="J10" s="689">
        <f>tertiair!I16</f>
        <v>0</v>
      </c>
      <c r="K10" s="689">
        <f>tertiair!J16</f>
        <v>0.1113275349289183</v>
      </c>
      <c r="L10" s="689">
        <f>tertiair!K16</f>
        <v>0</v>
      </c>
      <c r="M10" s="689">
        <f ca="1">tertiair!L16</f>
        <v>0</v>
      </c>
      <c r="N10" s="689">
        <f>tertiair!M16</f>
        <v>0</v>
      </c>
      <c r="O10" s="689">
        <f ca="1">tertiair!N16</f>
        <v>4093.1455752738634</v>
      </c>
      <c r="P10" s="689">
        <f>tertiair!O16</f>
        <v>44.075346892570387</v>
      </c>
      <c r="Q10" s="690">
        <f>tertiair!P16</f>
        <v>472.85224475845519</v>
      </c>
      <c r="R10" s="692">
        <f ca="1">SUM(C10:Q10)</f>
        <v>198604.56177144978</v>
      </c>
      <c r="S10" s="67"/>
    </row>
    <row r="11" spans="1:19" s="451" customFormat="1">
      <c r="A11" s="811" t="s">
        <v>224</v>
      </c>
      <c r="B11" s="816"/>
      <c r="C11" s="689">
        <f>huishoudens!B8</f>
        <v>69775.159270565826</v>
      </c>
      <c r="D11" s="689">
        <f>huishoudens!C8</f>
        <v>0</v>
      </c>
      <c r="E11" s="689">
        <f>huishoudens!D8</f>
        <v>150110.78210569086</v>
      </c>
      <c r="F11" s="689">
        <f>huishoudens!E8</f>
        <v>14816.618356495675</v>
      </c>
      <c r="G11" s="689">
        <f>huishoudens!F8</f>
        <v>0</v>
      </c>
      <c r="H11" s="689">
        <f>huishoudens!G8</f>
        <v>0</v>
      </c>
      <c r="I11" s="689">
        <f>huishoudens!H8</f>
        <v>0</v>
      </c>
      <c r="J11" s="689">
        <f>huishoudens!I8</f>
        <v>0</v>
      </c>
      <c r="K11" s="689">
        <f>huishoudens!J8</f>
        <v>1402.9539461914037</v>
      </c>
      <c r="L11" s="689">
        <f>huishoudens!K8</f>
        <v>0</v>
      </c>
      <c r="M11" s="689">
        <f>huishoudens!L8</f>
        <v>0</v>
      </c>
      <c r="N11" s="689">
        <f>huishoudens!M8</f>
        <v>0</v>
      </c>
      <c r="O11" s="689">
        <f>huishoudens!N8</f>
        <v>37787.502927982605</v>
      </c>
      <c r="P11" s="689">
        <f>huishoudens!O8</f>
        <v>892.78119872416437</v>
      </c>
      <c r="Q11" s="690">
        <f>huishoudens!P8</f>
        <v>1485.2882623835883</v>
      </c>
      <c r="R11" s="692">
        <f>SUM(C11:Q11)</f>
        <v>276271.08606803417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63721.770762835353</v>
      </c>
      <c r="D13" s="689">
        <f>industrie!C18</f>
        <v>0</v>
      </c>
      <c r="E13" s="689">
        <f>industrie!D18</f>
        <v>46791.922892385897</v>
      </c>
      <c r="F13" s="689">
        <f>industrie!E18</f>
        <v>223.68056372147311</v>
      </c>
      <c r="G13" s="689">
        <f>industrie!F18</f>
        <v>11823.085362130652</v>
      </c>
      <c r="H13" s="689">
        <f>industrie!G18</f>
        <v>0</v>
      </c>
      <c r="I13" s="689">
        <f>industrie!H18</f>
        <v>0</v>
      </c>
      <c r="J13" s="689">
        <f>industrie!I18</f>
        <v>0</v>
      </c>
      <c r="K13" s="689">
        <f>industrie!J18</f>
        <v>18.391408837299295</v>
      </c>
      <c r="L13" s="689">
        <f>industrie!K18</f>
        <v>0</v>
      </c>
      <c r="M13" s="689">
        <f>industrie!L18</f>
        <v>0</v>
      </c>
      <c r="N13" s="689">
        <f>industrie!M18</f>
        <v>0</v>
      </c>
      <c r="O13" s="689">
        <f>industrie!N18</f>
        <v>1971.3650530648179</v>
      </c>
      <c r="P13" s="689">
        <f>industrie!O18</f>
        <v>0</v>
      </c>
      <c r="Q13" s="690">
        <f>industrie!P18</f>
        <v>0</v>
      </c>
      <c r="R13" s="692">
        <f>SUM(C13:Q13)</f>
        <v>124550.21604297549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215188.61919691064</v>
      </c>
      <c r="D16" s="725">
        <f t="shared" ref="D16:R16" ca="1" si="0">SUM(D9:D15)</f>
        <v>0</v>
      </c>
      <c r="E16" s="725">
        <f t="shared" ca="1" si="0"/>
        <v>295706.67366927559</v>
      </c>
      <c r="F16" s="725">
        <f t="shared" si="0"/>
        <v>15331.790667154011</v>
      </c>
      <c r="G16" s="725">
        <f t="shared" ca="1" si="0"/>
        <v>25030.313057475461</v>
      </c>
      <c r="H16" s="725">
        <f t="shared" si="0"/>
        <v>0</v>
      </c>
      <c r="I16" s="725">
        <f t="shared" si="0"/>
        <v>0</v>
      </c>
      <c r="J16" s="725">
        <f t="shared" si="0"/>
        <v>0</v>
      </c>
      <c r="K16" s="725">
        <f t="shared" si="0"/>
        <v>1421.4566825636318</v>
      </c>
      <c r="L16" s="725">
        <f t="shared" si="0"/>
        <v>0</v>
      </c>
      <c r="M16" s="725">
        <f t="shared" ca="1" si="0"/>
        <v>0</v>
      </c>
      <c r="N16" s="725">
        <f t="shared" si="0"/>
        <v>0</v>
      </c>
      <c r="O16" s="725">
        <f t="shared" ca="1" si="0"/>
        <v>43852.013556321283</v>
      </c>
      <c r="P16" s="725">
        <f t="shared" si="0"/>
        <v>936.85654561673471</v>
      </c>
      <c r="Q16" s="725">
        <f t="shared" si="0"/>
        <v>1958.1405071420436</v>
      </c>
      <c r="R16" s="725">
        <f t="shared" ca="1" si="0"/>
        <v>599425.86388245947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1868.8243295333548</v>
      </c>
      <c r="I19" s="689">
        <f>transport!H54</f>
        <v>0</v>
      </c>
      <c r="J19" s="689">
        <f>transport!I54</f>
        <v>0</v>
      </c>
      <c r="K19" s="689">
        <f>transport!J54</f>
        <v>0</v>
      </c>
      <c r="L19" s="689">
        <f>transport!K54</f>
        <v>0</v>
      </c>
      <c r="M19" s="689">
        <f>transport!L54</f>
        <v>0</v>
      </c>
      <c r="N19" s="689">
        <f>transport!M54</f>
        <v>101.41305217456021</v>
      </c>
      <c r="O19" s="689">
        <f>transport!N54</f>
        <v>0</v>
      </c>
      <c r="P19" s="689">
        <f>transport!O54</f>
        <v>0</v>
      </c>
      <c r="Q19" s="690">
        <f>transport!P54</f>
        <v>0</v>
      </c>
      <c r="R19" s="692">
        <f>SUM(C19:Q19)</f>
        <v>1970.2373817079149</v>
      </c>
      <c r="S19" s="67"/>
    </row>
    <row r="20" spans="1:19" s="451" customFormat="1">
      <c r="A20" s="811" t="s">
        <v>306</v>
      </c>
      <c r="B20" s="816"/>
      <c r="C20" s="689">
        <f>transport!B14</f>
        <v>269.61202371230792</v>
      </c>
      <c r="D20" s="689">
        <f>transport!C14</f>
        <v>0</v>
      </c>
      <c r="E20" s="689">
        <f>transport!D14</f>
        <v>1089.7881314077872</v>
      </c>
      <c r="F20" s="689">
        <f>transport!E14</f>
        <v>661.28709134391715</v>
      </c>
      <c r="G20" s="689">
        <f>transport!F14</f>
        <v>0</v>
      </c>
      <c r="H20" s="689">
        <f>transport!G14</f>
        <v>372110.284082358</v>
      </c>
      <c r="I20" s="689">
        <f>transport!H14</f>
        <v>71071.829067142447</v>
      </c>
      <c r="J20" s="689">
        <f>transport!I14</f>
        <v>0</v>
      </c>
      <c r="K20" s="689">
        <f>transport!J14</f>
        <v>0</v>
      </c>
      <c r="L20" s="689">
        <f>transport!K14</f>
        <v>0</v>
      </c>
      <c r="M20" s="689">
        <f>transport!L14</f>
        <v>0</v>
      </c>
      <c r="N20" s="689">
        <f>transport!M14</f>
        <v>25890.941853121647</v>
      </c>
      <c r="O20" s="689">
        <f>transport!N14</f>
        <v>0</v>
      </c>
      <c r="P20" s="689">
        <f>transport!O14</f>
        <v>0</v>
      </c>
      <c r="Q20" s="690">
        <f>transport!P14</f>
        <v>0</v>
      </c>
      <c r="R20" s="692">
        <f>SUM(C20:Q20)</f>
        <v>471093.74224908609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269.61202371230792</v>
      </c>
      <c r="D22" s="814">
        <f t="shared" ref="D22:R22" si="1">SUM(D18:D21)</f>
        <v>0</v>
      </c>
      <c r="E22" s="814">
        <f t="shared" si="1"/>
        <v>1089.7881314077872</v>
      </c>
      <c r="F22" s="814">
        <f t="shared" si="1"/>
        <v>661.28709134391715</v>
      </c>
      <c r="G22" s="814">
        <f t="shared" si="1"/>
        <v>0</v>
      </c>
      <c r="H22" s="814">
        <f t="shared" si="1"/>
        <v>373979.10841189139</v>
      </c>
      <c r="I22" s="814">
        <f t="shared" si="1"/>
        <v>71071.829067142447</v>
      </c>
      <c r="J22" s="814">
        <f t="shared" si="1"/>
        <v>0</v>
      </c>
      <c r="K22" s="814">
        <f t="shared" si="1"/>
        <v>0</v>
      </c>
      <c r="L22" s="814">
        <f t="shared" si="1"/>
        <v>0</v>
      </c>
      <c r="M22" s="814">
        <f t="shared" si="1"/>
        <v>0</v>
      </c>
      <c r="N22" s="814">
        <f t="shared" si="1"/>
        <v>25992.354905296208</v>
      </c>
      <c r="O22" s="814">
        <f t="shared" si="1"/>
        <v>0</v>
      </c>
      <c r="P22" s="814">
        <f t="shared" si="1"/>
        <v>0</v>
      </c>
      <c r="Q22" s="814">
        <f t="shared" si="1"/>
        <v>0</v>
      </c>
      <c r="R22" s="814">
        <f t="shared" si="1"/>
        <v>473063.97963079403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3583.0049755015498</v>
      </c>
      <c r="D24" s="689">
        <f>+landbouw!C8</f>
        <v>62.357142857142847</v>
      </c>
      <c r="E24" s="689">
        <f>+landbouw!D8</f>
        <v>6045.1000356803161</v>
      </c>
      <c r="F24" s="689">
        <f>+landbouw!E8</f>
        <v>133.62121516685906</v>
      </c>
      <c r="G24" s="689">
        <f>+landbouw!F8</f>
        <v>11624.652668148809</v>
      </c>
      <c r="H24" s="689">
        <f>+landbouw!G8</f>
        <v>0</v>
      </c>
      <c r="I24" s="689">
        <f>+landbouw!H8</f>
        <v>0</v>
      </c>
      <c r="J24" s="689">
        <f>+landbouw!I8</f>
        <v>0</v>
      </c>
      <c r="K24" s="689">
        <f>+landbouw!J8</f>
        <v>940.55649503197992</v>
      </c>
      <c r="L24" s="689">
        <f>+landbouw!K8</f>
        <v>0</v>
      </c>
      <c r="M24" s="689">
        <f>+landbouw!L8</f>
        <v>0</v>
      </c>
      <c r="N24" s="689">
        <f>+landbouw!M8</f>
        <v>0</v>
      </c>
      <c r="O24" s="689">
        <f>+landbouw!N8</f>
        <v>0</v>
      </c>
      <c r="P24" s="689">
        <f>+landbouw!O8</f>
        <v>0</v>
      </c>
      <c r="Q24" s="690">
        <f>+landbouw!P8</f>
        <v>0</v>
      </c>
      <c r="R24" s="692">
        <f>SUM(C24:Q24)</f>
        <v>22389.292532386655</v>
      </c>
      <c r="S24" s="67"/>
    </row>
    <row r="25" spans="1:19" s="451" customFormat="1" ht="15" thickBot="1">
      <c r="A25" s="833" t="s">
        <v>714</v>
      </c>
      <c r="B25" s="947"/>
      <c r="C25" s="948">
        <f>IF(Onbekend_ele_kWh="---",0,Onbekend_ele_kWh)/1000+IF(REST_rest_ele_kWh="---",0,REST_rest_ele_kWh)/1000</f>
        <v>1894.9858426018102</v>
      </c>
      <c r="D25" s="948"/>
      <c r="E25" s="948">
        <f>IF(onbekend_gas_kWh="---",0,onbekend_gas_kWh)/1000+IF(REST_rest_gas_kWh="---",0,REST_rest_gas_kWh)/1000</f>
        <v>4154.7201173130507</v>
      </c>
      <c r="F25" s="948"/>
      <c r="G25" s="948"/>
      <c r="H25" s="948"/>
      <c r="I25" s="948"/>
      <c r="J25" s="948"/>
      <c r="K25" s="948"/>
      <c r="L25" s="948"/>
      <c r="M25" s="948"/>
      <c r="N25" s="948"/>
      <c r="O25" s="948"/>
      <c r="P25" s="948"/>
      <c r="Q25" s="949"/>
      <c r="R25" s="692">
        <f>SUM(C25:Q25)</f>
        <v>6049.7059599148606</v>
      </c>
      <c r="S25" s="67"/>
    </row>
    <row r="26" spans="1:19" s="451" customFormat="1" ht="15.75" thickBot="1">
      <c r="A26" s="697" t="s">
        <v>715</v>
      </c>
      <c r="B26" s="819"/>
      <c r="C26" s="814">
        <f>SUM(C24:C25)</f>
        <v>5477.9908181033597</v>
      </c>
      <c r="D26" s="814">
        <f t="shared" ref="D26:R26" si="2">SUM(D24:D25)</f>
        <v>62.357142857142847</v>
      </c>
      <c r="E26" s="814">
        <f t="shared" si="2"/>
        <v>10199.820152993367</v>
      </c>
      <c r="F26" s="814">
        <f t="shared" si="2"/>
        <v>133.62121516685906</v>
      </c>
      <c r="G26" s="814">
        <f t="shared" si="2"/>
        <v>11624.652668148809</v>
      </c>
      <c r="H26" s="814">
        <f t="shared" si="2"/>
        <v>0</v>
      </c>
      <c r="I26" s="814">
        <f t="shared" si="2"/>
        <v>0</v>
      </c>
      <c r="J26" s="814">
        <f t="shared" si="2"/>
        <v>0</v>
      </c>
      <c r="K26" s="814">
        <f t="shared" si="2"/>
        <v>940.55649503197992</v>
      </c>
      <c r="L26" s="814">
        <f t="shared" si="2"/>
        <v>0</v>
      </c>
      <c r="M26" s="814">
        <f t="shared" si="2"/>
        <v>0</v>
      </c>
      <c r="N26" s="814">
        <f t="shared" si="2"/>
        <v>0</v>
      </c>
      <c r="O26" s="814">
        <f t="shared" si="2"/>
        <v>0</v>
      </c>
      <c r="P26" s="814">
        <f t="shared" si="2"/>
        <v>0</v>
      </c>
      <c r="Q26" s="814">
        <f t="shared" si="2"/>
        <v>0</v>
      </c>
      <c r="R26" s="814">
        <f t="shared" si="2"/>
        <v>28438.998492301514</v>
      </c>
      <c r="S26" s="67"/>
    </row>
    <row r="27" spans="1:19" s="451" customFormat="1" ht="17.25" thickTop="1" thickBot="1">
      <c r="A27" s="698" t="s">
        <v>115</v>
      </c>
      <c r="B27" s="806"/>
      <c r="C27" s="699">
        <f ca="1">C22+C16+C26</f>
        <v>220936.22203872632</v>
      </c>
      <c r="D27" s="699">
        <f t="shared" ref="D27:R27" ca="1" si="3">D22+D16+D26</f>
        <v>62.357142857142847</v>
      </c>
      <c r="E27" s="699">
        <f t="shared" ca="1" si="3"/>
        <v>306996.28195367678</v>
      </c>
      <c r="F27" s="699">
        <f t="shared" si="3"/>
        <v>16126.698973664787</v>
      </c>
      <c r="G27" s="699">
        <f t="shared" ca="1" si="3"/>
        <v>36654.965725624272</v>
      </c>
      <c r="H27" s="699">
        <f t="shared" si="3"/>
        <v>373979.10841189139</v>
      </c>
      <c r="I27" s="699">
        <f t="shared" si="3"/>
        <v>71071.829067142447</v>
      </c>
      <c r="J27" s="699">
        <f t="shared" si="3"/>
        <v>0</v>
      </c>
      <c r="K27" s="699">
        <f t="shared" si="3"/>
        <v>2362.0131775956115</v>
      </c>
      <c r="L27" s="699">
        <f t="shared" si="3"/>
        <v>0</v>
      </c>
      <c r="M27" s="699">
        <f t="shared" ca="1" si="3"/>
        <v>0</v>
      </c>
      <c r="N27" s="699">
        <f t="shared" si="3"/>
        <v>25992.354905296208</v>
      </c>
      <c r="O27" s="699">
        <f t="shared" ca="1" si="3"/>
        <v>43852.013556321283</v>
      </c>
      <c r="P27" s="699">
        <f t="shared" si="3"/>
        <v>936.85654561673471</v>
      </c>
      <c r="Q27" s="699">
        <f t="shared" si="3"/>
        <v>1958.1405071420436</v>
      </c>
      <c r="R27" s="699">
        <f t="shared" ca="1" si="3"/>
        <v>1100928.8420055551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14954.043523034585</v>
      </c>
      <c r="D40" s="689">
        <f ca="1">tertiair!C20</f>
        <v>0</v>
      </c>
      <c r="E40" s="689">
        <f ca="1">tertiair!D20</f>
        <v>19958.401671582167</v>
      </c>
      <c r="F40" s="689">
        <f>tertiair!E20</f>
        <v>66.168626554667824</v>
      </c>
      <c r="G40" s="689">
        <f ca="1">tertiair!F20</f>
        <v>3526.3297946570647</v>
      </c>
      <c r="H40" s="689">
        <f>tertiair!G20</f>
        <v>0</v>
      </c>
      <c r="I40" s="689">
        <f>tertiair!H20</f>
        <v>0</v>
      </c>
      <c r="J40" s="689">
        <f>tertiair!I20</f>
        <v>0</v>
      </c>
      <c r="K40" s="689">
        <f>tertiair!J20</f>
        <v>3.9409947364837071E-2</v>
      </c>
      <c r="L40" s="689">
        <f>tertiair!K20</f>
        <v>0</v>
      </c>
      <c r="M40" s="689">
        <f ca="1">tertiair!L20</f>
        <v>0</v>
      </c>
      <c r="N40" s="689">
        <f>tertiair!M20</f>
        <v>0</v>
      </c>
      <c r="O40" s="689">
        <f ca="1">tertiair!N20</f>
        <v>0</v>
      </c>
      <c r="P40" s="689">
        <f>tertiair!O20</f>
        <v>0</v>
      </c>
      <c r="Q40" s="772">
        <f>tertiair!P20</f>
        <v>0</v>
      </c>
      <c r="R40" s="852">
        <f t="shared" ca="1" si="4"/>
        <v>38504.983025775851</v>
      </c>
    </row>
    <row r="41" spans="1:18">
      <c r="A41" s="824" t="s">
        <v>224</v>
      </c>
      <c r="B41" s="831"/>
      <c r="C41" s="689">
        <f ca="1">huishoudens!B12</f>
        <v>12772.66732078779</v>
      </c>
      <c r="D41" s="689">
        <f ca="1">huishoudens!C12</f>
        <v>0</v>
      </c>
      <c r="E41" s="689">
        <f>huishoudens!D12</f>
        <v>30322.377985349554</v>
      </c>
      <c r="F41" s="689">
        <f>huishoudens!E12</f>
        <v>3363.3723669245182</v>
      </c>
      <c r="G41" s="689">
        <f>huishoudens!F12</f>
        <v>0</v>
      </c>
      <c r="H41" s="689">
        <f>huishoudens!G12</f>
        <v>0</v>
      </c>
      <c r="I41" s="689">
        <f>huishoudens!H12</f>
        <v>0</v>
      </c>
      <c r="J41" s="689">
        <f>huishoudens!I12</f>
        <v>0</v>
      </c>
      <c r="K41" s="689">
        <f>huishoudens!J12</f>
        <v>496.64569695175686</v>
      </c>
      <c r="L41" s="689">
        <f>huishoudens!K12</f>
        <v>0</v>
      </c>
      <c r="M41" s="689">
        <f>huishoudens!L12</f>
        <v>0</v>
      </c>
      <c r="N41" s="689">
        <f>huishoudens!M12</f>
        <v>0</v>
      </c>
      <c r="O41" s="689">
        <f>huishoudens!N12</f>
        <v>0</v>
      </c>
      <c r="P41" s="689">
        <f>huishoudens!O12</f>
        <v>0</v>
      </c>
      <c r="Q41" s="772">
        <f>huishoudens!P12</f>
        <v>0</v>
      </c>
      <c r="R41" s="852">
        <f t="shared" ca="1" si="4"/>
        <v>46955.063370013617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11664.566409503488</v>
      </c>
      <c r="D43" s="689">
        <f ca="1">industrie!C22</f>
        <v>0</v>
      </c>
      <c r="E43" s="689">
        <f>industrie!D22</f>
        <v>9451.9684242619514</v>
      </c>
      <c r="F43" s="689">
        <f>industrie!E22</f>
        <v>50.775487964774399</v>
      </c>
      <c r="G43" s="689">
        <f>industrie!F22</f>
        <v>3156.7637916888843</v>
      </c>
      <c r="H43" s="689">
        <f>industrie!G22</f>
        <v>0</v>
      </c>
      <c r="I43" s="689">
        <f>industrie!H22</f>
        <v>0</v>
      </c>
      <c r="J43" s="689">
        <f>industrie!I22</f>
        <v>0</v>
      </c>
      <c r="K43" s="689">
        <f>industrie!J22</f>
        <v>6.5105587284039501</v>
      </c>
      <c r="L43" s="689">
        <f>industrie!K22</f>
        <v>0</v>
      </c>
      <c r="M43" s="689">
        <f>industrie!L22</f>
        <v>0</v>
      </c>
      <c r="N43" s="689">
        <f>industrie!M22</f>
        <v>0</v>
      </c>
      <c r="O43" s="689">
        <f>industrie!N22</f>
        <v>0</v>
      </c>
      <c r="P43" s="689">
        <f>industrie!O22</f>
        <v>0</v>
      </c>
      <c r="Q43" s="772">
        <f>industrie!P22</f>
        <v>0</v>
      </c>
      <c r="R43" s="851">
        <f t="shared" ca="1" si="4"/>
        <v>24330.584672147503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39391.277253325861</v>
      </c>
      <c r="D46" s="725">
        <f t="shared" ref="D46:Q46" ca="1" si="5">SUM(D39:D45)</f>
        <v>0</v>
      </c>
      <c r="E46" s="725">
        <f t="shared" ca="1" si="5"/>
        <v>59732.748081193669</v>
      </c>
      <c r="F46" s="725">
        <f t="shared" si="5"/>
        <v>3480.3164814439606</v>
      </c>
      <c r="G46" s="725">
        <f t="shared" ca="1" si="5"/>
        <v>6683.093586345949</v>
      </c>
      <c r="H46" s="725">
        <f t="shared" si="5"/>
        <v>0</v>
      </c>
      <c r="I46" s="725">
        <f t="shared" si="5"/>
        <v>0</v>
      </c>
      <c r="J46" s="725">
        <f t="shared" si="5"/>
        <v>0</v>
      </c>
      <c r="K46" s="725">
        <f t="shared" si="5"/>
        <v>503.19566562752567</v>
      </c>
      <c r="L46" s="725">
        <f t="shared" si="5"/>
        <v>0</v>
      </c>
      <c r="M46" s="725">
        <f t="shared" ca="1" si="5"/>
        <v>0</v>
      </c>
      <c r="N46" s="725">
        <f t="shared" si="5"/>
        <v>0</v>
      </c>
      <c r="O46" s="725">
        <f t="shared" ca="1" si="5"/>
        <v>0</v>
      </c>
      <c r="P46" s="725">
        <f t="shared" si="5"/>
        <v>0</v>
      </c>
      <c r="Q46" s="725">
        <f t="shared" si="5"/>
        <v>0</v>
      </c>
      <c r="R46" s="725">
        <f ca="1">SUM(R39:R45)</f>
        <v>109790.63106793698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498.97609598540578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498.97609598540578</v>
      </c>
    </row>
    <row r="50" spans="1:18">
      <c r="A50" s="827" t="s">
        <v>306</v>
      </c>
      <c r="B50" s="837"/>
      <c r="C50" s="695">
        <f ca="1">transport!B18</f>
        <v>49.353734488920679</v>
      </c>
      <c r="D50" s="695">
        <f>transport!C18</f>
        <v>0</v>
      </c>
      <c r="E50" s="695">
        <f>transport!D18</f>
        <v>220.13720254437303</v>
      </c>
      <c r="F50" s="695">
        <f>transport!E18</f>
        <v>150.11216973506919</v>
      </c>
      <c r="G50" s="695">
        <f>transport!F18</f>
        <v>0</v>
      </c>
      <c r="H50" s="695">
        <f>transport!G18</f>
        <v>99353.445849989599</v>
      </c>
      <c r="I50" s="695">
        <f>transport!H18</f>
        <v>17696.885437718469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117469.93439447644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49.353734488920679</v>
      </c>
      <c r="D52" s="725">
        <f t="shared" ref="D52:Q52" ca="1" si="6">SUM(D48:D51)</f>
        <v>0</v>
      </c>
      <c r="E52" s="725">
        <f t="shared" si="6"/>
        <v>220.13720254437303</v>
      </c>
      <c r="F52" s="725">
        <f t="shared" si="6"/>
        <v>150.11216973506919</v>
      </c>
      <c r="G52" s="725">
        <f t="shared" si="6"/>
        <v>0</v>
      </c>
      <c r="H52" s="725">
        <f t="shared" si="6"/>
        <v>99852.421945975002</v>
      </c>
      <c r="I52" s="725">
        <f t="shared" si="6"/>
        <v>17696.885437718469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117968.91049046184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655.88571977812967</v>
      </c>
      <c r="D54" s="695">
        <f ca="1">+landbouw!C12</f>
        <v>0</v>
      </c>
      <c r="E54" s="695">
        <f>+landbouw!D12</f>
        <v>1221.1102072074239</v>
      </c>
      <c r="F54" s="695">
        <f>+landbouw!E12</f>
        <v>30.332015842877006</v>
      </c>
      <c r="G54" s="695">
        <f>+landbouw!F12</f>
        <v>3103.7822623957322</v>
      </c>
      <c r="H54" s="695">
        <f>+landbouw!G12</f>
        <v>0</v>
      </c>
      <c r="I54" s="695">
        <f>+landbouw!H12</f>
        <v>0</v>
      </c>
      <c r="J54" s="695">
        <f>+landbouw!I12</f>
        <v>0</v>
      </c>
      <c r="K54" s="695">
        <f>+landbouw!J12</f>
        <v>332.95699924132089</v>
      </c>
      <c r="L54" s="695">
        <f>+landbouw!K12</f>
        <v>0</v>
      </c>
      <c r="M54" s="695">
        <f>+landbouw!L12</f>
        <v>0</v>
      </c>
      <c r="N54" s="695">
        <f>+landbouw!M12</f>
        <v>0</v>
      </c>
      <c r="O54" s="695">
        <f>+landbouw!N12</f>
        <v>0</v>
      </c>
      <c r="P54" s="695">
        <f>+landbouw!O12</f>
        <v>0</v>
      </c>
      <c r="Q54" s="696">
        <f>+landbouw!P12</f>
        <v>0</v>
      </c>
      <c r="R54" s="724">
        <f ca="1">SUM(C54:Q54)</f>
        <v>5344.067204465483</v>
      </c>
    </row>
    <row r="55" spans="1:18" ht="15" thickBot="1">
      <c r="A55" s="827" t="s">
        <v>714</v>
      </c>
      <c r="B55" s="837"/>
      <c r="C55" s="695">
        <f ca="1">C25*'EF ele_warmte'!B12</f>
        <v>346.88596913552243</v>
      </c>
      <c r="D55" s="695"/>
      <c r="E55" s="695">
        <f>E25*EF_CO2_aardgas</f>
        <v>839.25346369723627</v>
      </c>
      <c r="F55" s="695"/>
      <c r="G55" s="695"/>
      <c r="H55" s="695"/>
      <c r="I55" s="695"/>
      <c r="J55" s="695"/>
      <c r="K55" s="695"/>
      <c r="L55" s="695"/>
      <c r="M55" s="695"/>
      <c r="N55" s="695"/>
      <c r="O55" s="695"/>
      <c r="P55" s="695"/>
      <c r="Q55" s="696"/>
      <c r="R55" s="724">
        <f ca="1">SUM(C55:Q55)</f>
        <v>1186.1394328327588</v>
      </c>
    </row>
    <row r="56" spans="1:18" ht="15.75" thickBot="1">
      <c r="A56" s="825" t="s">
        <v>715</v>
      </c>
      <c r="B56" s="838"/>
      <c r="C56" s="725">
        <f ca="1">SUM(C54:C55)</f>
        <v>1002.771688913652</v>
      </c>
      <c r="D56" s="725">
        <f t="shared" ref="D56:Q56" ca="1" si="7">SUM(D54:D55)</f>
        <v>0</v>
      </c>
      <c r="E56" s="725">
        <f t="shared" si="7"/>
        <v>2060.36367090466</v>
      </c>
      <c r="F56" s="725">
        <f t="shared" si="7"/>
        <v>30.332015842877006</v>
      </c>
      <c r="G56" s="725">
        <f t="shared" si="7"/>
        <v>3103.7822623957322</v>
      </c>
      <c r="H56" s="725">
        <f t="shared" si="7"/>
        <v>0</v>
      </c>
      <c r="I56" s="725">
        <f t="shared" si="7"/>
        <v>0</v>
      </c>
      <c r="J56" s="725">
        <f t="shared" si="7"/>
        <v>0</v>
      </c>
      <c r="K56" s="725">
        <f t="shared" si="7"/>
        <v>332.95699924132089</v>
      </c>
      <c r="L56" s="725">
        <f t="shared" si="7"/>
        <v>0</v>
      </c>
      <c r="M56" s="725">
        <f t="shared" si="7"/>
        <v>0</v>
      </c>
      <c r="N56" s="725">
        <f t="shared" si="7"/>
        <v>0</v>
      </c>
      <c r="O56" s="725">
        <f t="shared" si="7"/>
        <v>0</v>
      </c>
      <c r="P56" s="725">
        <f t="shared" si="7"/>
        <v>0</v>
      </c>
      <c r="Q56" s="726">
        <f t="shared" si="7"/>
        <v>0</v>
      </c>
      <c r="R56" s="727">
        <f ca="1">SUM(R54:R55)</f>
        <v>6530.2066372982417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40443.40267672843</v>
      </c>
      <c r="D61" s="733">
        <f t="shared" ref="D61:Q61" ca="1" si="8">D46+D52+D56</f>
        <v>0</v>
      </c>
      <c r="E61" s="733">
        <f t="shared" ca="1" si="8"/>
        <v>62013.248954642702</v>
      </c>
      <c r="F61" s="733">
        <f t="shared" si="8"/>
        <v>3660.7606670219066</v>
      </c>
      <c r="G61" s="733">
        <f t="shared" ca="1" si="8"/>
        <v>9786.8758487416817</v>
      </c>
      <c r="H61" s="733">
        <f t="shared" si="8"/>
        <v>99852.421945975002</v>
      </c>
      <c r="I61" s="733">
        <f t="shared" si="8"/>
        <v>17696.885437718469</v>
      </c>
      <c r="J61" s="733">
        <f t="shared" si="8"/>
        <v>0</v>
      </c>
      <c r="K61" s="733">
        <f t="shared" si="8"/>
        <v>836.15266486884661</v>
      </c>
      <c r="L61" s="733">
        <f t="shared" si="8"/>
        <v>0</v>
      </c>
      <c r="M61" s="733">
        <f t="shared" ca="1" si="8"/>
        <v>0</v>
      </c>
      <c r="N61" s="733">
        <f t="shared" si="8"/>
        <v>0</v>
      </c>
      <c r="O61" s="733">
        <f t="shared" ca="1" si="8"/>
        <v>0</v>
      </c>
      <c r="P61" s="733">
        <f t="shared" si="8"/>
        <v>0</v>
      </c>
      <c r="Q61" s="733">
        <f t="shared" si="8"/>
        <v>0</v>
      </c>
      <c r="R61" s="733">
        <f ca="1">R46+R52+R56</f>
        <v>234289.74819569706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0.18305464945281538</v>
      </c>
      <c r="D63" s="779">
        <f t="shared" ca="1" si="9"/>
        <v>0</v>
      </c>
      <c r="E63" s="973">
        <f t="shared" ca="1" si="9"/>
        <v>0.20199999999999999</v>
      </c>
      <c r="F63" s="779">
        <f t="shared" si="9"/>
        <v>0.22700000000000001</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17158.66804079678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20732.081931285029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37934.39997208181</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69775.159270565826</v>
      </c>
      <c r="C4" s="455">
        <f>huishoudens!C8</f>
        <v>0</v>
      </c>
      <c r="D4" s="455">
        <f>huishoudens!D8</f>
        <v>150110.78210569086</v>
      </c>
      <c r="E4" s="455">
        <f>huishoudens!E8</f>
        <v>14816.618356495675</v>
      </c>
      <c r="F4" s="455">
        <f>huishoudens!F8</f>
        <v>0</v>
      </c>
      <c r="G4" s="455">
        <f>huishoudens!G8</f>
        <v>0</v>
      </c>
      <c r="H4" s="455">
        <f>huishoudens!H8</f>
        <v>0</v>
      </c>
      <c r="I4" s="455">
        <f>huishoudens!I8</f>
        <v>0</v>
      </c>
      <c r="J4" s="455">
        <f>huishoudens!J8</f>
        <v>1402.9539461914037</v>
      </c>
      <c r="K4" s="455">
        <f>huishoudens!K8</f>
        <v>0</v>
      </c>
      <c r="L4" s="455">
        <f>huishoudens!L8</f>
        <v>0</v>
      </c>
      <c r="M4" s="455">
        <f>huishoudens!M8</f>
        <v>0</v>
      </c>
      <c r="N4" s="455">
        <f>huishoudens!N8</f>
        <v>37787.502927982605</v>
      </c>
      <c r="O4" s="455">
        <f>huishoudens!O8</f>
        <v>892.78119872416437</v>
      </c>
      <c r="P4" s="456">
        <f>huishoudens!P8</f>
        <v>1485.2882623835883</v>
      </c>
      <c r="Q4" s="457">
        <f>SUM(B4:P4)</f>
        <v>276271.08606803417</v>
      </c>
    </row>
    <row r="5" spans="1:17">
      <c r="A5" s="454" t="s">
        <v>155</v>
      </c>
      <c r="B5" s="455">
        <f ca="1">tertiair!B16</f>
        <v>79465.193699678755</v>
      </c>
      <c r="C5" s="455">
        <f ca="1">tertiair!C16</f>
        <v>0</v>
      </c>
      <c r="D5" s="455">
        <f ca="1">tertiair!D16</f>
        <v>98803.968671198832</v>
      </c>
      <c r="E5" s="455">
        <f>tertiair!E16</f>
        <v>291.49174693686268</v>
      </c>
      <c r="F5" s="455">
        <f ca="1">tertiair!F16</f>
        <v>13207.227695344811</v>
      </c>
      <c r="G5" s="455">
        <f>tertiair!G16</f>
        <v>0</v>
      </c>
      <c r="H5" s="455">
        <f>tertiair!H16</f>
        <v>0</v>
      </c>
      <c r="I5" s="455">
        <f>tertiair!I16</f>
        <v>0</v>
      </c>
      <c r="J5" s="455">
        <f>tertiair!J16</f>
        <v>0.1113275349289183</v>
      </c>
      <c r="K5" s="455">
        <f>tertiair!K16</f>
        <v>0</v>
      </c>
      <c r="L5" s="455">
        <f ca="1">tertiair!L16</f>
        <v>0</v>
      </c>
      <c r="M5" s="455">
        <f>tertiair!M16</f>
        <v>0</v>
      </c>
      <c r="N5" s="455">
        <f ca="1">tertiair!N16</f>
        <v>4093.1455752738634</v>
      </c>
      <c r="O5" s="455">
        <f>tertiair!O16</f>
        <v>44.075346892570387</v>
      </c>
      <c r="P5" s="456">
        <f>tertiair!P16</f>
        <v>472.85224475845519</v>
      </c>
      <c r="Q5" s="454">
        <f t="shared" ref="Q5:Q14" ca="1" si="0">SUM(B5:P5)</f>
        <v>196378.06630761907</v>
      </c>
    </row>
    <row r="6" spans="1:17">
      <c r="A6" s="454" t="s">
        <v>193</v>
      </c>
      <c r="B6" s="455">
        <f>'openbare verlichting'!B8</f>
        <v>2226.4954638307099</v>
      </c>
      <c r="C6" s="455"/>
      <c r="D6" s="455"/>
      <c r="E6" s="455"/>
      <c r="F6" s="455"/>
      <c r="G6" s="455"/>
      <c r="H6" s="455"/>
      <c r="I6" s="455"/>
      <c r="J6" s="455"/>
      <c r="K6" s="455"/>
      <c r="L6" s="455"/>
      <c r="M6" s="455"/>
      <c r="N6" s="455"/>
      <c r="O6" s="455"/>
      <c r="P6" s="456"/>
      <c r="Q6" s="454">
        <f t="shared" si="0"/>
        <v>2226.4954638307099</v>
      </c>
    </row>
    <row r="7" spans="1:17">
      <c r="A7" s="454" t="s">
        <v>111</v>
      </c>
      <c r="B7" s="455">
        <f>landbouw!B8</f>
        <v>3583.0049755015498</v>
      </c>
      <c r="C7" s="455">
        <f>landbouw!C8</f>
        <v>62.357142857142847</v>
      </c>
      <c r="D7" s="455">
        <f>landbouw!D8</f>
        <v>6045.1000356803161</v>
      </c>
      <c r="E7" s="455">
        <f>landbouw!E8</f>
        <v>133.62121516685906</v>
      </c>
      <c r="F7" s="455">
        <f>landbouw!F8</f>
        <v>11624.652668148809</v>
      </c>
      <c r="G7" s="455">
        <f>landbouw!G8</f>
        <v>0</v>
      </c>
      <c r="H7" s="455">
        <f>landbouw!H8</f>
        <v>0</v>
      </c>
      <c r="I7" s="455">
        <f>landbouw!I8</f>
        <v>0</v>
      </c>
      <c r="J7" s="455">
        <f>landbouw!J8</f>
        <v>940.55649503197992</v>
      </c>
      <c r="K7" s="455">
        <f>landbouw!K8</f>
        <v>0</v>
      </c>
      <c r="L7" s="455">
        <f>landbouw!L8</f>
        <v>0</v>
      </c>
      <c r="M7" s="455">
        <f>landbouw!M8</f>
        <v>0</v>
      </c>
      <c r="N7" s="455">
        <f>landbouw!N8</f>
        <v>0</v>
      </c>
      <c r="O7" s="455">
        <f>landbouw!O8</f>
        <v>0</v>
      </c>
      <c r="P7" s="456">
        <f>landbouw!P8</f>
        <v>0</v>
      </c>
      <c r="Q7" s="454">
        <f t="shared" si="0"/>
        <v>22389.292532386655</v>
      </c>
    </row>
    <row r="8" spans="1:17">
      <c r="A8" s="454" t="s">
        <v>626</v>
      </c>
      <c r="B8" s="455">
        <f>industrie!B18</f>
        <v>63721.770762835353</v>
      </c>
      <c r="C8" s="455">
        <f>industrie!C18</f>
        <v>0</v>
      </c>
      <c r="D8" s="455">
        <f>industrie!D18</f>
        <v>46791.922892385897</v>
      </c>
      <c r="E8" s="455">
        <f>industrie!E18</f>
        <v>223.68056372147311</v>
      </c>
      <c r="F8" s="455">
        <f>industrie!F18</f>
        <v>11823.085362130652</v>
      </c>
      <c r="G8" s="455">
        <f>industrie!G18</f>
        <v>0</v>
      </c>
      <c r="H8" s="455">
        <f>industrie!H18</f>
        <v>0</v>
      </c>
      <c r="I8" s="455">
        <f>industrie!I18</f>
        <v>0</v>
      </c>
      <c r="J8" s="455">
        <f>industrie!J18</f>
        <v>18.391408837299295</v>
      </c>
      <c r="K8" s="455">
        <f>industrie!K18</f>
        <v>0</v>
      </c>
      <c r="L8" s="455">
        <f>industrie!L18</f>
        <v>0</v>
      </c>
      <c r="M8" s="455">
        <f>industrie!M18</f>
        <v>0</v>
      </c>
      <c r="N8" s="455">
        <f>industrie!N18</f>
        <v>1971.3650530648179</v>
      </c>
      <c r="O8" s="455">
        <f>industrie!O18</f>
        <v>0</v>
      </c>
      <c r="P8" s="456">
        <f>industrie!P18</f>
        <v>0</v>
      </c>
      <c r="Q8" s="454">
        <f t="shared" si="0"/>
        <v>124550.21604297549</v>
      </c>
    </row>
    <row r="9" spans="1:17" s="460" customFormat="1">
      <c r="A9" s="458" t="s">
        <v>552</v>
      </c>
      <c r="B9" s="459">
        <f>transport!B14</f>
        <v>269.61202371230792</v>
      </c>
      <c r="C9" s="459">
        <f>transport!C14</f>
        <v>0</v>
      </c>
      <c r="D9" s="459">
        <f>transport!D14</f>
        <v>1089.7881314077872</v>
      </c>
      <c r="E9" s="459">
        <f>transport!E14</f>
        <v>661.28709134391715</v>
      </c>
      <c r="F9" s="459">
        <f>transport!F14</f>
        <v>0</v>
      </c>
      <c r="G9" s="459">
        <f>transport!G14</f>
        <v>372110.284082358</v>
      </c>
      <c r="H9" s="459">
        <f>transport!H14</f>
        <v>71071.829067142447</v>
      </c>
      <c r="I9" s="459">
        <f>transport!I14</f>
        <v>0</v>
      </c>
      <c r="J9" s="459">
        <f>transport!J14</f>
        <v>0</v>
      </c>
      <c r="K9" s="459">
        <f>transport!K14</f>
        <v>0</v>
      </c>
      <c r="L9" s="459">
        <f>transport!L14</f>
        <v>0</v>
      </c>
      <c r="M9" s="459">
        <f>transport!M14</f>
        <v>25890.941853121647</v>
      </c>
      <c r="N9" s="459">
        <f>transport!N14</f>
        <v>0</v>
      </c>
      <c r="O9" s="459">
        <f>transport!O14</f>
        <v>0</v>
      </c>
      <c r="P9" s="459">
        <f>transport!P14</f>
        <v>0</v>
      </c>
      <c r="Q9" s="458">
        <f>SUM(B9:P9)</f>
        <v>471093.74224908609</v>
      </c>
    </row>
    <row r="10" spans="1:17">
      <c r="A10" s="454" t="s">
        <v>542</v>
      </c>
      <c r="B10" s="455">
        <f>transport!B54</f>
        <v>0</v>
      </c>
      <c r="C10" s="455">
        <f>transport!C54</f>
        <v>0</v>
      </c>
      <c r="D10" s="455">
        <f>transport!D54</f>
        <v>0</v>
      </c>
      <c r="E10" s="455">
        <f>transport!E54</f>
        <v>0</v>
      </c>
      <c r="F10" s="455">
        <f>transport!F54</f>
        <v>0</v>
      </c>
      <c r="G10" s="455">
        <f>transport!G54</f>
        <v>1868.8243295333548</v>
      </c>
      <c r="H10" s="455">
        <f>transport!H54</f>
        <v>0</v>
      </c>
      <c r="I10" s="455">
        <f>transport!I54</f>
        <v>0</v>
      </c>
      <c r="J10" s="455">
        <f>transport!J54</f>
        <v>0</v>
      </c>
      <c r="K10" s="455">
        <f>transport!K54</f>
        <v>0</v>
      </c>
      <c r="L10" s="455">
        <f>transport!L54</f>
        <v>0</v>
      </c>
      <c r="M10" s="455">
        <f>transport!M54</f>
        <v>101.41305217456021</v>
      </c>
      <c r="N10" s="455">
        <f>transport!N54</f>
        <v>0</v>
      </c>
      <c r="O10" s="455">
        <f>transport!O54</f>
        <v>0</v>
      </c>
      <c r="P10" s="456">
        <f>transport!P54</f>
        <v>0</v>
      </c>
      <c r="Q10" s="454">
        <f t="shared" si="0"/>
        <v>1970.2373817079149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1894.9858426018102</v>
      </c>
      <c r="C14" s="462"/>
      <c r="D14" s="462">
        <f>'SEAP template'!E25</f>
        <v>4154.7201173130507</v>
      </c>
      <c r="E14" s="462"/>
      <c r="F14" s="462"/>
      <c r="G14" s="462"/>
      <c r="H14" s="462"/>
      <c r="I14" s="462"/>
      <c r="J14" s="462"/>
      <c r="K14" s="462"/>
      <c r="L14" s="462"/>
      <c r="M14" s="462"/>
      <c r="N14" s="462"/>
      <c r="O14" s="462"/>
      <c r="P14" s="463"/>
      <c r="Q14" s="454">
        <f t="shared" si="0"/>
        <v>6049.7059599148606</v>
      </c>
    </row>
    <row r="15" spans="1:17" s="466" customFormat="1">
      <c r="A15" s="464" t="s">
        <v>546</v>
      </c>
      <c r="B15" s="465">
        <f ca="1">SUM(B4:B14)</f>
        <v>220936.22203872632</v>
      </c>
      <c r="C15" s="465">
        <f t="shared" ref="C15:Q15" ca="1" si="1">SUM(C4:C14)</f>
        <v>62.357142857142847</v>
      </c>
      <c r="D15" s="465">
        <f t="shared" ca="1" si="1"/>
        <v>306996.28195367672</v>
      </c>
      <c r="E15" s="465">
        <f t="shared" si="1"/>
        <v>16126.698973664787</v>
      </c>
      <c r="F15" s="465">
        <f t="shared" ca="1" si="1"/>
        <v>36654.965725624272</v>
      </c>
      <c r="G15" s="465">
        <f t="shared" si="1"/>
        <v>373979.10841189139</v>
      </c>
      <c r="H15" s="465">
        <f t="shared" si="1"/>
        <v>71071.829067142447</v>
      </c>
      <c r="I15" s="465">
        <f t="shared" si="1"/>
        <v>0</v>
      </c>
      <c r="J15" s="465">
        <f t="shared" si="1"/>
        <v>2362.013177595612</v>
      </c>
      <c r="K15" s="465">
        <f t="shared" si="1"/>
        <v>0</v>
      </c>
      <c r="L15" s="465">
        <f t="shared" ca="1" si="1"/>
        <v>0</v>
      </c>
      <c r="M15" s="465">
        <f t="shared" si="1"/>
        <v>25992.354905296208</v>
      </c>
      <c r="N15" s="465">
        <f t="shared" ca="1" si="1"/>
        <v>43852.013556321283</v>
      </c>
      <c r="O15" s="465">
        <f t="shared" si="1"/>
        <v>936.85654561673471</v>
      </c>
      <c r="P15" s="465">
        <f t="shared" si="1"/>
        <v>1958.1405071420436</v>
      </c>
      <c r="Q15" s="465">
        <f t="shared" ca="1" si="1"/>
        <v>1100928.8420055551</v>
      </c>
    </row>
    <row r="17" spans="1:17">
      <c r="A17" s="467" t="s">
        <v>547</v>
      </c>
      <c r="B17" s="784">
        <f ca="1">huishoudens!B10</f>
        <v>0.18305464945281541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12772.66732078779</v>
      </c>
      <c r="C22" s="455">
        <f t="shared" ref="C22:C32" ca="1" si="3">C4*$C$17</f>
        <v>0</v>
      </c>
      <c r="D22" s="455">
        <f t="shared" ref="D22:D32" si="4">D4*$D$17</f>
        <v>30322.377985349554</v>
      </c>
      <c r="E22" s="455">
        <f t="shared" ref="E22:E32" si="5">E4*$E$17</f>
        <v>3363.3723669245182</v>
      </c>
      <c r="F22" s="455">
        <f t="shared" ref="F22:F32" si="6">F4*$F$17</f>
        <v>0</v>
      </c>
      <c r="G22" s="455">
        <f t="shared" ref="G22:G32" si="7">G4*$G$17</f>
        <v>0</v>
      </c>
      <c r="H22" s="455">
        <f t="shared" ref="H22:H32" si="8">H4*$H$17</f>
        <v>0</v>
      </c>
      <c r="I22" s="455">
        <f t="shared" ref="I22:I32" si="9">I4*$I$17</f>
        <v>0</v>
      </c>
      <c r="J22" s="455">
        <f t="shared" ref="J22:J32" si="10">J4*$J$17</f>
        <v>496.64569695175686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46955.063370013617</v>
      </c>
    </row>
    <row r="23" spans="1:17">
      <c r="A23" s="454" t="s">
        <v>155</v>
      </c>
      <c r="B23" s="455">
        <f t="shared" ca="1" si="2"/>
        <v>14546.473176394771</v>
      </c>
      <c r="C23" s="455">
        <f t="shared" ca="1" si="3"/>
        <v>0</v>
      </c>
      <c r="D23" s="455">
        <f t="shared" ca="1" si="4"/>
        <v>19958.401671582167</v>
      </c>
      <c r="E23" s="455">
        <f t="shared" si="5"/>
        <v>66.168626554667824</v>
      </c>
      <c r="F23" s="455">
        <f t="shared" ca="1" si="6"/>
        <v>3526.3297946570647</v>
      </c>
      <c r="G23" s="455">
        <f t="shared" si="7"/>
        <v>0</v>
      </c>
      <c r="H23" s="455">
        <f t="shared" si="8"/>
        <v>0</v>
      </c>
      <c r="I23" s="455">
        <f t="shared" si="9"/>
        <v>0</v>
      </c>
      <c r="J23" s="455">
        <f t="shared" si="10"/>
        <v>3.9409947364837071E-2</v>
      </c>
      <c r="K23" s="455">
        <f t="shared" si="11"/>
        <v>0</v>
      </c>
      <c r="L23" s="455">
        <f t="shared" ca="1" si="12"/>
        <v>0</v>
      </c>
      <c r="M23" s="455">
        <f t="shared" si="13"/>
        <v>0</v>
      </c>
      <c r="N23" s="455">
        <f t="shared" ca="1" si="14"/>
        <v>0</v>
      </c>
      <c r="O23" s="455">
        <f t="shared" si="15"/>
        <v>0</v>
      </c>
      <c r="P23" s="456">
        <f t="shared" si="16"/>
        <v>0</v>
      </c>
      <c r="Q23" s="454">
        <f t="shared" ref="Q23:Q31" ca="1" si="17">SUM(B23:P23)</f>
        <v>38097.41267913604</v>
      </c>
    </row>
    <row r="24" spans="1:17">
      <c r="A24" s="454" t="s">
        <v>193</v>
      </c>
      <c r="B24" s="455">
        <f t="shared" ca="1" si="2"/>
        <v>407.57034663981426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407.57034663981426</v>
      </c>
    </row>
    <row r="25" spans="1:17">
      <c r="A25" s="454" t="s">
        <v>111</v>
      </c>
      <c r="B25" s="455">
        <f t="shared" ca="1" si="2"/>
        <v>655.88571977812967</v>
      </c>
      <c r="C25" s="455">
        <f t="shared" ca="1" si="3"/>
        <v>0</v>
      </c>
      <c r="D25" s="455">
        <f t="shared" si="4"/>
        <v>1221.1102072074239</v>
      </c>
      <c r="E25" s="455">
        <f t="shared" si="5"/>
        <v>30.332015842877006</v>
      </c>
      <c r="F25" s="455">
        <f t="shared" si="6"/>
        <v>3103.7822623957322</v>
      </c>
      <c r="G25" s="455">
        <f t="shared" si="7"/>
        <v>0</v>
      </c>
      <c r="H25" s="455">
        <f t="shared" si="8"/>
        <v>0</v>
      </c>
      <c r="I25" s="455">
        <f t="shared" si="9"/>
        <v>0</v>
      </c>
      <c r="J25" s="455">
        <f t="shared" si="10"/>
        <v>332.95699924132089</v>
      </c>
      <c r="K25" s="455">
        <f t="shared" si="11"/>
        <v>0</v>
      </c>
      <c r="L25" s="455">
        <f t="shared" si="12"/>
        <v>0</v>
      </c>
      <c r="M25" s="455">
        <f t="shared" si="13"/>
        <v>0</v>
      </c>
      <c r="N25" s="455">
        <f t="shared" si="14"/>
        <v>0</v>
      </c>
      <c r="O25" s="455">
        <f t="shared" si="15"/>
        <v>0</v>
      </c>
      <c r="P25" s="456">
        <f t="shared" si="16"/>
        <v>0</v>
      </c>
      <c r="Q25" s="454">
        <f t="shared" ca="1" si="17"/>
        <v>5344.067204465483</v>
      </c>
    </row>
    <row r="26" spans="1:17">
      <c r="A26" s="454" t="s">
        <v>626</v>
      </c>
      <c r="B26" s="455">
        <f t="shared" ca="1" si="2"/>
        <v>11664.566409503488</v>
      </c>
      <c r="C26" s="455">
        <f t="shared" ca="1" si="3"/>
        <v>0</v>
      </c>
      <c r="D26" s="455">
        <f t="shared" si="4"/>
        <v>9451.9684242619514</v>
      </c>
      <c r="E26" s="455">
        <f t="shared" si="5"/>
        <v>50.775487964774399</v>
      </c>
      <c r="F26" s="455">
        <f t="shared" si="6"/>
        <v>3156.7637916888843</v>
      </c>
      <c r="G26" s="455">
        <f t="shared" si="7"/>
        <v>0</v>
      </c>
      <c r="H26" s="455">
        <f t="shared" si="8"/>
        <v>0</v>
      </c>
      <c r="I26" s="455">
        <f t="shared" si="9"/>
        <v>0</v>
      </c>
      <c r="J26" s="455">
        <f t="shared" si="10"/>
        <v>6.5105587284039501</v>
      </c>
      <c r="K26" s="455">
        <f t="shared" si="11"/>
        <v>0</v>
      </c>
      <c r="L26" s="455">
        <f t="shared" si="12"/>
        <v>0</v>
      </c>
      <c r="M26" s="455">
        <f t="shared" si="13"/>
        <v>0</v>
      </c>
      <c r="N26" s="455">
        <f t="shared" si="14"/>
        <v>0</v>
      </c>
      <c r="O26" s="455">
        <f t="shared" si="15"/>
        <v>0</v>
      </c>
      <c r="P26" s="456">
        <f t="shared" si="16"/>
        <v>0</v>
      </c>
      <c r="Q26" s="454">
        <f t="shared" ca="1" si="17"/>
        <v>24330.584672147503</v>
      </c>
    </row>
    <row r="27" spans="1:17" s="460" customFormat="1">
      <c r="A27" s="458" t="s">
        <v>552</v>
      </c>
      <c r="B27" s="778">
        <f t="shared" ca="1" si="2"/>
        <v>49.353734488920679</v>
      </c>
      <c r="C27" s="459">
        <f t="shared" ca="1" si="3"/>
        <v>0</v>
      </c>
      <c r="D27" s="459">
        <f t="shared" si="4"/>
        <v>220.13720254437303</v>
      </c>
      <c r="E27" s="459">
        <f t="shared" si="5"/>
        <v>150.11216973506919</v>
      </c>
      <c r="F27" s="459">
        <f t="shared" si="6"/>
        <v>0</v>
      </c>
      <c r="G27" s="459">
        <f t="shared" si="7"/>
        <v>99353.445849989599</v>
      </c>
      <c r="H27" s="459">
        <f t="shared" si="8"/>
        <v>17696.885437718469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117469.93439447644</v>
      </c>
    </row>
    <row r="28" spans="1:17" ht="16.5" customHeight="1">
      <c r="A28" s="454" t="s">
        <v>542</v>
      </c>
      <c r="B28" s="455">
        <f t="shared" ca="1" si="2"/>
        <v>0</v>
      </c>
      <c r="C28" s="455">
        <f t="shared" ca="1" si="3"/>
        <v>0</v>
      </c>
      <c r="D28" s="455">
        <f t="shared" si="4"/>
        <v>0</v>
      </c>
      <c r="E28" s="455">
        <f t="shared" si="5"/>
        <v>0</v>
      </c>
      <c r="F28" s="455">
        <f t="shared" si="6"/>
        <v>0</v>
      </c>
      <c r="G28" s="455">
        <f t="shared" si="7"/>
        <v>498.97609598540578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498.97609598540578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346.88596913552243</v>
      </c>
      <c r="C32" s="455">
        <f t="shared" ca="1" si="3"/>
        <v>0</v>
      </c>
      <c r="D32" s="455">
        <f t="shared" si="4"/>
        <v>839.25346369723627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1186.1394328327588</v>
      </c>
    </row>
    <row r="33" spans="1:17" s="466" customFormat="1">
      <c r="A33" s="464" t="s">
        <v>546</v>
      </c>
      <c r="B33" s="465">
        <f ca="1">SUM(B22:B32)</f>
        <v>40443.402676728438</v>
      </c>
      <c r="C33" s="465">
        <f t="shared" ref="C33:Q33" ca="1" si="19">SUM(C22:C32)</f>
        <v>0</v>
      </c>
      <c r="D33" s="465">
        <f t="shared" ca="1" si="19"/>
        <v>62013.248954642702</v>
      </c>
      <c r="E33" s="465">
        <f t="shared" si="19"/>
        <v>3660.7606670219066</v>
      </c>
      <c r="F33" s="465">
        <f t="shared" ca="1" si="19"/>
        <v>9786.8758487416817</v>
      </c>
      <c r="G33" s="465">
        <f t="shared" si="19"/>
        <v>99852.421945975002</v>
      </c>
      <c r="H33" s="465">
        <f t="shared" si="19"/>
        <v>17696.885437718469</v>
      </c>
      <c r="I33" s="465">
        <f t="shared" si="19"/>
        <v>0</v>
      </c>
      <c r="J33" s="465">
        <f t="shared" si="19"/>
        <v>836.1526648688465</v>
      </c>
      <c r="K33" s="465">
        <f t="shared" si="19"/>
        <v>0</v>
      </c>
      <c r="L33" s="465">
        <f t="shared" ca="1" si="19"/>
        <v>0</v>
      </c>
      <c r="M33" s="465">
        <f t="shared" si="19"/>
        <v>0</v>
      </c>
      <c r="N33" s="465">
        <f t="shared" ca="1" si="19"/>
        <v>0</v>
      </c>
      <c r="O33" s="465">
        <f t="shared" si="19"/>
        <v>0</v>
      </c>
      <c r="P33" s="465">
        <f t="shared" si="19"/>
        <v>0</v>
      </c>
      <c r="Q33" s="465">
        <f t="shared" ca="1" si="19"/>
        <v>234289.74819569709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17158.66804079678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20732.081931285029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37934.39997208181</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0.18305464945281541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0.18305464945281541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0.18305464945281541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0.18305464945281541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16913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3519.36</v>
      </c>
      <c r="C14" s="332"/>
      <c r="D14" s="332"/>
      <c r="E14" s="332"/>
      <c r="F14" s="332"/>
    </row>
    <row r="15" spans="1:6">
      <c r="A15" s="1310" t="s">
        <v>183</v>
      </c>
      <c r="B15" s="1311">
        <v>65</v>
      </c>
      <c r="C15" s="332"/>
      <c r="D15" s="332"/>
      <c r="E15" s="332"/>
      <c r="F15" s="332"/>
    </row>
    <row r="16" spans="1:6">
      <c r="A16" s="1310" t="s">
        <v>6</v>
      </c>
      <c r="B16" s="1311">
        <v>2886</v>
      </c>
      <c r="C16" s="332"/>
      <c r="D16" s="332"/>
      <c r="E16" s="332"/>
      <c r="F16" s="332"/>
    </row>
    <row r="17" spans="1:6">
      <c r="A17" s="1310" t="s">
        <v>7</v>
      </c>
      <c r="B17" s="1311">
        <v>1566</v>
      </c>
      <c r="C17" s="332"/>
      <c r="D17" s="332"/>
      <c r="E17" s="332"/>
      <c r="F17" s="332"/>
    </row>
    <row r="18" spans="1:6">
      <c r="A18" s="1310" t="s">
        <v>8</v>
      </c>
      <c r="B18" s="1311">
        <v>2644</v>
      </c>
      <c r="C18" s="332"/>
      <c r="D18" s="332"/>
      <c r="E18" s="332"/>
      <c r="F18" s="332"/>
    </row>
    <row r="19" spans="1:6">
      <c r="A19" s="1310" t="s">
        <v>9</v>
      </c>
      <c r="B19" s="1311">
        <v>3481</v>
      </c>
      <c r="C19" s="332"/>
      <c r="D19" s="332"/>
      <c r="E19" s="332"/>
      <c r="F19" s="332"/>
    </row>
    <row r="20" spans="1:6">
      <c r="A20" s="1310" t="s">
        <v>10</v>
      </c>
      <c r="B20" s="1311">
        <v>2056</v>
      </c>
      <c r="C20" s="332"/>
      <c r="D20" s="332"/>
      <c r="E20" s="332"/>
      <c r="F20" s="332"/>
    </row>
    <row r="21" spans="1:6">
      <c r="A21" s="1310" t="s">
        <v>11</v>
      </c>
      <c r="B21" s="1311">
        <v>4770</v>
      </c>
      <c r="C21" s="332"/>
      <c r="D21" s="332"/>
      <c r="E21" s="332"/>
      <c r="F21" s="332"/>
    </row>
    <row r="22" spans="1:6">
      <c r="A22" s="1310" t="s">
        <v>12</v>
      </c>
      <c r="B22" s="1311">
        <v>11346</v>
      </c>
      <c r="C22" s="332"/>
      <c r="D22" s="332"/>
      <c r="E22" s="332"/>
      <c r="F22" s="332"/>
    </row>
    <row r="23" spans="1:6">
      <c r="A23" s="1310" t="s">
        <v>13</v>
      </c>
      <c r="B23" s="1311">
        <v>197</v>
      </c>
      <c r="C23" s="332"/>
      <c r="D23" s="332"/>
      <c r="E23" s="332"/>
      <c r="F23" s="332"/>
    </row>
    <row r="24" spans="1:6">
      <c r="A24" s="1310" t="s">
        <v>14</v>
      </c>
      <c r="B24" s="1311">
        <v>6</v>
      </c>
      <c r="C24" s="332"/>
      <c r="D24" s="332"/>
      <c r="E24" s="332"/>
      <c r="F24" s="332"/>
    </row>
    <row r="25" spans="1:6">
      <c r="A25" s="1310" t="s">
        <v>15</v>
      </c>
      <c r="B25" s="1311">
        <v>1168</v>
      </c>
      <c r="C25" s="332"/>
      <c r="D25" s="332"/>
      <c r="E25" s="332"/>
      <c r="F25" s="332"/>
    </row>
    <row r="26" spans="1:6">
      <c r="A26" s="1310" t="s">
        <v>16</v>
      </c>
      <c r="B26" s="1311">
        <v>97</v>
      </c>
      <c r="C26" s="332"/>
      <c r="D26" s="332"/>
      <c r="E26" s="332"/>
      <c r="F26" s="332"/>
    </row>
    <row r="27" spans="1:6">
      <c r="A27" s="1310" t="s">
        <v>17</v>
      </c>
      <c r="B27" s="1311">
        <v>94</v>
      </c>
      <c r="C27" s="332"/>
      <c r="D27" s="332"/>
      <c r="E27" s="332"/>
      <c r="F27" s="332"/>
    </row>
    <row r="28" spans="1:6" s="43" customFormat="1">
      <c r="A28" s="1312" t="s">
        <v>18</v>
      </c>
      <c r="B28" s="1313">
        <v>197531</v>
      </c>
      <c r="C28" s="338"/>
      <c r="D28" s="338"/>
      <c r="E28" s="338"/>
      <c r="F28" s="338"/>
    </row>
    <row r="29" spans="1:6">
      <c r="A29" s="1312" t="s">
        <v>699</v>
      </c>
      <c r="B29" s="1313">
        <v>140</v>
      </c>
      <c r="C29" s="338"/>
      <c r="D29" s="338"/>
      <c r="E29" s="338"/>
      <c r="F29" s="338"/>
    </row>
    <row r="30" spans="1:6">
      <c r="A30" s="1305" t="s">
        <v>700</v>
      </c>
      <c r="B30" s="1314">
        <v>27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1463322.1675579101</v>
      </c>
      <c r="E36" s="1311">
        <v>5</v>
      </c>
      <c r="F36" s="1311">
        <v>484349.61746976298</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11944</v>
      </c>
      <c r="D39" s="1311">
        <v>166235639.09821799</v>
      </c>
      <c r="E39" s="1311">
        <v>16646</v>
      </c>
      <c r="F39" s="1311">
        <v>59350525.465918697</v>
      </c>
    </row>
    <row r="40" spans="1:6">
      <c r="A40" s="1310" t="s">
        <v>29</v>
      </c>
      <c r="B40" s="1310" t="s">
        <v>28</v>
      </c>
      <c r="C40" s="1311">
        <v>0</v>
      </c>
      <c r="D40" s="1311">
        <v>0</v>
      </c>
      <c r="E40" s="1311">
        <v>0</v>
      </c>
      <c r="F40" s="1311">
        <v>0</v>
      </c>
    </row>
    <row r="41" spans="1:6">
      <c r="A41" s="1310" t="s">
        <v>31</v>
      </c>
      <c r="B41" s="1310" t="s">
        <v>32</v>
      </c>
      <c r="C41" s="1311">
        <v>229</v>
      </c>
      <c r="D41" s="1311">
        <v>8696959.70176927</v>
      </c>
      <c r="E41" s="1311">
        <v>409</v>
      </c>
      <c r="F41" s="1311">
        <v>16261762.731753301</v>
      </c>
    </row>
    <row r="42" spans="1:6">
      <c r="A42" s="1310" t="s">
        <v>31</v>
      </c>
      <c r="B42" s="1310" t="s">
        <v>33</v>
      </c>
      <c r="C42" s="1311">
        <v>4</v>
      </c>
      <c r="D42" s="1311">
        <v>700771.71281623899</v>
      </c>
      <c r="E42" s="1311">
        <v>7</v>
      </c>
      <c r="F42" s="1311">
        <v>458390.04577455099</v>
      </c>
    </row>
    <row r="43" spans="1:6">
      <c r="A43" s="1310" t="s">
        <v>31</v>
      </c>
      <c r="B43" s="1310" t="s">
        <v>34</v>
      </c>
      <c r="C43" s="1311">
        <v>0</v>
      </c>
      <c r="D43" s="1311">
        <v>0</v>
      </c>
      <c r="E43" s="1311">
        <v>0</v>
      </c>
      <c r="F43" s="1311">
        <v>0</v>
      </c>
    </row>
    <row r="44" spans="1:6">
      <c r="A44" s="1310" t="s">
        <v>31</v>
      </c>
      <c r="B44" s="1310" t="s">
        <v>35</v>
      </c>
      <c r="C44" s="1311">
        <v>46</v>
      </c>
      <c r="D44" s="1311">
        <v>13508636.945520701</v>
      </c>
      <c r="E44" s="1311">
        <v>90</v>
      </c>
      <c r="F44" s="1311">
        <v>20714433.850305401</v>
      </c>
    </row>
    <row r="45" spans="1:6">
      <c r="A45" s="1310" t="s">
        <v>31</v>
      </c>
      <c r="B45" s="1310" t="s">
        <v>36</v>
      </c>
      <c r="C45" s="1311">
        <v>0</v>
      </c>
      <c r="D45" s="1311">
        <v>0</v>
      </c>
      <c r="E45" s="1311">
        <v>8</v>
      </c>
      <c r="F45" s="1311">
        <v>662086.34821243701</v>
      </c>
    </row>
    <row r="46" spans="1:6">
      <c r="A46" s="1310" t="s">
        <v>31</v>
      </c>
      <c r="B46" s="1310" t="s">
        <v>37</v>
      </c>
      <c r="C46" s="1311">
        <v>0</v>
      </c>
      <c r="D46" s="1311">
        <v>0</v>
      </c>
      <c r="E46" s="1311">
        <v>0</v>
      </c>
      <c r="F46" s="1311">
        <v>0</v>
      </c>
    </row>
    <row r="47" spans="1:6">
      <c r="A47" s="1310" t="s">
        <v>31</v>
      </c>
      <c r="B47" s="1310" t="s">
        <v>38</v>
      </c>
      <c r="C47" s="1311">
        <v>11</v>
      </c>
      <c r="D47" s="1311">
        <v>473853.91882282897</v>
      </c>
      <c r="E47" s="1311">
        <v>17</v>
      </c>
      <c r="F47" s="1311">
        <v>954327.172300832</v>
      </c>
    </row>
    <row r="48" spans="1:6">
      <c r="A48" s="1310" t="s">
        <v>31</v>
      </c>
      <c r="B48" s="1310" t="s">
        <v>28</v>
      </c>
      <c r="C48" s="1311">
        <v>1</v>
      </c>
      <c r="D48" s="1311">
        <v>50385.397094372398</v>
      </c>
      <c r="E48" s="1311">
        <v>0</v>
      </c>
      <c r="F48" s="1311">
        <v>0</v>
      </c>
    </row>
    <row r="49" spans="1:6">
      <c r="A49" s="1310" t="s">
        <v>31</v>
      </c>
      <c r="B49" s="1310" t="s">
        <v>39</v>
      </c>
      <c r="C49" s="1311">
        <v>9</v>
      </c>
      <c r="D49" s="1311">
        <v>4385326.7714533601</v>
      </c>
      <c r="E49" s="1311">
        <v>9</v>
      </c>
      <c r="F49" s="1311">
        <v>7120768.7121583298</v>
      </c>
    </row>
    <row r="50" spans="1:6">
      <c r="A50" s="1310" t="s">
        <v>31</v>
      </c>
      <c r="B50" s="1310" t="s">
        <v>40</v>
      </c>
      <c r="C50" s="1311">
        <v>43</v>
      </c>
      <c r="D50" s="1311">
        <v>24002363.3292518</v>
      </c>
      <c r="E50" s="1311">
        <v>58</v>
      </c>
      <c r="F50" s="1311">
        <v>17550001.902330499</v>
      </c>
    </row>
    <row r="51" spans="1:6">
      <c r="A51" s="1310" t="s">
        <v>41</v>
      </c>
      <c r="B51" s="1310" t="s">
        <v>42</v>
      </c>
      <c r="C51" s="1311">
        <v>50</v>
      </c>
      <c r="D51" s="1311">
        <v>6694462.9409527304</v>
      </c>
      <c r="E51" s="1311">
        <v>192</v>
      </c>
      <c r="F51" s="1311">
        <v>3583004.9755015499</v>
      </c>
    </row>
    <row r="52" spans="1:6">
      <c r="A52" s="1310" t="s">
        <v>41</v>
      </c>
      <c r="B52" s="1310" t="s">
        <v>28</v>
      </c>
      <c r="C52" s="1311">
        <v>0</v>
      </c>
      <c r="D52" s="1311">
        <v>0</v>
      </c>
      <c r="E52" s="1311">
        <v>0</v>
      </c>
      <c r="F52" s="1311">
        <v>0</v>
      </c>
    </row>
    <row r="53" spans="1:6">
      <c r="A53" s="1310" t="s">
        <v>43</v>
      </c>
      <c r="B53" s="1310" t="s">
        <v>44</v>
      </c>
      <c r="C53" s="1311">
        <v>315</v>
      </c>
      <c r="D53" s="1311">
        <v>4154720.1173130502</v>
      </c>
      <c r="E53" s="1311">
        <v>637</v>
      </c>
      <c r="F53" s="1311">
        <v>1894985.8426018101</v>
      </c>
    </row>
    <row r="54" spans="1:6">
      <c r="A54" s="1310" t="s">
        <v>45</v>
      </c>
      <c r="B54" s="1310" t="s">
        <v>46</v>
      </c>
      <c r="C54" s="1311">
        <v>0</v>
      </c>
      <c r="D54" s="1311">
        <v>0</v>
      </c>
      <c r="E54" s="1311">
        <v>4</v>
      </c>
      <c r="F54" s="1311">
        <v>2226495.4638307099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159</v>
      </c>
      <c r="D57" s="1311">
        <v>22944825.231634099</v>
      </c>
      <c r="E57" s="1311">
        <v>328</v>
      </c>
      <c r="F57" s="1311">
        <v>11272738.235559501</v>
      </c>
    </row>
    <row r="58" spans="1:6">
      <c r="A58" s="1310" t="s">
        <v>48</v>
      </c>
      <c r="B58" s="1310" t="s">
        <v>50</v>
      </c>
      <c r="C58" s="1311">
        <v>100</v>
      </c>
      <c r="D58" s="1311">
        <v>10780396.987592701</v>
      </c>
      <c r="E58" s="1311">
        <v>242</v>
      </c>
      <c r="F58" s="1311">
        <v>5125884.7631250704</v>
      </c>
    </row>
    <row r="59" spans="1:6">
      <c r="A59" s="1310" t="s">
        <v>48</v>
      </c>
      <c r="B59" s="1310" t="s">
        <v>51</v>
      </c>
      <c r="C59" s="1311">
        <v>346</v>
      </c>
      <c r="D59" s="1311">
        <v>36996378.056647196</v>
      </c>
      <c r="E59" s="1311">
        <v>613</v>
      </c>
      <c r="F59" s="1311">
        <v>35578354.415117398</v>
      </c>
    </row>
    <row r="60" spans="1:6">
      <c r="A60" s="1310" t="s">
        <v>48</v>
      </c>
      <c r="B60" s="1310" t="s">
        <v>52</v>
      </c>
      <c r="C60" s="1311">
        <v>137</v>
      </c>
      <c r="D60" s="1311">
        <v>8655869.9404943194</v>
      </c>
      <c r="E60" s="1311">
        <v>167</v>
      </c>
      <c r="F60" s="1311">
        <v>4012024.12004126</v>
      </c>
    </row>
    <row r="61" spans="1:6">
      <c r="A61" s="1310" t="s">
        <v>48</v>
      </c>
      <c r="B61" s="1310" t="s">
        <v>53</v>
      </c>
      <c r="C61" s="1311">
        <v>364</v>
      </c>
      <c r="D61" s="1311">
        <v>22446693.030188099</v>
      </c>
      <c r="E61" s="1311">
        <v>744</v>
      </c>
      <c r="F61" s="1311">
        <v>20881800.172806699</v>
      </c>
    </row>
    <row r="62" spans="1:6">
      <c r="A62" s="1310" t="s">
        <v>48</v>
      </c>
      <c r="B62" s="1310" t="s">
        <v>54</v>
      </c>
      <c r="C62" s="1311">
        <v>49</v>
      </c>
      <c r="D62" s="1311">
        <v>7593299.2907623397</v>
      </c>
      <c r="E62" s="1311">
        <v>65</v>
      </c>
      <c r="F62" s="1311">
        <v>2594391.9930288298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23578.636848739799</v>
      </c>
      <c r="E65" s="1311">
        <v>0</v>
      </c>
      <c r="F65" s="1311">
        <v>0</v>
      </c>
    </row>
    <row r="66" spans="1:6">
      <c r="A66" s="1310" t="s">
        <v>55</v>
      </c>
      <c r="B66" s="1310" t="s">
        <v>57</v>
      </c>
      <c r="C66" s="1311">
        <v>0</v>
      </c>
      <c r="D66" s="1311">
        <v>0</v>
      </c>
      <c r="E66" s="1311">
        <v>18</v>
      </c>
      <c r="F66" s="1311">
        <v>807022.68403906899</v>
      </c>
    </row>
    <row r="67" spans="1:6">
      <c r="A67" s="1312" t="s">
        <v>55</v>
      </c>
      <c r="B67" s="1312" t="s">
        <v>58</v>
      </c>
      <c r="C67" s="1311">
        <v>0</v>
      </c>
      <c r="D67" s="1311">
        <v>0</v>
      </c>
      <c r="E67" s="1311">
        <v>0</v>
      </c>
      <c r="F67" s="1311">
        <v>0</v>
      </c>
    </row>
    <row r="68" spans="1:6">
      <c r="A68" s="1305" t="s">
        <v>55</v>
      </c>
      <c r="B68" s="1305" t="s">
        <v>59</v>
      </c>
      <c r="C68" s="1314">
        <v>7</v>
      </c>
      <c r="D68" s="1314">
        <v>132886.93977902399</v>
      </c>
      <c r="E68" s="1314">
        <v>26</v>
      </c>
      <c r="F68" s="1314">
        <v>248755.13122666301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98592733</v>
      </c>
      <c r="E73" s="453"/>
      <c r="F73" s="332"/>
    </row>
    <row r="74" spans="1:6">
      <c r="A74" s="1310" t="s">
        <v>63</v>
      </c>
      <c r="B74" s="1310" t="s">
        <v>648</v>
      </c>
      <c r="C74" s="1324" t="s">
        <v>650</v>
      </c>
      <c r="D74" s="1325">
        <v>9299431.0011165291</v>
      </c>
      <c r="E74" s="453"/>
      <c r="F74" s="332"/>
    </row>
    <row r="75" spans="1:6">
      <c r="A75" s="1310" t="s">
        <v>64</v>
      </c>
      <c r="B75" s="1310" t="s">
        <v>647</v>
      </c>
      <c r="C75" s="1324" t="s">
        <v>651</v>
      </c>
      <c r="D75" s="1325">
        <v>67036820</v>
      </c>
      <c r="E75" s="453"/>
      <c r="F75" s="332"/>
    </row>
    <row r="76" spans="1:6">
      <c r="A76" s="1310" t="s">
        <v>64</v>
      </c>
      <c r="B76" s="1310" t="s">
        <v>648</v>
      </c>
      <c r="C76" s="1324" t="s">
        <v>652</v>
      </c>
      <c r="D76" s="1325">
        <v>4389325.00111653</v>
      </c>
      <c r="E76" s="453"/>
      <c r="F76" s="332"/>
    </row>
    <row r="77" spans="1:6">
      <c r="A77" s="1310" t="s">
        <v>65</v>
      </c>
      <c r="B77" s="1310" t="s">
        <v>647</v>
      </c>
      <c r="C77" s="1324" t="s">
        <v>653</v>
      </c>
      <c r="D77" s="1325">
        <v>233492228</v>
      </c>
      <c r="E77" s="453"/>
      <c r="F77" s="332"/>
    </row>
    <row r="78" spans="1:6">
      <c r="A78" s="1305" t="s">
        <v>65</v>
      </c>
      <c r="B78" s="1305" t="s">
        <v>648</v>
      </c>
      <c r="C78" s="1305" t="s">
        <v>654</v>
      </c>
      <c r="D78" s="1326">
        <v>57026781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546495.99776694004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17158.66804079678</v>
      </c>
      <c r="C90" s="332"/>
      <c r="D90" s="332"/>
      <c r="E90" s="332"/>
      <c r="F90" s="332"/>
    </row>
    <row r="91" spans="1:6">
      <c r="A91" s="1310" t="s">
        <v>67</v>
      </c>
      <c r="B91" s="1311">
        <v>10424.633804647126</v>
      </c>
      <c r="C91" s="332"/>
      <c r="D91" s="332"/>
      <c r="E91" s="332"/>
      <c r="F91" s="332"/>
    </row>
    <row r="92" spans="1:6">
      <c r="A92" s="1305" t="s">
        <v>68</v>
      </c>
      <c r="B92" s="1306">
        <v>10307.448126637901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6443</v>
      </c>
      <c r="C97" s="332"/>
      <c r="D97" s="332"/>
      <c r="E97" s="332"/>
      <c r="F97" s="332"/>
    </row>
    <row r="98" spans="1:6">
      <c r="A98" s="1310" t="s">
        <v>71</v>
      </c>
      <c r="B98" s="1311">
        <v>1</v>
      </c>
      <c r="C98" s="332"/>
      <c r="D98" s="332"/>
      <c r="E98" s="332"/>
      <c r="F98" s="332"/>
    </row>
    <row r="99" spans="1:6">
      <c r="A99" s="1310" t="s">
        <v>72</v>
      </c>
      <c r="B99" s="1311">
        <v>183</v>
      </c>
      <c r="C99" s="332"/>
      <c r="D99" s="332"/>
      <c r="E99" s="332"/>
      <c r="F99" s="332"/>
    </row>
    <row r="100" spans="1:6">
      <c r="A100" s="1310" t="s">
        <v>73</v>
      </c>
      <c r="B100" s="1311">
        <v>1668</v>
      </c>
      <c r="C100" s="332"/>
      <c r="D100" s="332"/>
      <c r="E100" s="332"/>
      <c r="F100" s="332"/>
    </row>
    <row r="101" spans="1:6">
      <c r="A101" s="1310" t="s">
        <v>74</v>
      </c>
      <c r="B101" s="1311">
        <v>249</v>
      </c>
      <c r="C101" s="332"/>
      <c r="D101" s="332"/>
      <c r="E101" s="332"/>
      <c r="F101" s="332"/>
    </row>
    <row r="102" spans="1:6">
      <c r="A102" s="1310" t="s">
        <v>75</v>
      </c>
      <c r="B102" s="1311">
        <v>343</v>
      </c>
      <c r="C102" s="332"/>
      <c r="D102" s="332"/>
      <c r="E102" s="332"/>
      <c r="F102" s="332"/>
    </row>
    <row r="103" spans="1:6">
      <c r="A103" s="1310" t="s">
        <v>76</v>
      </c>
      <c r="B103" s="1311">
        <v>650</v>
      </c>
      <c r="C103" s="332"/>
      <c r="D103" s="332"/>
      <c r="E103" s="332"/>
      <c r="F103" s="332"/>
    </row>
    <row r="104" spans="1:6">
      <c r="A104" s="1310" t="s">
        <v>77</v>
      </c>
      <c r="B104" s="1311">
        <v>4453</v>
      </c>
      <c r="C104" s="332"/>
      <c r="D104" s="332"/>
      <c r="E104" s="332"/>
      <c r="F104" s="332"/>
    </row>
    <row r="105" spans="1:6">
      <c r="A105" s="1305" t="s">
        <v>78</v>
      </c>
      <c r="B105" s="1314">
        <v>20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76</v>
      </c>
      <c r="C123" s="1311">
        <v>149</v>
      </c>
      <c r="D123" s="332"/>
      <c r="E123" s="332"/>
      <c r="F123" s="332"/>
    </row>
    <row r="124" spans="1:6" s="43" customFormat="1">
      <c r="A124" s="1312" t="s">
        <v>88</v>
      </c>
      <c r="B124" s="1333">
        <v>1</v>
      </c>
      <c r="C124" s="1333">
        <v>3</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298</v>
      </c>
      <c r="C129" s="332"/>
      <c r="D129" s="332"/>
      <c r="E129" s="332"/>
      <c r="F129" s="332"/>
    </row>
    <row r="130" spans="1:6">
      <c r="A130" s="1310" t="s">
        <v>294</v>
      </c>
      <c r="B130" s="1311">
        <v>9</v>
      </c>
      <c r="C130" s="332"/>
      <c r="D130" s="332"/>
      <c r="E130" s="332"/>
      <c r="F130" s="332"/>
    </row>
    <row r="131" spans="1:6">
      <c r="A131" s="1310" t="s">
        <v>295</v>
      </c>
      <c r="B131" s="1311">
        <v>8</v>
      </c>
      <c r="C131" s="332"/>
      <c r="D131" s="332"/>
      <c r="E131" s="332"/>
      <c r="F131" s="332"/>
    </row>
    <row r="132" spans="1:6">
      <c r="A132" s="1305" t="s">
        <v>296</v>
      </c>
      <c r="B132" s="1306">
        <v>64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220936.22203872632</v>
      </c>
      <c r="C3" s="43" t="s">
        <v>169</v>
      </c>
      <c r="D3" s="43"/>
      <c r="E3" s="154"/>
      <c r="F3" s="43"/>
      <c r="G3" s="43"/>
      <c r="H3" s="43"/>
      <c r="I3" s="43"/>
      <c r="J3" s="43"/>
      <c r="K3" s="96"/>
    </row>
    <row r="4" spans="1:11">
      <c r="A4" s="360" t="s">
        <v>170</v>
      </c>
      <c r="B4" s="49">
        <f>IF(ISERROR('SEAP template'!B78+'SEAP template'!C78),0,'SEAP template'!B78+'SEAP template'!C78)</f>
        <v>37934.39997208181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0.18305464945281541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2226.4954638307099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2226.4954638307099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0.18305464945281541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407.57034663981426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59350.525465918698</v>
      </c>
      <c r="C5" s="17">
        <f>IF(ISERROR('Eigen informatie GS &amp; warmtenet'!B59),0,'Eigen informatie GS &amp; warmtenet'!B59)</f>
        <v>0</v>
      </c>
      <c r="D5" s="30">
        <f>(SUM(HH_hh_gas_kWh,HH_rest_gas_kWh)/1000)*0.903</f>
        <v>150110.78210569086</v>
      </c>
      <c r="E5" s="17">
        <f>B46*B57</f>
        <v>14816.618356495675</v>
      </c>
      <c r="F5" s="17">
        <f>B51*B62</f>
        <v>0</v>
      </c>
      <c r="G5" s="18"/>
      <c r="H5" s="17"/>
      <c r="I5" s="17"/>
      <c r="J5" s="17">
        <f>B50*B61+C50*C61</f>
        <v>1402.9539461914037</v>
      </c>
      <c r="K5" s="17"/>
      <c r="L5" s="17"/>
      <c r="M5" s="17"/>
      <c r="N5" s="17">
        <f>B48*B59+C48*C59</f>
        <v>37787.502927982605</v>
      </c>
      <c r="O5" s="17">
        <f>B69*B70*B71</f>
        <v>892.78119872416437</v>
      </c>
      <c r="P5" s="17">
        <f>B77*B78*B79/1000-B77*B78*B79/1000/B80</f>
        <v>1485.2882623835883</v>
      </c>
    </row>
    <row r="6" spans="1:16">
      <c r="A6" s="16" t="s">
        <v>612</v>
      </c>
      <c r="B6" s="786">
        <f>kWh_PV_kleiner_dan_10kW</f>
        <v>10424.633804647126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69775.159270565826</v>
      </c>
      <c r="C8" s="21">
        <f>C5</f>
        <v>0</v>
      </c>
      <c r="D8" s="21">
        <f>D5</f>
        <v>150110.78210569086</v>
      </c>
      <c r="E8" s="21">
        <f>E5</f>
        <v>14816.618356495675</v>
      </c>
      <c r="F8" s="21">
        <f>F5</f>
        <v>0</v>
      </c>
      <c r="G8" s="21"/>
      <c r="H8" s="21"/>
      <c r="I8" s="21"/>
      <c r="J8" s="21">
        <f>J5</f>
        <v>1402.9539461914037</v>
      </c>
      <c r="K8" s="21"/>
      <c r="L8" s="21">
        <f>L5</f>
        <v>0</v>
      </c>
      <c r="M8" s="21">
        <f>M5</f>
        <v>0</v>
      </c>
      <c r="N8" s="21">
        <f>N5</f>
        <v>37787.502927982605</v>
      </c>
      <c r="O8" s="21">
        <f>O5</f>
        <v>892.78119872416437</v>
      </c>
      <c r="P8" s="21">
        <f>P5</f>
        <v>1485.2882623835883</v>
      </c>
    </row>
    <row r="9" spans="1:16">
      <c r="B9" s="19"/>
      <c r="C9" s="19"/>
      <c r="D9" s="258"/>
      <c r="E9" s="19"/>
      <c r="F9" s="19"/>
      <c r="G9" s="19"/>
      <c r="H9" s="19"/>
      <c r="I9" s="19"/>
      <c r="J9" s="19"/>
      <c r="K9" s="19"/>
      <c r="L9" s="19"/>
      <c r="M9" s="19"/>
      <c r="N9" s="19"/>
      <c r="O9" s="19"/>
      <c r="P9" s="19"/>
    </row>
    <row r="10" spans="1:16">
      <c r="A10" s="24" t="s">
        <v>213</v>
      </c>
      <c r="B10" s="25">
        <f ca="1">'EF ele_warmte'!B12</f>
        <v>0.18305464945281541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12772.66732078779</v>
      </c>
      <c r="C12" s="23">
        <f ca="1">C10*C8</f>
        <v>0</v>
      </c>
      <c r="D12" s="23">
        <f>D8*D10</f>
        <v>30322.377985349554</v>
      </c>
      <c r="E12" s="23">
        <f>E10*E8</f>
        <v>3363.3723669245182</v>
      </c>
      <c r="F12" s="23">
        <f>F10*F8</f>
        <v>0</v>
      </c>
      <c r="G12" s="23"/>
      <c r="H12" s="23"/>
      <c r="I12" s="23"/>
      <c r="J12" s="23">
        <f>J10*J8</f>
        <v>496.64569695175686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6443</v>
      </c>
      <c r="C18" s="166" t="s">
        <v>110</v>
      </c>
      <c r="D18" s="228"/>
      <c r="E18" s="15"/>
    </row>
    <row r="19" spans="1:7">
      <c r="A19" s="171" t="s">
        <v>71</v>
      </c>
      <c r="B19" s="37">
        <f>aantalw2001_ander</f>
        <v>1</v>
      </c>
      <c r="C19" s="166" t="s">
        <v>110</v>
      </c>
      <c r="D19" s="229"/>
      <c r="E19" s="15"/>
    </row>
    <row r="20" spans="1:7">
      <c r="A20" s="171" t="s">
        <v>72</v>
      </c>
      <c r="B20" s="37">
        <f>aantalw2001_propaan</f>
        <v>183</v>
      </c>
      <c r="C20" s="167">
        <f>IF(ISERROR(B20/SUM($B$20,$B$21,$B$22)*100),0,B20/SUM($B$20,$B$21,$B$22)*100)</f>
        <v>8.7142857142857153</v>
      </c>
      <c r="D20" s="229"/>
      <c r="E20" s="15"/>
    </row>
    <row r="21" spans="1:7">
      <c r="A21" s="171" t="s">
        <v>73</v>
      </c>
      <c r="B21" s="37">
        <f>aantalw2001_elektriciteit</f>
        <v>1668</v>
      </c>
      <c r="C21" s="167">
        <f>IF(ISERROR(B21/SUM($B$20,$B$21,$B$22)*100),0,B21/SUM($B$20,$B$21,$B$22)*100)</f>
        <v>79.428571428571431</v>
      </c>
      <c r="D21" s="229"/>
      <c r="E21" s="15"/>
    </row>
    <row r="22" spans="1:7">
      <c r="A22" s="171" t="s">
        <v>74</v>
      </c>
      <c r="B22" s="37">
        <f>aantalw2001_hout</f>
        <v>249</v>
      </c>
      <c r="C22" s="167">
        <f>IF(ISERROR(B22/SUM($B$20,$B$21,$B$22)*100),0,B22/SUM($B$20,$B$21,$B$22)*100)</f>
        <v>11.857142857142858</v>
      </c>
      <c r="D22" s="229"/>
      <c r="E22" s="15"/>
    </row>
    <row r="23" spans="1:7">
      <c r="A23" s="171" t="s">
        <v>75</v>
      </c>
      <c r="B23" s="37">
        <f>aantalw2001_niet_gespec</f>
        <v>343</v>
      </c>
      <c r="C23" s="166" t="s">
        <v>110</v>
      </c>
      <c r="D23" s="228"/>
      <c r="E23" s="15"/>
    </row>
    <row r="24" spans="1:7">
      <c r="A24" s="171" t="s">
        <v>76</v>
      </c>
      <c r="B24" s="37">
        <f>aantalw2001_steenkool</f>
        <v>650</v>
      </c>
      <c r="C24" s="166" t="s">
        <v>110</v>
      </c>
      <c r="D24" s="229"/>
      <c r="E24" s="15"/>
    </row>
    <row r="25" spans="1:7">
      <c r="A25" s="171" t="s">
        <v>77</v>
      </c>
      <c r="B25" s="37">
        <f>aantalw2001_stookolie</f>
        <v>4453</v>
      </c>
      <c r="C25" s="166" t="s">
        <v>110</v>
      </c>
      <c r="D25" s="228"/>
      <c r="E25" s="52"/>
    </row>
    <row r="26" spans="1:7">
      <c r="A26" s="171" t="s">
        <v>78</v>
      </c>
      <c r="B26" s="37">
        <f>aantalw2001_WP</f>
        <v>20</v>
      </c>
      <c r="C26" s="166" t="s">
        <v>110</v>
      </c>
      <c r="D26" s="228"/>
      <c r="E26" s="15"/>
    </row>
    <row r="27" spans="1:7" s="15" customFormat="1">
      <c r="A27" s="171"/>
      <c r="B27" s="29"/>
      <c r="C27" s="36"/>
      <c r="D27" s="228"/>
    </row>
    <row r="28" spans="1:7" s="15" customFormat="1">
      <c r="A28" s="230" t="s">
        <v>838</v>
      </c>
      <c r="B28" s="37">
        <f>aantalHuishoudens</f>
        <v>16913</v>
      </c>
      <c r="C28" s="36"/>
      <c r="D28" s="228"/>
    </row>
    <row r="29" spans="1:7" s="15" customFormat="1">
      <c r="A29" s="230" t="s">
        <v>839</v>
      </c>
      <c r="B29" s="37">
        <f>SUM(HH_hh_gas_aantal,HH_rest_gas_aantal)</f>
        <v>11944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11944</v>
      </c>
      <c r="C32" s="167">
        <f>IF(ISERROR(B32/SUM($B$32,$B$34,$B$35,$B$36,$B$38,$B$39)*100),0,B32/SUM($B$32,$B$34,$B$35,$B$36,$B$38,$B$39)*100)</f>
        <v>71.213927975196739</v>
      </c>
      <c r="D32" s="233"/>
      <c r="G32" s="15"/>
    </row>
    <row r="33" spans="1:7">
      <c r="A33" s="171" t="s">
        <v>71</v>
      </c>
      <c r="B33" s="34" t="s">
        <v>110</v>
      </c>
      <c r="C33" s="167"/>
      <c r="D33" s="233"/>
      <c r="G33" s="15"/>
    </row>
    <row r="34" spans="1:7">
      <c r="A34" s="171" t="s">
        <v>72</v>
      </c>
      <c r="B34" s="33">
        <f>IF((($B$28-$B$32-$B$39-$B$77-$B$38)*C20/100)&lt;0,0,($B$28-$B$32-$B$39-$B$77-$B$38)*C20/100)</f>
        <v>412.0201428571429</v>
      </c>
      <c r="C34" s="167">
        <f>IF(ISERROR(B34/SUM($B$32,$B$34,$B$35,$B$36,$B$38,$B$39)*100),0,B34/SUM($B$32,$B$34,$B$35,$B$36,$B$38,$B$39)*100)</f>
        <v>2.4565951756328572</v>
      </c>
      <c r="D34" s="233"/>
      <c r="G34" s="15"/>
    </row>
    <row r="35" spans="1:7">
      <c r="A35" s="171" t="s">
        <v>73</v>
      </c>
      <c r="B35" s="33">
        <f>IF((($B$28-$B$32-$B$39-$B$77-$B$38)*C21/100)&lt;0,0,($B$28-$B$32-$B$39-$B$77-$B$38)*C21/100)</f>
        <v>3755.4622857142863</v>
      </c>
      <c r="C35" s="167">
        <f>IF(ISERROR(B35/SUM($B$32,$B$34,$B$35,$B$36,$B$38,$B$39)*100),0,B35/SUM($B$32,$B$34,$B$35,$B$36,$B$38,$B$39)*100)</f>
        <v>22.391260945112602</v>
      </c>
      <c r="D35" s="233"/>
      <c r="G35" s="15"/>
    </row>
    <row r="36" spans="1:7">
      <c r="A36" s="171" t="s">
        <v>74</v>
      </c>
      <c r="B36" s="33">
        <f>IF((($B$28-$B$32-$B$39-$B$77-$B$38)*C22/100)&lt;0,0,($B$28-$B$32-$B$39-$B$77-$B$38)*C22/100)</f>
        <v>560.61757142857141</v>
      </c>
      <c r="C36" s="167">
        <f>IF(ISERROR(B36/SUM($B$32,$B$34,$B$35,$B$36,$B$38,$B$39)*100),0,B36/SUM($B$32,$B$34,$B$35,$B$36,$B$38,$B$39)*100)</f>
        <v>3.342580320943068</v>
      </c>
      <c r="D36" s="233"/>
      <c r="G36" s="15"/>
    </row>
    <row r="37" spans="1:7">
      <c r="A37" s="171" t="s">
        <v>75</v>
      </c>
      <c r="B37" s="34" t="s">
        <v>110</v>
      </c>
      <c r="C37" s="167"/>
      <c r="D37" s="173"/>
      <c r="G37" s="15"/>
    </row>
    <row r="38" spans="1:7">
      <c r="A38" s="171" t="s">
        <v>76</v>
      </c>
      <c r="B38" s="33">
        <f>IF((B24-(B29-B18)*0.1)&lt;0,0,B24-(B29-B18)*0.1)</f>
        <v>99.899999999999977</v>
      </c>
      <c r="C38" s="167">
        <f>IF(ISERROR(B38/SUM($B$32,$B$34,$B$35,$B$36,$B$38,$B$39)*100),0,B38/SUM($B$32,$B$34,$B$35,$B$36,$B$38,$B$39)*100)</f>
        <v>0.59563558311471476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11944</v>
      </c>
      <c r="C44" s="34" t="s">
        <v>110</v>
      </c>
      <c r="D44" s="174"/>
    </row>
    <row r="45" spans="1:7">
      <c r="A45" s="171" t="s">
        <v>71</v>
      </c>
      <c r="B45" s="33" t="str">
        <f t="shared" si="0"/>
        <v>-</v>
      </c>
      <c r="C45" s="34" t="s">
        <v>110</v>
      </c>
      <c r="D45" s="174"/>
    </row>
    <row r="46" spans="1:7">
      <c r="A46" s="171" t="s">
        <v>72</v>
      </c>
      <c r="B46" s="33">
        <f t="shared" si="0"/>
        <v>412.0201428571429</v>
      </c>
      <c r="C46" s="34" t="s">
        <v>110</v>
      </c>
      <c r="D46" s="174"/>
    </row>
    <row r="47" spans="1:7">
      <c r="A47" s="171" t="s">
        <v>73</v>
      </c>
      <c r="B47" s="33">
        <f t="shared" si="0"/>
        <v>3755.4622857142863</v>
      </c>
      <c r="C47" s="34" t="s">
        <v>110</v>
      </c>
      <c r="D47" s="174"/>
    </row>
    <row r="48" spans="1:7">
      <c r="A48" s="171" t="s">
        <v>74</v>
      </c>
      <c r="B48" s="33">
        <f t="shared" si="0"/>
        <v>560.61757142857141</v>
      </c>
      <c r="C48" s="33">
        <f>B48*10</f>
        <v>5606.1757142857141</v>
      </c>
      <c r="D48" s="234"/>
    </row>
    <row r="49" spans="1:6">
      <c r="A49" s="171" t="s">
        <v>75</v>
      </c>
      <c r="B49" s="33" t="str">
        <f t="shared" si="0"/>
        <v>-</v>
      </c>
      <c r="C49" s="34" t="s">
        <v>110</v>
      </c>
      <c r="D49" s="234"/>
    </row>
    <row r="50" spans="1:6">
      <c r="A50" s="171" t="s">
        <v>76</v>
      </c>
      <c r="B50" s="33">
        <f t="shared" si="0"/>
        <v>99.899999999999977</v>
      </c>
      <c r="C50" s="33">
        <f>B50*2</f>
        <v>199.79999999999995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450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79465.193699678755</v>
      </c>
      <c r="C5" s="17">
        <f>IF(ISERROR('Eigen informatie GS &amp; warmtenet'!B60),0,'Eigen informatie GS &amp; warmtenet'!B60)</f>
        <v>0</v>
      </c>
      <c r="D5" s="30">
        <f>SUM(D6:D12)</f>
        <v>98803.968671198832</v>
      </c>
      <c r="E5" s="17">
        <f>SUM(E6:E12)</f>
        <v>291.49174693686268</v>
      </c>
      <c r="F5" s="17">
        <f>SUM(F6:F12)</f>
        <v>13207.227695344811</v>
      </c>
      <c r="G5" s="18"/>
      <c r="H5" s="17"/>
      <c r="I5" s="17"/>
      <c r="J5" s="17">
        <f>SUM(J6:J12)</f>
        <v>0.1113275349289183</v>
      </c>
      <c r="K5" s="17"/>
      <c r="L5" s="17"/>
      <c r="M5" s="17"/>
      <c r="N5" s="17">
        <f>SUM(N6:N12)</f>
        <v>4093.1455752738634</v>
      </c>
      <c r="O5" s="17">
        <f>B38*B39*B40</f>
        <v>44.075346892570387</v>
      </c>
      <c r="P5" s="17">
        <f>B46*B47*B48/1000-B46*B47*B48/1000/B49</f>
        <v>472.85224475845519</v>
      </c>
      <c r="R5" s="32"/>
    </row>
    <row r="6" spans="1:18">
      <c r="A6" s="32" t="s">
        <v>53</v>
      </c>
      <c r="B6" s="37">
        <f>B26</f>
        <v>20881.800172806699</v>
      </c>
      <c r="C6" s="33"/>
      <c r="D6" s="37">
        <f>IF(ISERROR(TER_kantoor_gas_kWh/1000),0,TER_kantoor_gas_kWh/1000)*0.903</f>
        <v>20269.363806259855</v>
      </c>
      <c r="E6" s="33">
        <f>$C$26*'E Balans VL '!I12/100/3.6*1000000</f>
        <v>5.0027829689695835</v>
      </c>
      <c r="F6" s="33">
        <f>$C$26*('E Balans VL '!L12+'E Balans VL '!N12)/100/3.6*1000000</f>
        <v>1980.1965840577541</v>
      </c>
      <c r="G6" s="34"/>
      <c r="H6" s="33"/>
      <c r="I6" s="33"/>
      <c r="J6" s="33">
        <f>$C$26*('E Balans VL '!D12+'E Balans VL '!E12)/100/3.6*1000000</f>
        <v>0</v>
      </c>
      <c r="K6" s="33"/>
      <c r="L6" s="33"/>
      <c r="M6" s="33"/>
      <c r="N6" s="33">
        <f>$C$26*'E Balans VL '!Y12/100/3.6*1000000</f>
        <v>10.606874403905378</v>
      </c>
      <c r="O6" s="33"/>
      <c r="P6" s="33"/>
      <c r="R6" s="32"/>
    </row>
    <row r="7" spans="1:18">
      <c r="A7" s="32" t="s">
        <v>52</v>
      </c>
      <c r="B7" s="37">
        <f t="shared" ref="B7:B12" si="0">B27</f>
        <v>4012.0241200412602</v>
      </c>
      <c r="C7" s="33"/>
      <c r="D7" s="37">
        <f>IF(ISERROR(TER_horeca_gas_kWh/1000),0,TER_horeca_gas_kWh/1000)*0.903</f>
        <v>7816.2505562663709</v>
      </c>
      <c r="E7" s="33">
        <f>$C$27*'E Balans VL '!I9/100/3.6*1000000</f>
        <v>0</v>
      </c>
      <c r="F7" s="33">
        <f>$C$27*('E Balans VL '!L9+'E Balans VL '!N9)/100/3.6*1000000</f>
        <v>328.9765468212197</v>
      </c>
      <c r="G7" s="34"/>
      <c r="H7" s="33"/>
      <c r="I7" s="33"/>
      <c r="J7" s="33">
        <f>$C$27*('E Balans VL '!D9+'E Balans VL '!E9)/100/3.6*1000000</f>
        <v>0</v>
      </c>
      <c r="K7" s="33"/>
      <c r="L7" s="33"/>
      <c r="M7" s="33"/>
      <c r="N7" s="33">
        <f>$C$27*'E Balans VL '!Y9/100/3.6*1000000</f>
        <v>1.2298465841010378</v>
      </c>
      <c r="O7" s="33"/>
      <c r="P7" s="33"/>
      <c r="R7" s="32"/>
    </row>
    <row r="8" spans="1:18">
      <c r="A8" s="6" t="s">
        <v>51</v>
      </c>
      <c r="B8" s="37">
        <f t="shared" si="0"/>
        <v>35578.354415117399</v>
      </c>
      <c r="C8" s="33"/>
      <c r="D8" s="37">
        <f>IF(ISERROR(TER_handel_gas_kWh/1000),0,TER_handel_gas_kWh/1000)*0.903</f>
        <v>33407.729385152423</v>
      </c>
      <c r="E8" s="33">
        <f>$C$28*'E Balans VL '!I13/100/3.6*1000000</f>
        <v>125.03847030915574</v>
      </c>
      <c r="F8" s="33">
        <f>$C$28*('E Balans VL '!L13+'E Balans VL '!N13)/100/3.6*1000000</f>
        <v>3255.3555362215911</v>
      </c>
      <c r="G8" s="34"/>
      <c r="H8" s="33"/>
      <c r="I8" s="33"/>
      <c r="J8" s="33">
        <f>$C$28*('E Balans VL '!D13+'E Balans VL '!E13)/100/3.6*1000000</f>
        <v>0</v>
      </c>
      <c r="K8" s="33"/>
      <c r="L8" s="33"/>
      <c r="M8" s="33"/>
      <c r="N8" s="33">
        <f>$C$28*'E Balans VL '!Y13/100/3.6*1000000</f>
        <v>12.884948263674428</v>
      </c>
      <c r="O8" s="33"/>
      <c r="P8" s="33"/>
      <c r="R8" s="32"/>
    </row>
    <row r="9" spans="1:18">
      <c r="A9" s="32" t="s">
        <v>50</v>
      </c>
      <c r="B9" s="37">
        <f t="shared" si="0"/>
        <v>5125.8847631250701</v>
      </c>
      <c r="C9" s="33"/>
      <c r="D9" s="37">
        <f>IF(ISERROR(TER_gezond_gas_kWh/1000),0,TER_gezond_gas_kWh/1000)*0.903</f>
        <v>9734.6984797962104</v>
      </c>
      <c r="E9" s="33">
        <f>$C$29*'E Balans VL '!I10/100/3.6*1000000</f>
        <v>0</v>
      </c>
      <c r="F9" s="33">
        <f>$C$29*('E Balans VL '!L10+'E Balans VL '!N10)/100/3.6*1000000</f>
        <v>628.33934560234036</v>
      </c>
      <c r="G9" s="34"/>
      <c r="H9" s="33"/>
      <c r="I9" s="33"/>
      <c r="J9" s="33">
        <f>$C$29*('E Balans VL '!D10+'E Balans VL '!E10)/100/3.6*1000000</f>
        <v>0</v>
      </c>
      <c r="K9" s="33"/>
      <c r="L9" s="33"/>
      <c r="M9" s="33"/>
      <c r="N9" s="33">
        <f>$C$29*'E Balans VL '!Y10/100/3.6*1000000</f>
        <v>37.799828130464881</v>
      </c>
      <c r="O9" s="33"/>
      <c r="P9" s="33"/>
      <c r="R9" s="32"/>
    </row>
    <row r="10" spans="1:18">
      <c r="A10" s="32" t="s">
        <v>49</v>
      </c>
      <c r="B10" s="37">
        <f t="shared" si="0"/>
        <v>11272.7382355595</v>
      </c>
      <c r="C10" s="33"/>
      <c r="D10" s="37">
        <f>IF(ISERROR(TER_ander_gas_kWh/1000),0,TER_ander_gas_kWh/1000)*0.903</f>
        <v>20719.17718416559</v>
      </c>
      <c r="E10" s="33">
        <f>$C$30*'E Balans VL '!I14/100/3.6*1000000</f>
        <v>161.45049365873734</v>
      </c>
      <c r="F10" s="33">
        <f>$C$30*('E Balans VL '!L14+'E Balans VL '!N14)/100/3.6*1000000</f>
        <v>6711.0443635660467</v>
      </c>
      <c r="G10" s="34"/>
      <c r="H10" s="33"/>
      <c r="I10" s="33"/>
      <c r="J10" s="33">
        <f>$C$30*('E Balans VL '!D14+'E Balans VL '!E14)/100/3.6*1000000</f>
        <v>0.1113275349289183</v>
      </c>
      <c r="K10" s="33"/>
      <c r="L10" s="33"/>
      <c r="M10" s="33"/>
      <c r="N10" s="33">
        <f>$C$30*'E Balans VL '!Y14/100/3.6*1000000</f>
        <v>4023.318567956539</v>
      </c>
      <c r="O10" s="33"/>
      <c r="P10" s="33"/>
      <c r="R10" s="32"/>
    </row>
    <row r="11" spans="1:18">
      <c r="A11" s="32" t="s">
        <v>54</v>
      </c>
      <c r="B11" s="37">
        <f t="shared" si="0"/>
        <v>2594.3919930288298</v>
      </c>
      <c r="C11" s="33"/>
      <c r="D11" s="37">
        <f>IF(ISERROR(TER_onderwijs_gas_kWh/1000),0,TER_onderwijs_gas_kWh/1000)*0.903</f>
        <v>6856.7492595583926</v>
      </c>
      <c r="E11" s="33">
        <f>$C$31*'E Balans VL '!I11/100/3.6*1000000</f>
        <v>0</v>
      </c>
      <c r="F11" s="33">
        <f>$C$31*('E Balans VL '!L11+'E Balans VL '!N11)/100/3.6*1000000</f>
        <v>303.31531907585793</v>
      </c>
      <c r="G11" s="34"/>
      <c r="H11" s="33"/>
      <c r="I11" s="33"/>
      <c r="J11" s="33">
        <f>$C$31*('E Balans VL '!D11+'E Balans VL '!E11)/100/3.6*1000000</f>
        <v>0</v>
      </c>
      <c r="K11" s="33"/>
      <c r="L11" s="33"/>
      <c r="M11" s="33"/>
      <c r="N11" s="33">
        <f>$C$31*'E Balans VL '!Y11/100/3.6*1000000</f>
        <v>7.305509935178498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79465.193699678755</v>
      </c>
      <c r="C16" s="21">
        <f t="shared" ca="1" si="1"/>
        <v>0</v>
      </c>
      <c r="D16" s="21">
        <f t="shared" ca="1" si="1"/>
        <v>98803.968671198832</v>
      </c>
      <c r="E16" s="21">
        <f t="shared" si="1"/>
        <v>291.49174693686268</v>
      </c>
      <c r="F16" s="21">
        <f t="shared" ca="1" si="1"/>
        <v>13207.227695344811</v>
      </c>
      <c r="G16" s="21">
        <f t="shared" si="1"/>
        <v>0</v>
      </c>
      <c r="H16" s="21">
        <f t="shared" si="1"/>
        <v>0</v>
      </c>
      <c r="I16" s="21">
        <f t="shared" si="1"/>
        <v>0</v>
      </c>
      <c r="J16" s="21">
        <f t="shared" si="1"/>
        <v>0.1113275349289183</v>
      </c>
      <c r="K16" s="21">
        <f t="shared" si="1"/>
        <v>0</v>
      </c>
      <c r="L16" s="21">
        <f t="shared" ca="1" si="1"/>
        <v>0</v>
      </c>
      <c r="M16" s="21">
        <f t="shared" si="1"/>
        <v>0</v>
      </c>
      <c r="N16" s="21">
        <f t="shared" ca="1" si="1"/>
        <v>4093.1455752738634</v>
      </c>
      <c r="O16" s="21">
        <f>O5</f>
        <v>44.075346892570387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0.18305464945281541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14546.473176394771</v>
      </c>
      <c r="C20" s="23">
        <f t="shared" ref="C20:P20" ca="1" si="2">C16*C18</f>
        <v>0</v>
      </c>
      <c r="D20" s="23">
        <f t="shared" ca="1" si="2"/>
        <v>19958.401671582167</v>
      </c>
      <c r="E20" s="23">
        <f t="shared" si="2"/>
        <v>66.168626554667824</v>
      </c>
      <c r="F20" s="23">
        <f t="shared" ca="1" si="2"/>
        <v>3526.3297946570647</v>
      </c>
      <c r="G20" s="23">
        <f t="shared" si="2"/>
        <v>0</v>
      </c>
      <c r="H20" s="23">
        <f t="shared" si="2"/>
        <v>0</v>
      </c>
      <c r="I20" s="23">
        <f t="shared" si="2"/>
        <v>0</v>
      </c>
      <c r="J20" s="23">
        <f t="shared" si="2"/>
        <v>3.9409947364837071E-2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20881.800172806699</v>
      </c>
      <c r="C26" s="39">
        <f>IF(ISERROR(B26*3.6/1000000/'E Balans VL '!Z12*100),0,B26*3.6/1000000/'E Balans VL '!Z12*100)</f>
        <v>0.58892206267974434</v>
      </c>
      <c r="D26" s="237" t="s">
        <v>702</v>
      </c>
      <c r="F26" s="6"/>
    </row>
    <row r="27" spans="1:18">
      <c r="A27" s="231" t="s">
        <v>52</v>
      </c>
      <c r="B27" s="33">
        <f>IF(ISERROR(TER_horeca_ele_kWh/1000),0,TER_horeca_ele_kWh/1000)</f>
        <v>4012.0241200412602</v>
      </c>
      <c r="C27" s="39">
        <f>IF(ISERROR(B27*3.6/1000000/'E Balans VL '!Z9*100),0,B27*3.6/1000000/'E Balans VL '!Z9*100)</f>
        <v>0.29744230207970457</v>
      </c>
      <c r="D27" s="237" t="s">
        <v>702</v>
      </c>
      <c r="F27" s="6"/>
    </row>
    <row r="28" spans="1:18">
      <c r="A28" s="171" t="s">
        <v>51</v>
      </c>
      <c r="B28" s="33">
        <f>IF(ISERROR(TER_handel_ele_kWh/1000),0,TER_handel_ele_kWh/1000)</f>
        <v>35578.354415117399</v>
      </c>
      <c r="C28" s="39">
        <f>IF(ISERROR(B28*3.6/1000000/'E Balans VL '!Z13*100),0,B28*3.6/1000000/'E Balans VL '!Z13*100)</f>
        <v>1.0658429075810338</v>
      </c>
      <c r="D28" s="237" t="s">
        <v>702</v>
      </c>
      <c r="F28" s="6"/>
    </row>
    <row r="29" spans="1:18">
      <c r="A29" s="231" t="s">
        <v>50</v>
      </c>
      <c r="B29" s="33">
        <f>IF(ISERROR(TER_gezond_ele_kWh/1000),0,TER_gezond_ele_kWh/1000)</f>
        <v>5125.8847631250701</v>
      </c>
      <c r="C29" s="39">
        <f>IF(ISERROR(B29*3.6/1000000/'E Balans VL '!Z10*100),0,B29*3.6/1000000/'E Balans VL '!Z10*100)</f>
        <v>0.50684949445866168</v>
      </c>
      <c r="D29" s="237" t="s">
        <v>702</v>
      </c>
      <c r="F29" s="6"/>
    </row>
    <row r="30" spans="1:18">
      <c r="A30" s="231" t="s">
        <v>49</v>
      </c>
      <c r="B30" s="33">
        <f>IF(ISERROR(TER_ander_ele_kWh/1000),0,TER_ander_ele_kWh/1000)</f>
        <v>11272.7382355595</v>
      </c>
      <c r="C30" s="39">
        <f>IF(ISERROR(B30*3.6/1000000/'E Balans VL '!Z14*100),0,B30*3.6/1000000/'E Balans VL '!Z14*100)</f>
        <v>0.45594894851434115</v>
      </c>
      <c r="D30" s="237" t="s">
        <v>702</v>
      </c>
      <c r="F30" s="6"/>
    </row>
    <row r="31" spans="1:18">
      <c r="A31" s="231" t="s">
        <v>54</v>
      </c>
      <c r="B31" s="33">
        <f>IF(ISERROR(TER_onderwijs_ele_kWh/1000),0,TER_onderwijs_ele_kWh/1000)</f>
        <v>2594.3919930288298</v>
      </c>
      <c r="C31" s="39">
        <f>IF(ISERROR(B31*3.6/1000000/'E Balans VL '!Z11*100),0,B31*3.6/1000000/'E Balans VL '!Z11*100)</f>
        <v>0.71279294527457571</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9</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9</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63721.770762835353</v>
      </c>
      <c r="C5" s="17">
        <f>IF(ISERROR('Eigen informatie GS &amp; warmtenet'!B61),0,'Eigen informatie GS &amp; warmtenet'!B61)</f>
        <v>0</v>
      </c>
      <c r="D5" s="30">
        <f>SUM(D6:D15)</f>
        <v>46791.922892385897</v>
      </c>
      <c r="E5" s="17">
        <f>SUM(E6:E15)</f>
        <v>223.68056372147311</v>
      </c>
      <c r="F5" s="17">
        <f>SUM(F6:F15)</f>
        <v>11823.085362130652</v>
      </c>
      <c r="G5" s="18"/>
      <c r="H5" s="17"/>
      <c r="I5" s="17"/>
      <c r="J5" s="17">
        <f>SUM(J6:J15)</f>
        <v>18.391408837299295</v>
      </c>
      <c r="K5" s="17"/>
      <c r="L5" s="17"/>
      <c r="M5" s="17"/>
      <c r="N5" s="17">
        <f>SUM(N6:N15)</f>
        <v>1971.3650530648179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20714.433850305402</v>
      </c>
      <c r="C8" s="33"/>
      <c r="D8" s="37">
        <f>IF( ISERROR(IND_metaal_Gas_kWH/1000),0,IND_metaal_Gas_kWH/1000)*0.903</f>
        <v>12198.299161805193</v>
      </c>
      <c r="E8" s="33">
        <f>C30*'E Balans VL '!I18/100/3.6*1000000</f>
        <v>104.44578971369252</v>
      </c>
      <c r="F8" s="33">
        <f>C30*'E Balans VL '!L18/100/3.6*1000000+C30*'E Balans VL '!N18/100/3.6*1000000</f>
        <v>1415.2524495839948</v>
      </c>
      <c r="G8" s="34"/>
      <c r="H8" s="33"/>
      <c r="I8" s="33"/>
      <c r="J8" s="40">
        <f>C30*'E Balans VL '!D18/100/3.6*1000000+C30*'E Balans VL '!E18/100/3.6*1000000</f>
        <v>18.365112572266046</v>
      </c>
      <c r="K8" s="33"/>
      <c r="L8" s="33"/>
      <c r="M8" s="33"/>
      <c r="N8" s="33">
        <f>C30*'E Balans VL '!Y18/100/3.6*1000000</f>
        <v>275.29494880093176</v>
      </c>
      <c r="O8" s="33"/>
      <c r="P8" s="33"/>
      <c r="R8" s="32"/>
    </row>
    <row r="9" spans="1:18">
      <c r="A9" s="6" t="s">
        <v>32</v>
      </c>
      <c r="B9" s="37">
        <f t="shared" si="0"/>
        <v>16261.762731753301</v>
      </c>
      <c r="C9" s="33"/>
      <c r="D9" s="37">
        <f>IF( ISERROR(IND_andere_gas_kWh/1000),0,IND_andere_gas_kWh/1000)*0.903</f>
        <v>7853.354610697651</v>
      </c>
      <c r="E9" s="33">
        <f>C31*'E Balans VL '!I19/100/3.6*1000000</f>
        <v>51.260919489244039</v>
      </c>
      <c r="F9" s="33">
        <f>C31*'E Balans VL '!L19/100/3.6*1000000+C31*'E Balans VL '!N19/100/3.6*1000000</f>
        <v>9954.7671955936912</v>
      </c>
      <c r="G9" s="34"/>
      <c r="H9" s="33"/>
      <c r="I9" s="33"/>
      <c r="J9" s="40">
        <f>C31*'E Balans VL '!D19/100/3.6*1000000+C31*'E Balans VL '!E19/100/3.6*1000000</f>
        <v>0</v>
      </c>
      <c r="K9" s="33"/>
      <c r="L9" s="33"/>
      <c r="M9" s="33"/>
      <c r="N9" s="33">
        <f>C31*'E Balans VL '!Y19/100/3.6*1000000</f>
        <v>681.87779190313063</v>
      </c>
      <c r="O9" s="33"/>
      <c r="P9" s="33"/>
      <c r="R9" s="32"/>
    </row>
    <row r="10" spans="1:18">
      <c r="A10" s="6" t="s">
        <v>40</v>
      </c>
      <c r="B10" s="37">
        <f t="shared" si="0"/>
        <v>17550.001902330499</v>
      </c>
      <c r="C10" s="33"/>
      <c r="D10" s="37">
        <f>IF( ISERROR(IND_voed_gas_kWh/1000),0,IND_voed_gas_kWh/1000)*0.903</f>
        <v>21674.134086314374</v>
      </c>
      <c r="E10" s="33">
        <f>C32*'E Balans VL '!I20/100/3.6*1000000</f>
        <v>27.96977423352012</v>
      </c>
      <c r="F10" s="33">
        <f>C32*'E Balans VL '!L20/100/3.6*1000000+C32*'E Balans VL '!N20/100/3.6*1000000</f>
        <v>285.14489712553438</v>
      </c>
      <c r="G10" s="34"/>
      <c r="H10" s="33"/>
      <c r="I10" s="33"/>
      <c r="J10" s="40">
        <f>C32*'E Balans VL '!D20/100/3.6*1000000+C32*'E Balans VL '!E20/100/3.6*1000000</f>
        <v>0</v>
      </c>
      <c r="K10" s="33"/>
      <c r="L10" s="33"/>
      <c r="M10" s="33"/>
      <c r="N10" s="33">
        <f>C32*'E Balans VL '!Y20/100/3.6*1000000</f>
        <v>554.31671131231826</v>
      </c>
      <c r="O10" s="33"/>
      <c r="P10" s="33"/>
      <c r="R10" s="32"/>
    </row>
    <row r="11" spans="1:18">
      <c r="A11" s="6" t="s">
        <v>39</v>
      </c>
      <c r="B11" s="37">
        <f t="shared" si="0"/>
        <v>7120.7687121583294</v>
      </c>
      <c r="C11" s="33"/>
      <c r="D11" s="37">
        <f>IF( ISERROR(IND_textiel_gas_kWh/1000),0,IND_textiel_gas_kWh/1000)*0.903</f>
        <v>3959.9500746223844</v>
      </c>
      <c r="E11" s="33">
        <f>C33*'E Balans VL '!I21/100/3.6*1000000</f>
        <v>10.330934232936098</v>
      </c>
      <c r="F11" s="33">
        <f>C33*'E Balans VL '!L21/100/3.6*1000000+C33*'E Balans VL '!N21/100/3.6*1000000</f>
        <v>139.35801891304044</v>
      </c>
      <c r="G11" s="34"/>
      <c r="H11" s="33"/>
      <c r="I11" s="33"/>
      <c r="J11" s="40">
        <f>C33*'E Balans VL '!D21/100/3.6*1000000+C33*'E Balans VL '!E21/100/3.6*1000000</f>
        <v>0</v>
      </c>
      <c r="K11" s="33"/>
      <c r="L11" s="33"/>
      <c r="M11" s="33"/>
      <c r="N11" s="33">
        <f>C33*'E Balans VL '!Y21/100/3.6*1000000</f>
        <v>346.90769076519774</v>
      </c>
      <c r="O11" s="33"/>
      <c r="P11" s="33"/>
      <c r="R11" s="32"/>
    </row>
    <row r="12" spans="1:18">
      <c r="A12" s="6" t="s">
        <v>36</v>
      </c>
      <c r="B12" s="37">
        <f t="shared" si="0"/>
        <v>662.08634821243697</v>
      </c>
      <c r="C12" s="33"/>
      <c r="D12" s="37">
        <f>IF( ISERROR(IND_min_gas_kWh/1000),0,IND_min_gas_kWh/1000)*0.903</f>
        <v>0</v>
      </c>
      <c r="E12" s="33">
        <f>C34*'E Balans VL '!I22/100/3.6*1000000</f>
        <v>2.8650269112685698</v>
      </c>
      <c r="F12" s="33">
        <f>C34*'E Balans VL '!L22/100/3.6*1000000+C34*'E Balans VL '!N22/100/3.6*1000000</f>
        <v>25.279274073569347</v>
      </c>
      <c r="G12" s="34"/>
      <c r="H12" s="33"/>
      <c r="I12" s="33"/>
      <c r="J12" s="40">
        <f>C34*'E Balans VL '!D22/100/3.6*1000000+C34*'E Balans VL '!E22/100/3.6*1000000</f>
        <v>0</v>
      </c>
      <c r="K12" s="33"/>
      <c r="L12" s="33"/>
      <c r="M12" s="33"/>
      <c r="N12" s="33">
        <f>C34*'E Balans VL '!Y22/100/3.6*1000000</f>
        <v>112.93701656590665</v>
      </c>
      <c r="O12" s="33"/>
      <c r="P12" s="33"/>
      <c r="R12" s="32"/>
    </row>
    <row r="13" spans="1:18">
      <c r="A13" s="6" t="s">
        <v>38</v>
      </c>
      <c r="B13" s="37">
        <f t="shared" si="0"/>
        <v>954.32717230083199</v>
      </c>
      <c r="C13" s="33"/>
      <c r="D13" s="37">
        <f>IF( ISERROR(IND_papier_gas_kWh/1000),0,IND_papier_gas_kWh/1000)*0.903</f>
        <v>427.89008869701456</v>
      </c>
      <c r="E13" s="33">
        <f>C35*'E Balans VL '!I23/100/3.6*1000000</f>
        <v>0</v>
      </c>
      <c r="F13" s="33">
        <f>C35*'E Balans VL '!L23/100/3.6*1000000+C35*'E Balans VL '!N23/100/3.6*1000000</f>
        <v>4.1345890610770646E-2</v>
      </c>
      <c r="G13" s="34"/>
      <c r="H13" s="33"/>
      <c r="I13" s="33"/>
      <c r="J13" s="40">
        <f>C35*'E Balans VL '!D23/100/3.6*1000000+C35*'E Balans VL '!E23/100/3.6*1000000</f>
        <v>2.629626503325028E-2</v>
      </c>
      <c r="K13" s="33"/>
      <c r="L13" s="33"/>
      <c r="M13" s="33"/>
      <c r="N13" s="33">
        <f>C35*'E Balans VL '!Y23/100/3.6*1000000</f>
        <v>0</v>
      </c>
      <c r="O13" s="33"/>
      <c r="P13" s="33"/>
      <c r="R13" s="32"/>
    </row>
    <row r="14" spans="1:18">
      <c r="A14" s="6" t="s">
        <v>33</v>
      </c>
      <c r="B14" s="37">
        <f t="shared" si="0"/>
        <v>458.39004577455097</v>
      </c>
      <c r="C14" s="33"/>
      <c r="D14" s="37">
        <f>IF( ISERROR(IND_chemie_gas_kWh/1000),0,IND_chemie_gas_kWh/1000)*0.903</f>
        <v>632.79685667306376</v>
      </c>
      <c r="E14" s="33">
        <f>C36*'E Balans VL '!I24/100/3.6*1000000</f>
        <v>26.808119140811748</v>
      </c>
      <c r="F14" s="33">
        <f>C36*'E Balans VL '!L24/100/3.6*1000000+C36*'E Balans VL '!N24/100/3.6*1000000</f>
        <v>3.2421809502095562</v>
      </c>
      <c r="G14" s="34"/>
      <c r="H14" s="33"/>
      <c r="I14" s="33"/>
      <c r="J14" s="40">
        <f>C36*'E Balans VL '!D24/100/3.6*1000000+C36*'E Balans VL '!E24/100/3.6*1000000</f>
        <v>0</v>
      </c>
      <c r="K14" s="33"/>
      <c r="L14" s="33"/>
      <c r="M14" s="33"/>
      <c r="N14" s="33">
        <f>C36*'E Balans VL '!Y24/100/3.6*1000000</f>
        <v>3.0893717332924477E-2</v>
      </c>
      <c r="O14" s="33"/>
      <c r="P14" s="33"/>
      <c r="R14" s="32"/>
    </row>
    <row r="15" spans="1:18">
      <c r="A15" s="6" t="s">
        <v>269</v>
      </c>
      <c r="B15" s="37">
        <f t="shared" si="0"/>
        <v>0</v>
      </c>
      <c r="C15" s="33"/>
      <c r="D15" s="37">
        <f>IF( ISERROR(IND_rest_gas_kWh/1000),0,IND_rest_gas_kWh/1000)*0.903</f>
        <v>45.498013576218277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63721.770762835353</v>
      </c>
      <c r="C18" s="21">
        <f>C5+C16</f>
        <v>0</v>
      </c>
      <c r="D18" s="21">
        <f>MAX((D5+D16),0)</f>
        <v>46791.922892385897</v>
      </c>
      <c r="E18" s="21">
        <f>MAX((E5+E16),0)</f>
        <v>223.68056372147311</v>
      </c>
      <c r="F18" s="21">
        <f>MAX((F5+F16),0)</f>
        <v>11823.085362130652</v>
      </c>
      <c r="G18" s="21"/>
      <c r="H18" s="21"/>
      <c r="I18" s="21"/>
      <c r="J18" s="21">
        <f>MAX((J5+J16),0)</f>
        <v>18.391408837299295</v>
      </c>
      <c r="K18" s="21"/>
      <c r="L18" s="21">
        <f>MAX((L5+L16),0)</f>
        <v>0</v>
      </c>
      <c r="M18" s="21"/>
      <c r="N18" s="21">
        <f>MAX((N5+N16),0)</f>
        <v>1971.3650530648179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0.18305464945281541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11664.566409503488</v>
      </c>
      <c r="C22" s="23">
        <f ca="1">C18*C20</f>
        <v>0</v>
      </c>
      <c r="D22" s="23">
        <f>D18*D20</f>
        <v>9451.9684242619514</v>
      </c>
      <c r="E22" s="23">
        <f>E18*E20</f>
        <v>50.775487964774399</v>
      </c>
      <c r="F22" s="23">
        <f>F18*F20</f>
        <v>3156.7637916888843</v>
      </c>
      <c r="G22" s="23"/>
      <c r="H22" s="23"/>
      <c r="I22" s="23"/>
      <c r="J22" s="23">
        <f>J18*J20</f>
        <v>6.5105587284039501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20714.433850305402</v>
      </c>
      <c r="C30" s="39">
        <f>IF(ISERROR(B30*3.6/1000000/'E Balans VL '!Z18*100),0,B30*3.6/1000000/'E Balans VL '!Z18*100)</f>
        <v>1.028217811199962</v>
      </c>
      <c r="D30" s="237" t="s">
        <v>702</v>
      </c>
    </row>
    <row r="31" spans="1:18">
      <c r="A31" s="6" t="s">
        <v>32</v>
      </c>
      <c r="B31" s="37">
        <f>IF( ISERROR(IND_ander_ele_kWh/1000),0,IND_ander_ele_kWh/1000)</f>
        <v>16261.762731753301</v>
      </c>
      <c r="C31" s="39">
        <f>IF(ISERROR(B31*3.6/1000000/'E Balans VL '!Z19*100),0,B31*3.6/1000000/'E Balans VL '!Z19*100)</f>
        <v>0.54875116176836447</v>
      </c>
      <c r="D31" s="237" t="s">
        <v>702</v>
      </c>
    </row>
    <row r="32" spans="1:18">
      <c r="A32" s="171" t="s">
        <v>40</v>
      </c>
      <c r="B32" s="37">
        <f>IF( ISERROR(IND_voed_ele_kWh/1000),0,IND_voed_ele_kWh/1000)</f>
        <v>17550.001902330499</v>
      </c>
      <c r="C32" s="39">
        <f>IF(ISERROR(B32*3.6/1000000/'E Balans VL '!Z20*100),0,B32*3.6/1000000/'E Balans VL '!Z20*100)</f>
        <v>0.41214973923394749</v>
      </c>
      <c r="D32" s="237" t="s">
        <v>702</v>
      </c>
    </row>
    <row r="33" spans="1:5">
      <c r="A33" s="171" t="s">
        <v>39</v>
      </c>
      <c r="B33" s="37">
        <f>IF( ISERROR(IND_textiel_ele_kWh/1000),0,IND_textiel_ele_kWh/1000)</f>
        <v>7120.7687121583294</v>
      </c>
      <c r="C33" s="39">
        <f>IF(ISERROR(B33*3.6/1000000/'E Balans VL '!Z21*100),0,B33*3.6/1000000/'E Balans VL '!Z21*100)</f>
        <v>0.78149534016747102</v>
      </c>
      <c r="D33" s="237" t="s">
        <v>702</v>
      </c>
    </row>
    <row r="34" spans="1:5">
      <c r="A34" s="171" t="s">
        <v>36</v>
      </c>
      <c r="B34" s="37">
        <f>IF( ISERROR(IND_min_ele_kWh/1000),0,IND_min_ele_kWh/1000)</f>
        <v>662.08634821243697</v>
      </c>
      <c r="C34" s="39">
        <f>IF(ISERROR(B34*3.6/1000000/'E Balans VL '!Z22*100),0,B34*3.6/1000000/'E Balans VL '!Z22*100)</f>
        <v>9.3930692445814354E-2</v>
      </c>
      <c r="D34" s="237" t="s">
        <v>702</v>
      </c>
    </row>
    <row r="35" spans="1:5">
      <c r="A35" s="171" t="s">
        <v>38</v>
      </c>
      <c r="B35" s="37">
        <f>IF( ISERROR(IND_papier_ele_kWh/1000),0,IND_papier_ele_kWh/1000)</f>
        <v>954.32717230083199</v>
      </c>
      <c r="C35" s="39">
        <f>IF(ISERROR(B35*3.6/1000000/'E Balans VL '!Z22*100),0,B35*3.6/1000000/'E Balans VL '!Z22*100)</f>
        <v>0.13539111983821034</v>
      </c>
      <c r="D35" s="237" t="s">
        <v>702</v>
      </c>
    </row>
    <row r="36" spans="1:5">
      <c r="A36" s="171" t="s">
        <v>33</v>
      </c>
      <c r="B36" s="37">
        <f>IF( ISERROR(IND_chemie_ele_kWh/1000),0,IND_chemie_ele_kWh/1000)</f>
        <v>458.39004577455097</v>
      </c>
      <c r="C36" s="39">
        <f>IF(ISERROR(B36*3.6/1000000/'E Balans VL '!Z24*100),0,B36*3.6/1000000/'E Balans VL '!Z24*100)</f>
        <v>4.185825457227222E-3</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3583.0049755015498</v>
      </c>
      <c r="C5" s="17">
        <f>'Eigen informatie GS &amp; warmtenet'!B62</f>
        <v>0</v>
      </c>
      <c r="D5" s="30">
        <f>IF(ISERROR(SUM(LB_lb_gas_kWh,LB_rest_gas_kWh)/1000),0,SUM(LB_lb_gas_kWh,LB_rest_gas_kWh)/1000)*0.903</f>
        <v>6045.1000356803161</v>
      </c>
      <c r="E5" s="17">
        <f>B17*'E Balans VL '!I25/3.6*1000000/100</f>
        <v>133.62121516685906</v>
      </c>
      <c r="F5" s="17">
        <f>B17*('E Balans VL '!L25/3.6*1000000+'E Balans VL '!N25/3.6*1000000)/100</f>
        <v>11624.652668148809</v>
      </c>
      <c r="G5" s="18"/>
      <c r="H5" s="17"/>
      <c r="I5" s="17"/>
      <c r="J5" s="17">
        <f>('E Balans VL '!D25+'E Balans VL '!E25)/3.6*1000000*landbouw!B17/100</f>
        <v>940.55649503197992</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3583.0049755015498</v>
      </c>
      <c r="C8" s="21">
        <f>C5+C6</f>
        <v>62.357142857142847</v>
      </c>
      <c r="D8" s="21">
        <f>MAX((D5+D6),0)</f>
        <v>6045.1000356803161</v>
      </c>
      <c r="E8" s="21">
        <f>MAX((E5+E6),0)</f>
        <v>133.62121516685906</v>
      </c>
      <c r="F8" s="21">
        <f>MAX((F5+F6),0)</f>
        <v>11624.652668148809</v>
      </c>
      <c r="G8" s="21"/>
      <c r="H8" s="21"/>
      <c r="I8" s="21"/>
      <c r="J8" s="21">
        <f>MAX((J5+J6),0)</f>
        <v>940.55649503197992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0.18305464945281541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655.88571977812967</v>
      </c>
      <c r="C12" s="23">
        <f ca="1">C8*C10</f>
        <v>0</v>
      </c>
      <c r="D12" s="23">
        <f>D8*D10</f>
        <v>1221.1102072074239</v>
      </c>
      <c r="E12" s="23">
        <f>E8*E10</f>
        <v>30.332015842877006</v>
      </c>
      <c r="F12" s="23">
        <f>F8*F10</f>
        <v>3103.7822623957322</v>
      </c>
      <c r="G12" s="23"/>
      <c r="H12" s="23"/>
      <c r="I12" s="23"/>
      <c r="J12" s="23">
        <f>J8*J10</f>
        <v>332.95699924132089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0.49211638346789144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978.79885603125285</v>
      </c>
      <c r="C26" s="247">
        <f>B26*'GWP N2O_CH4'!B5</f>
        <v>20554.77597665631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228.27724650761778</v>
      </c>
      <c r="C27" s="247">
        <f>B27*'GWP N2O_CH4'!B5</f>
        <v>4793.8221766599736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12.175207305823145</v>
      </c>
      <c r="C28" s="247">
        <f>B28*'GWP N2O_CH4'!B4</f>
        <v>3774.3142648051748</v>
      </c>
      <c r="D28" s="50"/>
    </row>
    <row r="29" spans="1:4">
      <c r="A29" s="41" t="s">
        <v>276</v>
      </c>
      <c r="B29" s="247">
        <f>B34*'ha_N2O bodem landbouw'!B4</f>
        <v>22.84659359734118</v>
      </c>
      <c r="C29" s="247">
        <f>B29*'GWP N2O_CH4'!B4</f>
        <v>7082.4440151757653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5.2068039264073799E-3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9.7060328536430847E-4</v>
      </c>
      <c r="C5" s="440" t="s">
        <v>210</v>
      </c>
      <c r="D5" s="425">
        <f>SUM(D6:D11)</f>
        <v>3.9232372730680339E-3</v>
      </c>
      <c r="E5" s="425">
        <f>SUM(E6:E11)</f>
        <v>2.3806335288381018E-3</v>
      </c>
      <c r="F5" s="438" t="s">
        <v>210</v>
      </c>
      <c r="G5" s="425">
        <f>SUM(G6:G11)</f>
        <v>1.3395970226964888</v>
      </c>
      <c r="H5" s="425">
        <f>SUM(H6:H11)</f>
        <v>0.25585858464171279</v>
      </c>
      <c r="I5" s="440" t="s">
        <v>210</v>
      </c>
      <c r="J5" s="440" t="s">
        <v>210</v>
      </c>
      <c r="K5" s="440" t="s">
        <v>210</v>
      </c>
      <c r="L5" s="440" t="s">
        <v>210</v>
      </c>
      <c r="M5" s="425">
        <f>SUM(M6:M11)</f>
        <v>9.3207390671237927E-2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2.3976248633458084E-4</v>
      </c>
      <c r="C6" s="426"/>
      <c r="D6" s="893">
        <f>vkm_GW_PW*SUMIFS(TableVerdeelsleutelVkm[CNG],TableVerdeelsleutelVkm[Voertuigtype],"Lichte voertuigen")*SUMIFS(TableECFTransport[EnergieConsumptieFactor (PJ per km)],TableECFTransport[Index],CONCATENATE($A6,"_CNG_CNG"))</f>
        <v>8.6594893235275203E-4</v>
      </c>
      <c r="E6" s="893">
        <f>vkm_GW_PW*SUMIFS(TableVerdeelsleutelVkm[LPG],TableVerdeelsleutelVkm[Voertuigtype],"Lichte voertuigen")*SUMIFS(TableECFTransport[EnergieConsumptieFactor (PJ per km)],TableECFTransport[Index],CONCATENATE($A6,"_LPG_LPG"))</f>
        <v>4.7062101696926693E-4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0.14645436082365201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5.5427095140630232E-2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1.2098723245061636E-2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8.8835645192122337E-2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9.352210793142834E-7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5.0015859710468942E-3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1.6302331977310899E-4</v>
      </c>
      <c r="C8" s="426"/>
      <c r="D8" s="428">
        <f>vkm_NGW_PW*SUMIFS(TableVerdeelsleutelVkm[CNG],TableVerdeelsleutelVkm[Voertuigtype],"Lichte voertuigen")*SUMIFS(TableECFTransport[EnergieConsumptieFactor (PJ per km)],TableECFTransport[Index],CONCATENATE($A8,"_CNG_CNG"))</f>
        <v>9.9803824878984954E-4</v>
      </c>
      <c r="E8" s="428">
        <f>vkm_NGW_PW*SUMIFS(TableVerdeelsleutelVkm[LPG],TableVerdeelsleutelVkm[Voertuigtype],"Lichte voertuigen")*SUMIFS(TableECFTransport[EnergieConsumptieFactor (PJ per km)],TableECFTransport[Index],CONCATENATE($A8,"_LPG_LPG"))</f>
        <v>5.1543268895676698E-4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0.1492694339357559</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6.2909221359732898E-2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1.2777362022411889E-2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5.0542650576906753E-2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7.7283707952118252E-7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2.8456471308344871E-3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5.6781747925661863E-4</v>
      </c>
      <c r="C10" s="426"/>
      <c r="D10" s="428">
        <f>vkm_SW_PW*SUMIFS(TableVerdeelsleutelVkm[CNG],TableVerdeelsleutelVkm[Voertuigtype],"Lichte voertuigen")*SUMIFS(TableECFTransport[EnergieConsumptieFactor (PJ per km)],TableECFTransport[Index],CONCATENATE($A10,"_CNG_CNG"))</f>
        <v>2.0592500919254324E-3</v>
      </c>
      <c r="E10" s="428">
        <f>vkm_SW_PW*SUMIFS(TableVerdeelsleutelVkm[LPG],TableVerdeelsleutelVkm[Voertuigtype],"Lichte voertuigen")*SUMIFS(TableECFTransport[EnergieConsumptieFactor (PJ per km)],TableECFTransport[Index],CONCATENATE($A10,"_LPG_LPG"))</f>
        <v>1.3945798229120681E-3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0.38565836353690125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0.13751477565023079</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3.1272738404068419E-2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0.51883656863115057</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5.7844329600276702E-6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2.9211333897814603E-2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269.61202371230792</v>
      </c>
      <c r="C14" s="21"/>
      <c r="D14" s="21">
        <f t="shared" ref="D14:M14" si="0">((D5)*10^9/3600)+D12</f>
        <v>1089.7881314077872</v>
      </c>
      <c r="E14" s="21">
        <f t="shared" si="0"/>
        <v>661.28709134391715</v>
      </c>
      <c r="F14" s="21"/>
      <c r="G14" s="21">
        <f t="shared" si="0"/>
        <v>372110.284082358</v>
      </c>
      <c r="H14" s="21">
        <f t="shared" si="0"/>
        <v>71071.829067142447</v>
      </c>
      <c r="I14" s="21"/>
      <c r="J14" s="21"/>
      <c r="K14" s="21"/>
      <c r="L14" s="21"/>
      <c r="M14" s="21">
        <f t="shared" si="0"/>
        <v>25890.941853121647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0.18305464945281541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49.353734488920679</v>
      </c>
      <c r="C18" s="23"/>
      <c r="D18" s="23">
        <f t="shared" ref="D18:M18" si="1">D14*D16</f>
        <v>220.13720254437303</v>
      </c>
      <c r="E18" s="23">
        <f t="shared" si="1"/>
        <v>150.11216973506919</v>
      </c>
      <c r="F18" s="23"/>
      <c r="G18" s="23">
        <f t="shared" si="1"/>
        <v>99353.445849989599</v>
      </c>
      <c r="H18" s="23">
        <f t="shared" si="1"/>
        <v>17696.885437718469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6.7277675863200775E-3</v>
      </c>
      <c r="H50" s="321">
        <f t="shared" si="2"/>
        <v>0</v>
      </c>
      <c r="I50" s="321">
        <f t="shared" si="2"/>
        <v>0</v>
      </c>
      <c r="J50" s="321">
        <f t="shared" si="2"/>
        <v>0</v>
      </c>
      <c r="K50" s="321">
        <f t="shared" si="2"/>
        <v>0</v>
      </c>
      <c r="L50" s="321">
        <f t="shared" si="2"/>
        <v>0</v>
      </c>
      <c r="M50" s="321">
        <f t="shared" si="2"/>
        <v>3.6508698782841676E-4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6.7277675863200775E-3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3.6508698782841676E-4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1868.8243295333548</v>
      </c>
      <c r="H54" s="21">
        <f t="shared" si="3"/>
        <v>0</v>
      </c>
      <c r="I54" s="21">
        <f t="shared" si="3"/>
        <v>0</v>
      </c>
      <c r="J54" s="21">
        <f t="shared" si="3"/>
        <v>0</v>
      </c>
      <c r="K54" s="21">
        <f t="shared" si="3"/>
        <v>0</v>
      </c>
      <c r="L54" s="21">
        <f t="shared" si="3"/>
        <v>0</v>
      </c>
      <c r="M54" s="21">
        <f t="shared" si="3"/>
        <v>101.41305217456021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0.18305464945281541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498.97609598540578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17158.66804079678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20732.081931285029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37934.39997208181</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46014</v>
      </c>
      <c r="C28" s="794">
        <v>9160</v>
      </c>
      <c r="D28" s="643" t="s">
        <v>865</v>
      </c>
      <c r="E28" s="642" t="s">
        <v>866</v>
      </c>
      <c r="F28" s="642" t="s">
        <v>867</v>
      </c>
      <c r="G28" s="642" t="s">
        <v>868</v>
      </c>
      <c r="H28" s="642" t="s">
        <v>869</v>
      </c>
      <c r="I28" s="642" t="s">
        <v>870</v>
      </c>
      <c r="J28" s="793">
        <v>40941</v>
      </c>
      <c r="K28" s="793">
        <v>41214</v>
      </c>
      <c r="L28" s="642" t="s">
        <v>871</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2020-06-20T15:25:42Z</dcterms:modified>
</cp:coreProperties>
</file>