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22" i="59"/>
  <c r="C56" i="22"/>
  <c r="C58" i="22" s="1"/>
  <c r="D49" i="14" s="1"/>
  <c r="D52" i="14" s="1"/>
  <c r="C20" i="16"/>
  <c r="C22" i="16" s="1"/>
  <c r="D43" i="14" s="1"/>
  <c r="C17" i="19"/>
  <c r="C19" i="19" s="1"/>
  <c r="D39" i="14" s="1"/>
  <c r="C17" i="49"/>
  <c r="C18" i="15"/>
  <c r="C20" i="15" s="1"/>
  <c r="D40" i="14" s="1"/>
  <c r="C29" i="20"/>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<sst xmlns="http://schemas.openxmlformats.org/spreadsheetml/2006/main" count="2392" uniqueCount="882">
  <si>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</si>
  <si>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</si>
  <si>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</si>
  <si>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</si>
  <si>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</si>
  <si>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</si>
  <si>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</si>
  <si>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</si>
  <si>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</si>
  <si>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</si>
  <si>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</si>
  <si>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</si>
  <si>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</si>
  <si>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</si>
  <si>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</si>
  <si>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</si>
  <si>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</si>
  <si>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</si>
  <si>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</si>
  <si>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</si>
  <si>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</si>
  <si>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</si>
  <si>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</si>
  <si>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</si>
  <si>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</si>
  <si>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</si>
  <si>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</si>
  <si>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</si>
  <si>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</si>
  <si>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</si>
  <si>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</si>
  <si>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</si>
  <si>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</si>
  <si>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</si>
  <si>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</si>
  <si>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</si>
  <si>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</si>
  <si>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</si>
  <si>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</si>
  <si>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</si>
  <si>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</si>
  <si>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</si>
  <si>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</si>
  <si>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</si>
  <si>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</si>
  <si>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</si>
  <si>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</si>
  <si>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</si>
  <si>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</si>
  <si>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</si>
  <si>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</si>
  <si>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</si>
  <si>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</si>
  <si>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</si>
  <si>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</si>
  <si>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</si>
  <si>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</si>
  <si>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</si>
  <si>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</si>
  <si>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</si>
  <si>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</si>
  <si>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</si>
  <si>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</si>
  <si>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</si>
  <si>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</si>
  <si>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</si>
  <si>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</si>
  <si>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</si>
  <si>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</si>
  <si>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</si>
  <si>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</si>
  <si>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</si>
  <si>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</si>
  <si>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</si>
  <si>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</si>
  <si>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</si>
  <si>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</si>
  <si>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</si>
  <si>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</si>
  <si>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</si>
  <si>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</si>
  <si>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</si>
  <si>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</si>
  <si>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</si>
  <si>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</si>
  <si>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</si>
  <si>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</si>
  <si>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</si>
  <si>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</si>
  <si>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</si>
  <si>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</si>
  <si>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</si>
  <si>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</si>
  <si>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</si>
  <si>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</si>
  <si>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</si>
  <si>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</si>
  <si>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</si>
  <si>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</si>
  <si>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</si>
  <si>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</si>
  <si>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</si>
  <si>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</si>
  <si>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</si>
  <si>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</si>
  <si>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</si>
  <si>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</si>
  <si>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</si>
  <si>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</si>
  <si>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</si>
  <si>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</si>
  <si>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</si>
  <si>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</si>
  <si>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</si>
  <si>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</si>
  <si>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</si>
  <si>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</si>
  <si>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</si>
  <si>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</si>
  <si>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</si>
  <si>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</si>
  <si>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</si>
  <si>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</si>
  <si>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</si>
  <si>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</si>
  <si>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</si>
  <si>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</si>
  <si>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</si>
  <si>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</si>
  <si>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</si>
  <si>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</si>
  <si>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</si>
  <si>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</si>
  <si>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</si>
  <si>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</si>
  <si>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</si>
  <si>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</si>
  <si>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</si>
  <si>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</si>
  <si>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</si>
  <si>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</si>
  <si>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</si>
  <si>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</si>
  <si>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</si>
  <si>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</si>
  <si>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</si>
  <si>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</si>
  <si>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</si>
  <si>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</si>
  <si>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</si>
  <si>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</si>
  <si>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</si>
  <si>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</si>
  <si>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</si>
  <si>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</si>
  <si>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</si>
  <si>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</si>
  <si>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</si>
  <si>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</si>
  <si>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</si>
  <si>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</si>
  <si>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</si>
  <si>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</si>
  <si>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</si>
  <si>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</si>
  <si>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</si>
  <si>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</si>
  <si>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</si>
  <si>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</si>
  <si>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</si>
  <si>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</si>
  <si>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</si>
  <si>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</si>
  <si>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</si>
  <si>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</si>
  <si>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</si>
  <si>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</si>
  <si>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</si>
  <si>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</si>
  <si>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</si>
  <si>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</si>
  <si>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</si>
  <si>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</si>
  <si>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</si>
  <si>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</si>
  <si>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</si>
  <si>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</si>
  <si>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</si>
  <si>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</si>
  <si>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</si>
  <si>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</si>
  <si>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</si>
  <si>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</si>
  <si>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</si>
  <si>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</si>
  <si>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</si>
  <si>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</si>
  <si>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</si>
  <si>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</si>
  <si>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</si>
  <si>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</si>
  <si>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</si>
  <si>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</si>
  <si>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</si>
  <si>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</si>
  <si>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</si>
  <si>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</si>
  <si>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</si>
  <si>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</si>
  <si>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</si>
  <si>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</si>
  <si>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</si>
  <si>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</si>
  <si>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</si>
  <si>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</si>
  <si>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</si>
  <si>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</si>
  <si>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</si>
  <si>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</si>
  <si>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</si>
  <si>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</si>
  <si>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</si>
  <si>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</si>
  <si>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</si>
  <si>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</si>
  <si>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</si>
  <si>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</si>
  <si>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</si>
  <si>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</si>
  <si>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</si>
  <si>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</si>
  <si>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</si>
  <si>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</si>
  <si>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</si>
  <si>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</si>
  <si>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</si>
  <si>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</si>
  <si>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</si>
  <si>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</si>
  <si>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</si>
  <si>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</si>
  <si>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</si>
  <si>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</si>
  <si>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</si>
  <si>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</si>
  <si>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</si>
  <si>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</si>
  <si>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</si>
  <si>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</si>
  <si>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</si>
  <si>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</si>
  <si>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</si>
  <si>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</si>
  <si>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</si>
  <si>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</si>
  <si>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</si>
  <si>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</si>
  <si>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</si>
  <si>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</si>
  <si>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</si>
  <si>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</si>
  <si>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</si>
  <si>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</si>
  <si>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</si>
  <si>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</si>
  <si>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</si>
  <si>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</si>
  <si>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</si>
  <si>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</si>
  <si>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</si>
  <si>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</si>
  <si>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</si>
  <si>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</si>
  <si>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</si>
  <si>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</si>
  <si>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</si>
  <si>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</si>
  <si>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</si>
  <si>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</si>
  <si>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</si>
  <si>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</si>
  <si>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</si>
  <si>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</si>
  <si>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</si>
  <si>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</si>
  <si>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</si>
  <si>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</si>
  <si>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</si>
  <si>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</si>
  <si>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</si>
  <si>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</si>
  <si>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</si>
  <si>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</si>
  <si>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</si>
  <si>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</si>
  <si>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</si>
  <si>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</si>
  <si>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</si>
  <si>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</si>
  <si>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</si>
  <si>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</si>
  <si>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</si>
  <si>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</si>
  <si>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</si>
  <si>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</si>
  <si>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</si>
  <si>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</si>
  <si>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</si>
  <si>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</si>
  <si>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</si>
  <si>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</si>
  <si>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</si>
  <si>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</si>
  <si>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</si>
  <si>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</si>
  <si>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</si>
  <si>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</si>
  <si>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</si>
  <si>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</si>
  <si>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</si>
  <si>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</si>
  <si>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</si>
  <si>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</si>
  <si>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</si>
  <si>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</si>
  <si>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</si>
  <si>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</si>
  <si>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</si>
  <si>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</si>
  <si>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</si>
  <si>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</si>
  <si>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</si>
  <si>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</si>
  <si>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</si>
  <si>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</si>
  <si>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</si>
  <si>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</si>
  <si>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</si>
  <si>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</si>
  <si>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</si>
  <si>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</si>
  <si>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</si>
  <si>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</si>
  <si>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</si>
  <si>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</si>
  <si>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</si>
  <si>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</si>
  <si>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</si>
  <si>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</si>
  <si>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</si>
  <si>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</si>
  <si>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</si>
  <si>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</si>
  <si>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</si>
  <si>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</si>
  <si>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</si>
  <si>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</si>
  <si>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</si>
  <si>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</si>
  <si>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</si>
  <si>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</si>
  <si>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</si>
  <si>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</si>
  <si>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</si>
  <si>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</si>
  <si>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</si>
  <si>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</si>
  <si>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</si>
  <si>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</si>
  <si>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</si>
  <si>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</si>
  <si>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</si>
  <si>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</si>
  <si>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</si>
  <si>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</si>
  <si>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</si>
  <si>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</si>
  <si>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</si>
  <si>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</si>
  <si>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</si>
  <si>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</si>
  <si>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</si>
  <si>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</si>
  <si>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</si>
  <si>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</si>
  <si>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</si>
  <si>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</si>
  <si>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</si>
  <si>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</si>
  <si>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</si>
  <si>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</si>
  <si>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</si>
  <si>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</si>
  <si>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</si>
  <si>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</si>
  <si>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</si>
  <si>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</si>
  <si>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</si>
  <si>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</si>
  <si>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</si>
  <si>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</si>
  <si>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</si>
  <si>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</si>
  <si>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</si>
  <si>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</si>
  <si>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</si>
  <si>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</si>
  <si>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</si>
  <si>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</si>
  <si>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</si>
  <si>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</si>
  <si>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</si>
  <si>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</si>
  <si>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</si>
  <si>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</si>
  <si>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</si>
  <si>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</si>
  <si>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</si>
  <si>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</si>
  <si>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</si>
  <si>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</si>
  <si>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</si>
  <si>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</si>
  <si>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</si>
  <si>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</si>
  <si>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</si>
  <si>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</si>
  <si>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</si>
  <si>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</si>
  <si>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</si>
  <si>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</si>
  <si>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</si>
  <si>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</si>
  <si>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</si>
  <si>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</si>
  <si>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</si>
  <si>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</si>
  <si>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</si>
  <si>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</si>
  <si>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</si>
  <si>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</si>
  <si>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</si>
  <si>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</si>
  <si>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</si>
  <si>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</si>
  <si>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</si>
  <si>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</si>
  <si>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</si>
  <si>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</si>
  <si>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</si>
  <si>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</si>
  <si>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</si>
  <si>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</si>
  <si>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</si>
  <si>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</si>
  <si>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</si>
  <si>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</si>
  <si>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</si>
  <si>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</si>
  <si>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</si>
  <si>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</si>
  <si>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</si>
  <si>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</si>
  <si>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</si>
  <si>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</si>
  <si>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</si>
  <si>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</si>
  <si>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</si>
  <si>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</si>
  <si>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</si>
  <si>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</si>
  <si>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</si>
  <si>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</si>
  <si>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</si>
  <si>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</si>
  <si>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</si>
  <si>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</si>
  <si>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</si>
  <si>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</si>
  <si>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</si>
  <si>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</si>
  <si>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</si>
  <si>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</si>
  <si>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</si>
  <si>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</si>
  <si>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</si>
  <si>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</si>
  <si>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</si>
  <si>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</si>
  <si>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</si>
  <si>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</si>
  <si>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</si>
  <si>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</si>
  <si>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</si>
  <si>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</si>
  <si>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</si>
  <si>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</si>
  <si>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</si>
  <si>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</si>
  <si>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</si>
  <si>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</si>
  <si>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</si>
  <si>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</si>
  <si>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</si>
  <si>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</si>
  <si>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</si>
  <si>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</si>
  <si>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</si>
  <si>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</si>
  <si>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</si>
  <si>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</si>
  <si>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</si>
  <si>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</si>
  <si>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</si>
  <si>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</si>
  <si>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</si>
  <si>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</si>
  <si>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</si>
  <si>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</si>
  <si>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</si>
  <si>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</si>
  <si>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</si>
  <si>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</si>
  <si>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</si>
  <si>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</si>
  <si>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</si>
  <si>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</si>
  <si>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</si>
  <si>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</si>
  <si>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</si>
  <si>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</si>
  <si>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</si>
  <si>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</si>
  <si>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</si>
  <si>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</si>
  <si>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</si>
  <si>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</si>
  <si>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</si>
  <si>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</si>
  <si>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</si>
  <si>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</si>
  <si>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</si>
  <si>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</si>
  <si>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</si>
  <si>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</si>
  <si>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</si>
  <si>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</si>
  <si>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</si>
  <si>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</si>
  <si>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</si>
  <si>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</si>
  <si>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</si>
  <si>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</si>
  <si>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</si>
  <si>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</si>
  <si>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</si>
  <si>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</si>
  <si>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</si>
  <si>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</si>
  <si>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</si>
  <si>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</si>
  <si>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</si>
  <si>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</si>
  <si>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</si>
  <si>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</si>
  <si>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</si>
  <si>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</si>
  <si>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</si>
  <si>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</si>
  <si>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</si>
  <si>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</si>
  <si>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</si>
  <si>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</si>
  <si>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</si>
  <si>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</si>
  <si>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</si>
  <si>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</si>
  <si>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</si>
  <si>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</si>
  <si>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</si>
  <si>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</si>
  <si>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</si>
  <si>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</si>
  <si>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</si>
  <si>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</si>
  <si>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</si>
  <si>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</si>
  <si>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</si>
  <si>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</si>
  <si>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</si>
  <si>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</si>
  <si>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</si>
  <si>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</si>
  <si>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</si>
  <si>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</si>
  <si>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</si>
  <si>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</si>
  <si>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</si>
  <si>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</si>
  <si>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</si>
  <si>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</si>
  <si>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</si>
  <si>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</si>
  <si>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</si>
  <si>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</si>
  <si>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</si>
  <si>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</si>
  <si>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</si>
  <si>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</si>
  <si>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</si>
  <si>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</si>
  <si>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</si>
  <si>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</si>
  <si>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</si>
  <si>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</si>
  <si>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</si>
  <si>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</si>
  <si>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</si>
  <si>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</si>
  <si>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</si>
  <si>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</si>
  <si>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</si>
  <si>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</si>
  <si>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</si>
  <si>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</si>
  <si>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</si>
  <si>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</si>
  <si>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</si>
  <si>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</si>
  <si>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</si>
  <si>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</si>
  <si>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</si>
  <si>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</si>
  <si>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</si>
  <si>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</si>
  <si>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</si>
  <si>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</si>
  <si>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</si>
  <si>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</si>
  <si>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</si>
  <si>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</si>
  <si>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</si>
  <si>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</si>
  <si>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</si>
  <si>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</si>
  <si>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</si>
  <si>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</si>
  <si>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</si>
  <si>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</si>
  <si>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</si>
  <si>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</si>
  <si>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</si>
  <si>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</si>
  <si>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</si>
  <si>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</si>
  <si>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</si>
  <si>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</si>
  <si>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</si>
  <si>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</si>
  <si>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</si>
  <si>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</si>
  <si>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</si>
  <si>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</si>
  <si>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</si>
  <si>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</si>
  <si>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</si>
  <si>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</si>
  <si>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</si>
  <si>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</si>
  <si>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</si>
  <si>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</si>
  <si>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</si>
  <si>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</si>
  <si>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</si>
  <si>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</si>
  <si>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</si>
  <si>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</si>
  <si>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</si>
  <si>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</si>
  <si>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</si>
  <si>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</si>
  <si>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</si>
  <si>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</si>
  <si>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</si>
  <si>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</si>
  <si>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</si>
  <si>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</si>
  <si>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</si>
  <si>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</si>
  <si>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</si>
  <si>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</si>
  <si>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</si>
  <si>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</si>
  <si>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</si>
  <si>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</si>
  <si>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</si>
  <si>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</si>
  <si>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</si>
  <si>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</si>
  <si>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</si>
  <si>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</si>
  <si>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</si>
  <si>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</si>
  <si>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</si>
  <si>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</si>
  <si>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</si>
  <si>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</si>
  <si>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</si>
  <si>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</si>
  <si>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</si>
  <si>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</si>
  <si>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</si>
  <si>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</si>
  <si>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</si>
  <si>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</si>
  <si>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</si>
  <si>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</si>
  <si>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</si>
  <si>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</si>
  <si>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</si>
  <si>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</si>
  <si>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</si>
  <si>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</si>
  <si>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</si>
  <si>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</si>
  <si>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</si>
  <si>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</si>
  <si>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</si>
  <si>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</si>
  <si>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</si>
  <si>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</si>
  <si>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</si>
  <si>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</si>
  <si>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</si>
  <si>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</si>
  <si>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</si>
  <si>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</si>
  <si>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</si>
  <si>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</si>
  <si>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</si>
  <si>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</si>
  <si>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</si>
  <si>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</si>
  <si>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</si>
  <si>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</si>
  <si>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</si>
  <si>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</si>
  <si>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</si>
  <si>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</si>
  <si>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</si>
  <si>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</si>
  <si>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</si>
  <si>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</si>
  <si>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</si>
  <si>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</si>
  <si>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</si>
  <si>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</si>
  <si>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</si>
  <si>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</si>
  <si>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</si>
  <si>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</si>
  <si>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</si>
  <si>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</si>
  <si>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</si>
  <si>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</si>
  <si>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</si>
  <si>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</si>
  <si>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</si>
  <si>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</si>
  <si>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</si>
  <si>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</si>
  <si>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</si>
  <si>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</si>
  <si>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</si>
  <si>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</si>
  <si>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</si>
  <si>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</si>
  <si>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</si>
  <si>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</si>
  <si>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</si>
  <si>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</si>
  <si>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</si>
  <si>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</si>
  <si>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</si>
  <si>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</si>
  <si>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</si>
  <si>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</si>
  <si>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</si>
  <si>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</si>
  <si>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</si>
  <si>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</si>
  <si>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</si>
  <si>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</si>
  <si>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</si>
  <si>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</si>
  <si>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</si>
  <si>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</si>
  <si>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</si>
  <si>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</si>
  <si>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</si>
  <si>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</si>
  <si>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</si>
  <si>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</si>
  <si>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</si>
  <si>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</si>
  <si>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</si>
  <si>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</si>
  <si>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</si>
  <si>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</si>
  <si>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</si>
  <si>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</si>
  <si>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</si>
  <si>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</si>
  <si>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</si>
  <si>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</si>
  <si>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</si>
  <si>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</si>
  <si>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</si>
  <si>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</si>
  <si>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</si>
  <si>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</si>
  <si>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</si>
  <si>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</si>
  <si>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</si>
  <si>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</si>
  <si>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</si>
  <si>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</si>
  <si>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</si>
  <si>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</si>
  <si>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</si>
  <si>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</si>
  <si>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</si>
  <si>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</si>
  <si>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</si>
  <si>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</si>
  <si>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</si>
  <si>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</si>
  <si>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</si>
  <si>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</si>
  <si>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</si>
  <si>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</si>
  <si>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</si>
  <si>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</si>
  <si>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</si>
  <si>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</si>
  <si>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</si>
  <si>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</si>
  <si>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</si>
  <si>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</si>
  <si>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</si>
  <si>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</si>
  <si>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</si>
  <si>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</si>
  <si>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</si>
  <si>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</si>
  <si>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</si>
  <si>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</si>
  <si>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</si>
  <si>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</si>
  <si>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</si>
  <si>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</si>
  <si>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</si>
  <si>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46013</t>
  </si>
  <si>
    <t>KRUIBEKE</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</si>
  <si>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</si>
  <si>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</si>
  <si>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</si>
  <si>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</si>
  <si>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</si>
  <si>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</si>
  <si>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</si>
  <si>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</si>
  <si>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</si>
  <si>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</si>
  <si>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</si>
  <si>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</si>
  <si>
    <t>W.toBuild</t>
  </si>
  <si>
    <t>WKK-0931</t>
  </si>
  <si>
    <t>Brandstofcel</t>
  </si>
  <si>
    <t>brandstofcel</t>
  </si>
  <si>
    <t>Oeverstraat 35</t>
  </si>
  <si>
    <t>INTERGEM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</si>
</sst>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118824.65970845448</c:v>
                </c:pt>
                <c:pt idx="1">
                  <c:v>31912.187941644133</c:v>
                </c:pt>
                <c:pt idx="2">
                  <c:v>1103.3140000000001</c:v>
                </c:pt>
                <c:pt idx="3">
                  <c:v>12354.386828079989</c:v>
                </c:pt>
                <c:pt idx="4">
                  <c:v>12346.460951786328</c:v>
                </c:pt>
                <c:pt idx="5">
                  <c:v>167217.8135752847</c:v>
                </c:pt>
                <c:pt idx="6">
                  <c:v>1389.2018523458955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118824.65970845448</c:v>
                </c:pt>
                <c:pt idx="1">
                  <c:v>31912.187941644133</c:v>
                </c:pt>
                <c:pt idx="2">
                  <c:v>1103.3140000000001</c:v>
                </c:pt>
                <c:pt idx="3">
                  <c:v>12354.386828079989</c:v>
                </c:pt>
                <c:pt idx="4">
                  <c:v>12346.460951786328</c:v>
                </c:pt>
                <c:pt idx="5">
                  <c:v>167217.8135752847</c:v>
                </c:pt>
                <c:pt idx="6">
                  <c:v>1389.2018523458955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18909.497826703842</c:v>
                </c:pt>
                <c:pt idx="1">
                  <c:v>5448.3878787461781</c:v>
                </c:pt>
                <c:pt idx="2">
                  <c:v>141.430846539941</c:v>
                </c:pt>
                <c:pt idx="3">
                  <c:v>2496.281644472027</c:v>
                </c:pt>
                <c:pt idx="4">
                  <c:v>2042.8952223943604</c:v>
                </c:pt>
                <c:pt idx="5">
                  <c:v>41723.791631175445</c:v>
                </c:pt>
                <c:pt idx="6">
                  <c:v>351.82487311166636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18909.497826703842</c:v>
                </c:pt>
                <c:pt idx="1">
                  <c:v>5448.3878787461781</c:v>
                </c:pt>
                <c:pt idx="2">
                  <c:v>141.430846539941</c:v>
                </c:pt>
                <c:pt idx="3">
                  <c:v>2496.281644472027</c:v>
                </c:pt>
                <c:pt idx="4">
                  <c:v>2042.8952223943604</c:v>
                </c:pt>
                <c:pt idx="5">
                  <c:v>41723.791631175445</c:v>
                </c:pt>
                <c:pt idx="6">
                  <c:v>351.82487311166636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46013</v>
      </c>
      <c r="B6" s="392"/>
      <c r="C6" s="393"/>
    </row>
    <row r="7" spans="1:7" s="390" customFormat="1" ht="15.75" customHeight="1">
      <c r="A7" s="394" t="str">
        <f>txtMunicipality</f>
        <v>KRUIBEKE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0.12818730346931245</v>
      </c>
      <c r="C17" s="504">
        <f ca="1">'EF ele_warmte'!B22</f>
        <v>7.9124497542355718E-2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0.12818730346931245</v>
      </c>
      <c r="C29" s="505">
        <f ca="1">'EF ele_warmte'!B22</f>
        <v>7.9124497542355718E-2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6789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1663.41</v>
      </c>
      <c r="C14" s="332"/>
      <c r="D14" s="332"/>
      <c r="E14" s="332"/>
      <c r="F14" s="332"/>
    </row>
    <row r="15" spans="1:6">
      <c r="A15" s="1310" t="s">
        <v>183</v>
      </c>
      <c r="B15" s="1311">
        <v>32</v>
      </c>
      <c r="C15" s="332"/>
      <c r="D15" s="332"/>
      <c r="E15" s="332"/>
      <c r="F15" s="332"/>
    </row>
    <row r="16" spans="1:6">
      <c r="A16" s="1310" t="s">
        <v>6</v>
      </c>
      <c r="B16" s="1311">
        <v>1269</v>
      </c>
      <c r="C16" s="332"/>
      <c r="D16" s="332"/>
      <c r="E16" s="332"/>
      <c r="F16" s="332"/>
    </row>
    <row r="17" spans="1:6">
      <c r="A17" s="1310" t="s">
        <v>7</v>
      </c>
      <c r="B17" s="1311">
        <v>421</v>
      </c>
      <c r="C17" s="332"/>
      <c r="D17" s="332"/>
      <c r="E17" s="332"/>
      <c r="F17" s="332"/>
    </row>
    <row r="18" spans="1:6">
      <c r="A18" s="1310" t="s">
        <v>8</v>
      </c>
      <c r="B18" s="1311">
        <v>917</v>
      </c>
      <c r="C18" s="332"/>
      <c r="D18" s="332"/>
      <c r="E18" s="332"/>
      <c r="F18" s="332"/>
    </row>
    <row r="19" spans="1:6">
      <c r="A19" s="1310" t="s">
        <v>9</v>
      </c>
      <c r="B19" s="1311">
        <v>796</v>
      </c>
      <c r="C19" s="332"/>
      <c r="D19" s="332"/>
      <c r="E19" s="332"/>
      <c r="F19" s="332"/>
    </row>
    <row r="20" spans="1:6">
      <c r="A20" s="1310" t="s">
        <v>10</v>
      </c>
      <c r="B20" s="1311">
        <v>480</v>
      </c>
      <c r="C20" s="332"/>
      <c r="D20" s="332"/>
      <c r="E20" s="332"/>
      <c r="F20" s="332"/>
    </row>
    <row r="21" spans="1:6">
      <c r="A21" s="1310" t="s">
        <v>11</v>
      </c>
      <c r="B21" s="1311">
        <v>4185</v>
      </c>
      <c r="C21" s="332"/>
      <c r="D21" s="332"/>
      <c r="E21" s="332"/>
      <c r="F21" s="332"/>
    </row>
    <row r="22" spans="1:6">
      <c r="A22" s="1310" t="s">
        <v>12</v>
      </c>
      <c r="B22" s="1311">
        <v>20164</v>
      </c>
      <c r="C22" s="332"/>
      <c r="D22" s="332"/>
      <c r="E22" s="332"/>
      <c r="F22" s="332"/>
    </row>
    <row r="23" spans="1:6">
      <c r="A23" s="1310" t="s">
        <v>13</v>
      </c>
      <c r="B23" s="1311">
        <v>249</v>
      </c>
      <c r="C23" s="332"/>
      <c r="D23" s="332"/>
      <c r="E23" s="332"/>
      <c r="F23" s="332"/>
    </row>
    <row r="24" spans="1:6">
      <c r="A24" s="1310" t="s">
        <v>14</v>
      </c>
      <c r="B24" s="1311">
        <v>22</v>
      </c>
      <c r="C24" s="332"/>
      <c r="D24" s="332"/>
      <c r="E24" s="332"/>
      <c r="F24" s="332"/>
    </row>
    <row r="25" spans="1:6">
      <c r="A25" s="1310" t="s">
        <v>15</v>
      </c>
      <c r="B25" s="1311">
        <v>1107</v>
      </c>
      <c r="C25" s="332"/>
      <c r="D25" s="332"/>
      <c r="E25" s="332"/>
      <c r="F25" s="332"/>
    </row>
    <row r="26" spans="1:6">
      <c r="A26" s="1310" t="s">
        <v>16</v>
      </c>
      <c r="B26" s="1311">
        <v>49</v>
      </c>
      <c r="C26" s="332"/>
      <c r="D26" s="332"/>
      <c r="E26" s="332"/>
      <c r="F26" s="332"/>
    </row>
    <row r="27" spans="1:6">
      <c r="A27" s="1310" t="s">
        <v>17</v>
      </c>
      <c r="B27" s="1311">
        <v>806</v>
      </c>
      <c r="C27" s="332"/>
      <c r="D27" s="332"/>
      <c r="E27" s="332"/>
      <c r="F27" s="332"/>
    </row>
    <row r="28" spans="1:6" s="43" customFormat="1">
      <c r="A28" s="1312" t="s">
        <v>18</v>
      </c>
      <c r="B28" s="1313">
        <v>2012</v>
      </c>
      <c r="C28" s="338"/>
      <c r="D28" s="338"/>
      <c r="E28" s="338"/>
      <c r="F28" s="338"/>
    </row>
    <row r="29" spans="1:6">
      <c r="A29" s="1312" t="s">
        <v>699</v>
      </c>
      <c r="B29" s="1313">
        <v>65</v>
      </c>
      <c r="C29" s="338"/>
      <c r="D29" s="338"/>
      <c r="E29" s="338"/>
      <c r="F29" s="338"/>
    </row>
    <row r="30" spans="1:6">
      <c r="A30" s="1305" t="s">
        <v>700</v>
      </c>
      <c r="B30" s="1314">
        <v>23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59843.2432153685</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10490.415235427799</v>
      </c>
    </row>
    <row r="39" spans="1:6">
      <c r="A39" s="1310" t="s">
        <v>29</v>
      </c>
      <c r="B39" s="1310" t="s">
        <v>30</v>
      </c>
      <c r="C39" s="1311">
        <v>5507</v>
      </c>
      <c r="D39" s="1311">
        <v>80759816.4273922</v>
      </c>
      <c r="E39" s="1311">
        <v>6746</v>
      </c>
      <c r="F39" s="1311">
        <v>24377046.789487801</v>
      </c>
    </row>
    <row r="40" spans="1:6">
      <c r="A40" s="1310" t="s">
        <v>29</v>
      </c>
      <c r="B40" s="1310" t="s">
        <v>28</v>
      </c>
      <c r="C40" s="1311">
        <v>0</v>
      </c>
      <c r="D40" s="1311">
        <v>0</v>
      </c>
      <c r="E40" s="1311">
        <v>0</v>
      </c>
      <c r="F40" s="1311">
        <v>0</v>
      </c>
    </row>
    <row r="41" spans="1:6">
      <c r="A41" s="1310" t="s">
        <v>31</v>
      </c>
      <c r="B41" s="1310" t="s">
        <v>32</v>
      </c>
      <c r="C41" s="1311">
        <v>66</v>
      </c>
      <c r="D41" s="1311">
        <v>1822668.03482542</v>
      </c>
      <c r="E41" s="1311">
        <v>134</v>
      </c>
      <c r="F41" s="1311">
        <v>1696480.9528906499</v>
      </c>
    </row>
    <row r="42" spans="1:6">
      <c r="A42" s="1310" t="s">
        <v>31</v>
      </c>
      <c r="B42" s="1310" t="s">
        <v>33</v>
      </c>
      <c r="C42" s="1311">
        <v>0</v>
      </c>
      <c r="D42" s="1311">
        <v>0</v>
      </c>
      <c r="E42" s="1311">
        <v>4</v>
      </c>
      <c r="F42" s="1311">
        <v>865400.42420364695</v>
      </c>
    </row>
    <row r="43" spans="1:6">
      <c r="A43" s="1310" t="s">
        <v>31</v>
      </c>
      <c r="B43" s="1310" t="s">
        <v>34</v>
      </c>
      <c r="C43" s="1311">
        <v>0</v>
      </c>
      <c r="D43" s="1311">
        <v>0</v>
      </c>
      <c r="E43" s="1311">
        <v>0</v>
      </c>
      <c r="F43" s="1311">
        <v>0</v>
      </c>
    </row>
    <row r="44" spans="1:6">
      <c r="A44" s="1310" t="s">
        <v>31</v>
      </c>
      <c r="B44" s="1310" t="s">
        <v>35</v>
      </c>
      <c r="C44" s="1311">
        <v>12</v>
      </c>
      <c r="D44" s="1311">
        <v>722780.52596377302</v>
      </c>
      <c r="E44" s="1311">
        <v>27</v>
      </c>
      <c r="F44" s="1311">
        <v>916978.36608434306</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6</v>
      </c>
      <c r="D47" s="1311">
        <v>147663.946855227</v>
      </c>
      <c r="E47" s="1311">
        <v>6</v>
      </c>
      <c r="F47" s="1311">
        <v>36055.389396412</v>
      </c>
    </row>
    <row r="48" spans="1:6">
      <c r="A48" s="1310" t="s">
        <v>31</v>
      </c>
      <c r="B48" s="1310" t="s">
        <v>28</v>
      </c>
      <c r="C48" s="1311">
        <v>3</v>
      </c>
      <c r="D48" s="1311">
        <v>109945.80729713599</v>
      </c>
      <c r="E48" s="1311">
        <v>3</v>
      </c>
      <c r="F48" s="1311">
        <v>183803.891292524</v>
      </c>
    </row>
    <row r="49" spans="1:6">
      <c r="A49" s="1310" t="s">
        <v>31</v>
      </c>
      <c r="B49" s="1310" t="s">
        <v>39</v>
      </c>
      <c r="C49" s="1311">
        <v>0</v>
      </c>
      <c r="D49" s="1311">
        <v>0</v>
      </c>
      <c r="E49" s="1311">
        <v>3</v>
      </c>
      <c r="F49" s="1311">
        <v>41845.572397637799</v>
      </c>
    </row>
    <row r="50" spans="1:6">
      <c r="A50" s="1310" t="s">
        <v>31</v>
      </c>
      <c r="B50" s="1310" t="s">
        <v>40</v>
      </c>
      <c r="C50" s="1311">
        <v>11</v>
      </c>
      <c r="D50" s="1311">
        <v>1904482.4713548899</v>
      </c>
      <c r="E50" s="1311">
        <v>17</v>
      </c>
      <c r="F50" s="1311">
        <v>2932049.0660080598</v>
      </c>
    </row>
    <row r="51" spans="1:6">
      <c r="A51" s="1310" t="s">
        <v>41</v>
      </c>
      <c r="B51" s="1310" t="s">
        <v>42</v>
      </c>
      <c r="C51" s="1311">
        <v>19</v>
      </c>
      <c r="D51" s="1311">
        <v>325265.785977413</v>
      </c>
      <c r="E51" s="1311">
        <v>96</v>
      </c>
      <c r="F51" s="1311">
        <v>2392656.3801556602</v>
      </c>
    </row>
    <row r="52" spans="1:6">
      <c r="A52" s="1310" t="s">
        <v>41</v>
      </c>
      <c r="B52" s="1310" t="s">
        <v>28</v>
      </c>
      <c r="C52" s="1311">
        <v>0</v>
      </c>
      <c r="D52" s="1311">
        <v>0</v>
      </c>
      <c r="E52" s="1311">
        <v>0</v>
      </c>
      <c r="F52" s="1311">
        <v>0</v>
      </c>
    </row>
    <row r="53" spans="1:6">
      <c r="A53" s="1310" t="s">
        <v>43</v>
      </c>
      <c r="B53" s="1310" t="s">
        <v>44</v>
      </c>
      <c r="C53" s="1311">
        <v>97</v>
      </c>
      <c r="D53" s="1311">
        <v>2959019.67431902</v>
      </c>
      <c r="E53" s="1311">
        <v>262</v>
      </c>
      <c r="F53" s="1311">
        <v>2381564.0713593699</v>
      </c>
    </row>
    <row r="54" spans="1:6">
      <c r="A54" s="1310" t="s">
        <v>45</v>
      </c>
      <c r="B54" s="1310" t="s">
        <v>46</v>
      </c>
      <c r="C54" s="1311">
        <v>0</v>
      </c>
      <c r="D54" s="1311">
        <v>0</v>
      </c>
      <c r="E54" s="1311">
        <v>1</v>
      </c>
      <c r="F54" s="1311">
        <v>1103314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52</v>
      </c>
      <c r="D57" s="1311">
        <v>1633022.80009853</v>
      </c>
      <c r="E57" s="1311">
        <v>89</v>
      </c>
      <c r="F57" s="1311">
        <v>1523743.74933395</v>
      </c>
    </row>
    <row r="58" spans="1:6">
      <c r="A58" s="1310" t="s">
        <v>48</v>
      </c>
      <c r="B58" s="1310" t="s">
        <v>50</v>
      </c>
      <c r="C58" s="1311">
        <v>19</v>
      </c>
      <c r="D58" s="1311">
        <v>474596.81045137497</v>
      </c>
      <c r="E58" s="1311">
        <v>31</v>
      </c>
      <c r="F58" s="1311">
        <v>263573.66412784701</v>
      </c>
    </row>
    <row r="59" spans="1:6">
      <c r="A59" s="1310" t="s">
        <v>48</v>
      </c>
      <c r="B59" s="1310" t="s">
        <v>51</v>
      </c>
      <c r="C59" s="1311">
        <v>98</v>
      </c>
      <c r="D59" s="1311">
        <v>3320598.0882608001</v>
      </c>
      <c r="E59" s="1311">
        <v>175</v>
      </c>
      <c r="F59" s="1311">
        <v>7555296.4825770203</v>
      </c>
    </row>
    <row r="60" spans="1:6">
      <c r="A60" s="1310" t="s">
        <v>48</v>
      </c>
      <c r="B60" s="1310" t="s">
        <v>52</v>
      </c>
      <c r="C60" s="1311">
        <v>47</v>
      </c>
      <c r="D60" s="1311">
        <v>4078913.4386764802</v>
      </c>
      <c r="E60" s="1311">
        <v>59</v>
      </c>
      <c r="F60" s="1311">
        <v>1521132.1017477899</v>
      </c>
    </row>
    <row r="61" spans="1:6">
      <c r="A61" s="1310" t="s">
        <v>48</v>
      </c>
      <c r="B61" s="1310" t="s">
        <v>53</v>
      </c>
      <c r="C61" s="1311">
        <v>173</v>
      </c>
      <c r="D61" s="1311">
        <v>6837197.2459458197</v>
      </c>
      <c r="E61" s="1311">
        <v>278</v>
      </c>
      <c r="F61" s="1311">
        <v>2594151.9713736302</v>
      </c>
    </row>
    <row r="62" spans="1:6">
      <c r="A62" s="1310" t="s">
        <v>48</v>
      </c>
      <c r="B62" s="1310" t="s">
        <v>54</v>
      </c>
      <c r="C62" s="1311">
        <v>4</v>
      </c>
      <c r="D62" s="1311">
        <v>960772.95704743604</v>
      </c>
      <c r="E62" s="1311">
        <v>10</v>
      </c>
      <c r="F62" s="1311">
        <v>149111.59832131999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12847.340636560801</v>
      </c>
      <c r="E65" s="1311">
        <v>0</v>
      </c>
      <c r="F65" s="1311">
        <v>0</v>
      </c>
    </row>
    <row r="66" spans="1:6">
      <c r="A66" s="1310" t="s">
        <v>55</v>
      </c>
      <c r="B66" s="1310" t="s">
        <v>57</v>
      </c>
      <c r="C66" s="1311">
        <v>0</v>
      </c>
      <c r="D66" s="1311">
        <v>0</v>
      </c>
      <c r="E66" s="1311">
        <v>9</v>
      </c>
      <c r="F66" s="1311">
        <v>323854.59247618902</v>
      </c>
    </row>
    <row r="67" spans="1:6">
      <c r="A67" s="1312" t="s">
        <v>55</v>
      </c>
      <c r="B67" s="1312" t="s">
        <v>58</v>
      </c>
      <c r="C67" s="1311">
        <v>0</v>
      </c>
      <c r="D67" s="1311">
        <v>0</v>
      </c>
      <c r="E67" s="1311">
        <v>0</v>
      </c>
      <c r="F67" s="1311">
        <v>0</v>
      </c>
    </row>
    <row r="68" spans="1:6">
      <c r="A68" s="1305" t="s">
        <v>55</v>
      </c>
      <c r="B68" s="1305" t="s">
        <v>59</v>
      </c>
      <c r="C68" s="1314">
        <v>5</v>
      </c>
      <c r="D68" s="1314">
        <v>526561.89022300194</v>
      </c>
      <c r="E68" s="1314">
        <v>8</v>
      </c>
      <c r="F68" s="1314">
        <v>368749.54530440998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31085250</v>
      </c>
      <c r="E73" s="453"/>
      <c r="F73" s="332"/>
    </row>
    <row r="74" spans="1:6">
      <c r="A74" s="1310" t="s">
        <v>63</v>
      </c>
      <c r="B74" s="1310" t="s">
        <v>648</v>
      </c>
      <c r="C74" s="1324" t="s">
        <v>650</v>
      </c>
      <c r="D74" s="1325">
        <v>3368028.5731215039</v>
      </c>
      <c r="E74" s="453"/>
      <c r="F74" s="332"/>
    </row>
    <row r="75" spans="1:6">
      <c r="A75" s="1310" t="s">
        <v>64</v>
      </c>
      <c r="B75" s="1310" t="s">
        <v>647</v>
      </c>
      <c r="C75" s="1324" t="s">
        <v>651</v>
      </c>
      <c r="D75" s="1325">
        <v>18837529</v>
      </c>
      <c r="E75" s="453"/>
      <c r="F75" s="332"/>
    </row>
    <row r="76" spans="1:6">
      <c r="A76" s="1310" t="s">
        <v>64</v>
      </c>
      <c r="B76" s="1310" t="s">
        <v>648</v>
      </c>
      <c r="C76" s="1324" t="s">
        <v>652</v>
      </c>
      <c r="D76" s="1325">
        <v>1675701.5731215039</v>
      </c>
      <c r="E76" s="453"/>
      <c r="F76" s="332"/>
    </row>
    <row r="77" spans="1:6">
      <c r="A77" s="1310" t="s">
        <v>65</v>
      </c>
      <c r="B77" s="1310" t="s">
        <v>647</v>
      </c>
      <c r="C77" s="1324" t="s">
        <v>653</v>
      </c>
      <c r="D77" s="1325">
        <v>85811092</v>
      </c>
      <c r="E77" s="453"/>
      <c r="F77" s="332"/>
    </row>
    <row r="78" spans="1:6">
      <c r="A78" s="1305" t="s">
        <v>65</v>
      </c>
      <c r="B78" s="1305" t="s">
        <v>648</v>
      </c>
      <c r="C78" s="1305" t="s">
        <v>654</v>
      </c>
      <c r="D78" s="1326">
        <v>21926698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385330.85375699197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15480.102688979709</v>
      </c>
      <c r="C90" s="332"/>
      <c r="D90" s="332"/>
      <c r="E90" s="332"/>
      <c r="F90" s="332"/>
    </row>
    <row r="91" spans="1:6">
      <c r="A91" s="1310" t="s">
        <v>67</v>
      </c>
      <c r="B91" s="1311">
        <v>4687.3572899300052</v>
      </c>
      <c r="C91" s="332"/>
      <c r="D91" s="332"/>
      <c r="E91" s="332"/>
      <c r="F91" s="332"/>
    </row>
    <row r="92" spans="1:6">
      <c r="A92" s="1305" t="s">
        <v>68</v>
      </c>
      <c r="B92" s="1306">
        <v>1535.0686358206701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3655</v>
      </c>
      <c r="C97" s="332"/>
      <c r="D97" s="332"/>
      <c r="E97" s="332"/>
      <c r="F97" s="332"/>
    </row>
    <row r="98" spans="1:6">
      <c r="A98" s="1310" t="s">
        <v>71</v>
      </c>
      <c r="B98" s="1311">
        <v>0</v>
      </c>
      <c r="C98" s="332"/>
      <c r="D98" s="332"/>
      <c r="E98" s="332"/>
      <c r="F98" s="332"/>
    </row>
    <row r="99" spans="1:6">
      <c r="A99" s="1310" t="s">
        <v>72</v>
      </c>
      <c r="B99" s="1311">
        <v>30</v>
      </c>
      <c r="C99" s="332"/>
      <c r="D99" s="332"/>
      <c r="E99" s="332"/>
      <c r="F99" s="332"/>
    </row>
    <row r="100" spans="1:6">
      <c r="A100" s="1310" t="s">
        <v>73</v>
      </c>
      <c r="B100" s="1311">
        <v>641</v>
      </c>
      <c r="C100" s="332"/>
      <c r="D100" s="332"/>
      <c r="E100" s="332"/>
      <c r="F100" s="332"/>
    </row>
    <row r="101" spans="1:6">
      <c r="A101" s="1310" t="s">
        <v>74</v>
      </c>
      <c r="B101" s="1311">
        <v>139</v>
      </c>
      <c r="C101" s="332"/>
      <c r="D101" s="332"/>
      <c r="E101" s="332"/>
      <c r="F101" s="332"/>
    </row>
    <row r="102" spans="1:6">
      <c r="A102" s="1310" t="s">
        <v>75</v>
      </c>
      <c r="B102" s="1311">
        <v>145</v>
      </c>
      <c r="C102" s="332"/>
      <c r="D102" s="332"/>
      <c r="E102" s="332"/>
      <c r="F102" s="332"/>
    </row>
    <row r="103" spans="1:6">
      <c r="A103" s="1310" t="s">
        <v>76</v>
      </c>
      <c r="B103" s="1311">
        <v>202</v>
      </c>
      <c r="C103" s="332"/>
      <c r="D103" s="332"/>
      <c r="E103" s="332"/>
      <c r="F103" s="332"/>
    </row>
    <row r="104" spans="1:6">
      <c r="A104" s="1310" t="s">
        <v>77</v>
      </c>
      <c r="B104" s="1311">
        <v>883</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24</v>
      </c>
      <c r="C123" s="1311">
        <v>37</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155</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55321.751779595994</v>
      </c>
      <c r="C3" s="43" t="s">
        <v>169</v>
      </c>
      <c r="D3" s="43"/>
      <c r="E3" s="154"/>
      <c r="F3" s="43"/>
      <c r="G3" s="43"/>
      <c r="H3" s="43"/>
      <c r="I3" s="43"/>
      <c r="J3" s="43"/>
      <c r="K3" s="96"/>
    </row>
    <row r="4" spans="1:11">
      <c r="A4" s="360" t="s">
        <v>170</v>
      </c>
      <c r="B4" s="49">
        <f>IF(ISERROR('SEAP template'!B78+'SEAP template'!C78),0,'SEAP template'!B78+'SEAP template'!C78)</f>
        <v>24087.028614730385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188.67236438974717</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0.12818730346931245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212.46317615079337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2685.1756756756758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7.9124497542355718E-2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1103.3140000000001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1103.3140000000001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0.12818730346931245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141.430846539941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24377.046789487802</v>
      </c>
      <c r="C5" s="17">
        <f>IF(ISERROR('Eigen informatie GS &amp; warmtenet'!B59),0,'Eigen informatie GS &amp; warmtenet'!B59)</f>
        <v>0</v>
      </c>
      <c r="D5" s="30">
        <f>(SUM(HH_hh_gas_kWh,HH_rest_gas_kWh)/1000)*0.903</f>
        <v>72926.114233935165</v>
      </c>
      <c r="E5" s="17">
        <f>B46*B57</f>
        <v>1626.4985395634599</v>
      </c>
      <c r="F5" s="17">
        <f>B51*B62</f>
        <v>0</v>
      </c>
      <c r="G5" s="18"/>
      <c r="H5" s="17"/>
      <c r="I5" s="17"/>
      <c r="J5" s="17">
        <f>B50*B61+C50*C61</f>
        <v>235.93219515531098</v>
      </c>
      <c r="K5" s="17"/>
      <c r="L5" s="17"/>
      <c r="M5" s="17"/>
      <c r="N5" s="17">
        <f>B48*B59+C48*C59</f>
        <v>14125.312514502893</v>
      </c>
      <c r="O5" s="17">
        <f>B69*B70*B71</f>
        <v>382.90393634169709</v>
      </c>
      <c r="P5" s="17">
        <f>B77*B78*B79/1000-B77*B78*B79/1000/B80</f>
        <v>463.49420953814104</v>
      </c>
    </row>
    <row r="6" spans="1:16">
      <c r="A6" s="16" t="s">
        <v>612</v>
      </c>
      <c r="B6" s="786">
        <f>kWh_PV_kleiner_dan_10kW</f>
        <v>4687.3572899300052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29064.404079417807</v>
      </c>
      <c r="C8" s="21">
        <f>C5</f>
        <v>0</v>
      </c>
      <c r="D8" s="21">
        <f>D5</f>
        <v>72926.114233935165</v>
      </c>
      <c r="E8" s="21">
        <f>E5</f>
        <v>1626.4985395634599</v>
      </c>
      <c r="F8" s="21">
        <f>F5</f>
        <v>0</v>
      </c>
      <c r="G8" s="21"/>
      <c r="H8" s="21"/>
      <c r="I8" s="21"/>
      <c r="J8" s="21">
        <f>J5</f>
        <v>235.93219515531098</v>
      </c>
      <c r="K8" s="21"/>
      <c r="L8" s="21">
        <f>L5</f>
        <v>0</v>
      </c>
      <c r="M8" s="21">
        <f>M5</f>
        <v>0</v>
      </c>
      <c r="N8" s="21">
        <f>N5</f>
        <v>14125.312514502893</v>
      </c>
      <c r="O8" s="21">
        <f>O5</f>
        <v>382.90393634169709</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0.12818730346931245</v>
      </c>
      <c r="C10" s="25">
        <f ca="1">'EF ele_warmte'!B22</f>
        <v>7.9124497542355718E-2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3725.6875858830531</v>
      </c>
      <c r="C12" s="23">
        <f ca="1">C10*C8</f>
        <v>0</v>
      </c>
      <c r="D12" s="23">
        <f>D8*D10</f>
        <v>14731.075075254905</v>
      </c>
      <c r="E12" s="23">
        <f>E10*E8</f>
        <v>369.21516848090539</v>
      </c>
      <c r="F12" s="23">
        <f>F10*F8</f>
        <v>0</v>
      </c>
      <c r="G12" s="23"/>
      <c r="H12" s="23"/>
      <c r="I12" s="23"/>
      <c r="J12" s="23">
        <f>J10*J8</f>
        <v>83.519997084980076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6789</v>
      </c>
      <c r="C28" s="36"/>
      <c r="D28" s="228"/>
    </row>
    <row r="29" spans="1:7" s="15" customFormat="1">
      <c r="A29" s="230" t="s">
        <v>839</v>
      </c>
      <c r="B29" s="37">
        <f>SUM(HH_hh_gas_aantal,HH_rest_gas_aantal)</f>
        <v>5507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5507</v>
      </c>
      <c r="C32" s="167">
        <f>IF(ISERROR(B32/SUM($B$32,$B$34,$B$35,$B$36,$B$38,$B$39)*100),0,B32/SUM($B$32,$B$34,$B$35,$B$36,$B$38,$B$39)*100)</f>
        <v>81.645663454410681</v>
      </c>
      <c r="D32" s="233"/>
      <c r="G32" s="15"/>
    </row>
    <row r="33" spans="1:7">
      <c r="A33" s="171" t="s">
        <v>71</v>
      </c>
      <c r="B33" s="34" t="s">
        <v>110</v>
      </c>
      <c r="C33" s="167"/>
      <c r="D33" s="233"/>
      <c r="G33" s="15"/>
    </row>
    <row r="34" spans="1:7">
      <c r="A34" s="171" t="s">
        <v>72</v>
      </c>
      <c r="B34" s="33">
        <f>IF((($B$28-$B$32-$B$39-$B$77-$B$38)*C20/100)&lt;0,0,($B$28-$B$32-$B$39-$B$77-$B$38)*C20/100)</f>
        <v>45.229629629629628</v>
      </c>
      <c r="C34" s="167">
        <f>IF(ISERROR(B34/SUM($B$32,$B$34,$B$35,$B$36,$B$38,$B$39)*100),0,B34/SUM($B$32,$B$34,$B$35,$B$36,$B$38,$B$39)*100)</f>
        <v>0.67056530214424948</v>
      </c>
      <c r="D34" s="233"/>
      <c r="G34" s="15"/>
    </row>
    <row r="35" spans="1:7">
      <c r="A35" s="171" t="s">
        <v>73</v>
      </c>
      <c r="B35" s="33">
        <f>IF((($B$28-$B$32-$B$39-$B$77-$B$38)*C21/100)&lt;0,0,($B$28-$B$32-$B$39-$B$77-$B$38)*C21/100)</f>
        <v>966.40641975308654</v>
      </c>
      <c r="C35" s="167">
        <f>IF(ISERROR(B35/SUM($B$32,$B$34,$B$35,$B$36,$B$38,$B$39)*100),0,B35/SUM($B$32,$B$34,$B$35,$B$36,$B$38,$B$39)*100)</f>
        <v>14.327745289148799</v>
      </c>
      <c r="D35" s="233"/>
      <c r="G35" s="15"/>
    </row>
    <row r="36" spans="1:7">
      <c r="A36" s="171" t="s">
        <v>74</v>
      </c>
      <c r="B36" s="33">
        <f>IF((($B$28-$B$32-$B$39-$B$77-$B$38)*C22/100)&lt;0,0,($B$28-$B$32-$B$39-$B$77-$B$38)*C22/100)</f>
        <v>209.56395061728395</v>
      </c>
      <c r="C36" s="167">
        <f>IF(ISERROR(B36/SUM($B$32,$B$34,$B$35,$B$36,$B$38,$B$39)*100),0,B36/SUM($B$32,$B$34,$B$35,$B$36,$B$38,$B$39)*100)</f>
        <v>3.1069525666016897</v>
      </c>
      <c r="D36" s="233"/>
      <c r="G36" s="15"/>
    </row>
    <row r="37" spans="1:7">
      <c r="A37" s="171" t="s">
        <v>75</v>
      </c>
      <c r="B37" s="34" t="s">
        <v>110</v>
      </c>
      <c r="C37" s="167"/>
      <c r="D37" s="173"/>
      <c r="G37" s="15"/>
    </row>
    <row r="38" spans="1:7">
      <c r="A38" s="171" t="s">
        <v>76</v>
      </c>
      <c r="B38" s="33">
        <f>IF((B24-(B29-B18)*0.1)&lt;0,0,B24-(B29-B18)*0.1)</f>
        <v>16.799999999999983</v>
      </c>
      <c r="C38" s="167">
        <f>IF(ISERROR(B38/SUM($B$32,$B$34,$B$35,$B$36,$B$38,$B$39)*100),0,B38/SUM($B$32,$B$34,$B$35,$B$36,$B$38,$B$39)*100)</f>
        <v>0.24907338769458834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5507</v>
      </c>
      <c r="C44" s="34" t="s">
        <v>110</v>
      </c>
      <c r="D44" s="174"/>
    </row>
    <row r="45" spans="1:7">
      <c r="A45" s="171" t="s">
        <v>71</v>
      </c>
      <c r="B45" s="33" t="str">
        <f t="shared" si="0"/>
        <v>-</v>
      </c>
      <c r="C45" s="34" t="s">
        <v>110</v>
      </c>
      <c r="D45" s="174"/>
    </row>
    <row r="46" spans="1:7">
      <c r="A46" s="171" t="s">
        <v>72</v>
      </c>
      <c r="B46" s="33">
        <f t="shared" si="0"/>
        <v>45.229629629629628</v>
      </c>
      <c r="C46" s="34" t="s">
        <v>110</v>
      </c>
      <c r="D46" s="174"/>
    </row>
    <row r="47" spans="1:7">
      <c r="A47" s="171" t="s">
        <v>73</v>
      </c>
      <c r="B47" s="33">
        <f t="shared" si="0"/>
        <v>966.40641975308654</v>
      </c>
      <c r="C47" s="34" t="s">
        <v>110</v>
      </c>
      <c r="D47" s="174"/>
    </row>
    <row r="48" spans="1:7">
      <c r="A48" s="171" t="s">
        <v>74</v>
      </c>
      <c r="B48" s="33">
        <f t="shared" si="0"/>
        <v>209.56395061728395</v>
      </c>
      <c r="C48" s="33">
        <f>B48*10</f>
        <v>2095.6395061728394</v>
      </c>
      <c r="D48" s="234"/>
    </row>
    <row r="49" spans="1:6">
      <c r="A49" s="171" t="s">
        <v>75</v>
      </c>
      <c r="B49" s="33" t="str">
        <f t="shared" si="0"/>
        <v>-</v>
      </c>
      <c r="C49" s="34" t="s">
        <v>110</v>
      </c>
      <c r="D49" s="234"/>
    </row>
    <row r="50" spans="1:6">
      <c r="A50" s="171" t="s">
        <v>76</v>
      </c>
      <c r="B50" s="33">
        <f t="shared" si="0"/>
        <v>16.799999999999983</v>
      </c>
      <c r="C50" s="33">
        <f>B50*2</f>
        <v>33.599999999999966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13607.009567481558</v>
      </c>
      <c r="C5" s="17">
        <f>IF(ISERROR('Eigen informatie GS &amp; warmtenet'!B60),0,'Eigen informatie GS &amp; warmtenet'!B60)</f>
        <v>0</v>
      </c>
      <c r="D5" s="30">
        <f>SUM(D6:D12)</f>
        <v>15626.506510453839</v>
      </c>
      <c r="E5" s="17">
        <f>SUM(E6:E12)</f>
        <v>48.997608740277713</v>
      </c>
      <c r="F5" s="17">
        <f>SUM(F6:F12)</f>
        <v>2018.9043778474013</v>
      </c>
      <c r="G5" s="18"/>
      <c r="H5" s="17"/>
      <c r="I5" s="17"/>
      <c r="J5" s="17">
        <f>SUM(J6:J12)</f>
        <v>1.5048219157754332E-2</v>
      </c>
      <c r="K5" s="17"/>
      <c r="L5" s="17"/>
      <c r="M5" s="17"/>
      <c r="N5" s="17">
        <f>SUM(N6:N12)</f>
        <v>550.71846636101907</v>
      </c>
      <c r="O5" s="17">
        <f>B38*B39*B40</f>
        <v>9.7945215316823084</v>
      </c>
      <c r="P5" s="17">
        <f>B46*B47*B48/1000-B46*B47*B48/1000/B49</f>
        <v>52.539138306495019</v>
      </c>
      <c r="R5" s="32"/>
    </row>
    <row r="6" spans="1:18">
      <c r="A6" s="32" t="s">
        <v>53</v>
      </c>
      <c r="B6" s="37">
        <f>B26</f>
        <v>2594.1519713736302</v>
      </c>
      <c r="C6" s="33"/>
      <c r="D6" s="37">
        <f>IF(ISERROR(TER_kantoor_gas_kWh/1000),0,TER_kantoor_gas_kWh/1000)*0.903</f>
        <v>6173.9891130890746</v>
      </c>
      <c r="E6" s="33">
        <f>$C$26*'E Balans VL '!I12/100/3.6*1000000</f>
        <v>0.62149715033703978</v>
      </c>
      <c r="F6" s="33">
        <f>$C$26*('E Balans VL '!L12+'E Balans VL '!N12)/100/3.6*1000000</f>
        <v>246.00038453247501</v>
      </c>
      <c r="G6" s="34"/>
      <c r="H6" s="33"/>
      <c r="I6" s="33"/>
      <c r="J6" s="33">
        <f>$C$26*('E Balans VL '!D12+'E Balans VL '!E12)/100/3.6*1000000</f>
        <v>0</v>
      </c>
      <c r="K6" s="33"/>
      <c r="L6" s="33"/>
      <c r="M6" s="33"/>
      <c r="N6" s="33">
        <f>$C$26*'E Balans VL '!Y12/100/3.6*1000000</f>
        <v>1.3176950223303119</v>
      </c>
      <c r="O6" s="33"/>
      <c r="P6" s="33"/>
      <c r="R6" s="32"/>
    </row>
    <row r="7" spans="1:18">
      <c r="A7" s="32" t="s">
        <v>52</v>
      </c>
      <c r="B7" s="37">
        <f t="shared" ref="B7:B12" si="0">B27</f>
        <v>1521.1321017477899</v>
      </c>
      <c r="C7" s="33"/>
      <c r="D7" s="37">
        <f>IF(ISERROR(TER_horeca_gas_kWh/1000),0,TER_horeca_gas_kWh/1000)*0.903</f>
        <v>3683.2588351248619</v>
      </c>
      <c r="E7" s="33">
        <f>$C$27*'E Balans VL '!I9/100/3.6*1000000</f>
        <v>0</v>
      </c>
      <c r="F7" s="33">
        <f>$C$27*('E Balans VL '!L9+'E Balans VL '!N9)/100/3.6*1000000</f>
        <v>124.7292566343658</v>
      </c>
      <c r="G7" s="34"/>
      <c r="H7" s="33"/>
      <c r="I7" s="33"/>
      <c r="J7" s="33">
        <f>$C$27*('E Balans VL '!D9+'E Balans VL '!E9)/100/3.6*1000000</f>
        <v>0</v>
      </c>
      <c r="K7" s="33"/>
      <c r="L7" s="33"/>
      <c r="M7" s="33"/>
      <c r="N7" s="33">
        <f>$C$27*'E Balans VL '!Y9/100/3.6*1000000</f>
        <v>0.46628810379178692</v>
      </c>
      <c r="O7" s="33"/>
      <c r="P7" s="33"/>
      <c r="R7" s="32"/>
    </row>
    <row r="8" spans="1:18">
      <c r="A8" s="6" t="s">
        <v>51</v>
      </c>
      <c r="B8" s="37">
        <f t="shared" si="0"/>
        <v>7555.2964825770205</v>
      </c>
      <c r="C8" s="33"/>
      <c r="D8" s="37">
        <f>IF(ISERROR(TER_handel_gas_kWh/1000),0,TER_handel_gas_kWh/1000)*0.903</f>
        <v>2998.5000736995025</v>
      </c>
      <c r="E8" s="33">
        <f>$C$28*'E Balans VL '!I13/100/3.6*1000000</f>
        <v>26.552737765526544</v>
      </c>
      <c r="F8" s="33">
        <f>$C$28*('E Balans VL '!L13+'E Balans VL '!N13)/100/3.6*1000000</f>
        <v>691.29606010957093</v>
      </c>
      <c r="G8" s="34"/>
      <c r="H8" s="33"/>
      <c r="I8" s="33"/>
      <c r="J8" s="33">
        <f>$C$28*('E Balans VL '!D13+'E Balans VL '!E13)/100/3.6*1000000</f>
        <v>0</v>
      </c>
      <c r="K8" s="33"/>
      <c r="L8" s="33"/>
      <c r="M8" s="33"/>
      <c r="N8" s="33">
        <f>$C$28*'E Balans VL '!Y13/100/3.6*1000000</f>
        <v>2.7362031183027966</v>
      </c>
      <c r="O8" s="33"/>
      <c r="P8" s="33"/>
      <c r="R8" s="32"/>
    </row>
    <row r="9" spans="1:18">
      <c r="A9" s="32" t="s">
        <v>50</v>
      </c>
      <c r="B9" s="37">
        <f t="shared" si="0"/>
        <v>263.573664127847</v>
      </c>
      <c r="C9" s="33"/>
      <c r="D9" s="37">
        <f>IF(ISERROR(TER_gezond_gas_kWh/1000),0,TER_gezond_gas_kWh/1000)*0.903</f>
        <v>428.5609198375916</v>
      </c>
      <c r="E9" s="33">
        <f>$C$29*'E Balans VL '!I10/100/3.6*1000000</f>
        <v>0</v>
      </c>
      <c r="F9" s="33">
        <f>$C$29*('E Balans VL '!L10+'E Balans VL '!N10)/100/3.6*1000000</f>
        <v>32.309291232511761</v>
      </c>
      <c r="G9" s="34"/>
      <c r="H9" s="33"/>
      <c r="I9" s="33"/>
      <c r="J9" s="33">
        <f>$C$29*('E Balans VL '!D10+'E Balans VL '!E10)/100/3.6*1000000</f>
        <v>0</v>
      </c>
      <c r="K9" s="33"/>
      <c r="L9" s="33"/>
      <c r="M9" s="33"/>
      <c r="N9" s="33">
        <f>$C$29*'E Balans VL '!Y10/100/3.6*1000000</f>
        <v>1.9436721003605593</v>
      </c>
      <c r="O9" s="33"/>
      <c r="P9" s="33"/>
      <c r="R9" s="32"/>
    </row>
    <row r="10" spans="1:18">
      <c r="A10" s="32" t="s">
        <v>49</v>
      </c>
      <c r="B10" s="37">
        <f t="shared" si="0"/>
        <v>1523.7437493339501</v>
      </c>
      <c r="C10" s="33"/>
      <c r="D10" s="37">
        <f>IF(ISERROR(TER_ander_gas_kWh/1000),0,TER_ander_gas_kWh/1000)*0.903</f>
        <v>1474.6195884889728</v>
      </c>
      <c r="E10" s="33">
        <f>$C$30*'E Balans VL '!I14/100/3.6*1000000</f>
        <v>21.823373824414126</v>
      </c>
      <c r="F10" s="33">
        <f>$C$30*('E Balans VL '!L14+'E Balans VL '!N14)/100/3.6*1000000</f>
        <v>907.13646381225112</v>
      </c>
      <c r="G10" s="34"/>
      <c r="H10" s="33"/>
      <c r="I10" s="33"/>
      <c r="J10" s="33">
        <f>$C$30*('E Balans VL '!D14+'E Balans VL '!E14)/100/3.6*1000000</f>
        <v>1.5048219157754332E-2</v>
      </c>
      <c r="K10" s="33"/>
      <c r="L10" s="33"/>
      <c r="M10" s="33"/>
      <c r="N10" s="33">
        <f>$C$30*'E Balans VL '!Y14/100/3.6*1000000</f>
        <v>543.83472687802714</v>
      </c>
      <c r="O10" s="33"/>
      <c r="P10" s="33"/>
      <c r="R10" s="32"/>
    </row>
    <row r="11" spans="1:18">
      <c r="A11" s="32" t="s">
        <v>54</v>
      </c>
      <c r="B11" s="37">
        <f t="shared" si="0"/>
        <v>149.11159832132</v>
      </c>
      <c r="C11" s="33"/>
      <c r="D11" s="37">
        <f>IF(ISERROR(TER_onderwijs_gas_kWh/1000),0,TER_onderwijs_gas_kWh/1000)*0.903</f>
        <v>867.57798021383485</v>
      </c>
      <c r="E11" s="33">
        <f>$C$31*'E Balans VL '!I11/100/3.6*1000000</f>
        <v>0</v>
      </c>
      <c r="F11" s="33">
        <f>$C$31*('E Balans VL '!L11+'E Balans VL '!N11)/100/3.6*1000000</f>
        <v>17.43292152622665</v>
      </c>
      <c r="G11" s="34"/>
      <c r="H11" s="33"/>
      <c r="I11" s="33"/>
      <c r="J11" s="33">
        <f>$C$31*('E Balans VL '!D11+'E Balans VL '!E11)/100/3.6*1000000</f>
        <v>0</v>
      </c>
      <c r="K11" s="33"/>
      <c r="L11" s="33"/>
      <c r="M11" s="33"/>
      <c r="N11" s="33">
        <f>$C$31*'E Balans VL '!Y11/100/3.6*1000000</f>
        <v>0.41988113820648981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8.5</v>
      </c>
      <c r="C13" s="247">
        <f ca="1">'lokale energieproductie'!O40+'lokale energieproductie'!O33</f>
        <v>12.175675675675675</v>
      </c>
      <c r="D13" s="310">
        <f ca="1">('lokale energieproductie'!P33+'lokale energieproductie'!P40)*(-1)</f>
        <v>-22.972972972972972</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13615.509567481558</v>
      </c>
      <c r="C16" s="21">
        <f t="shared" ca="1" si="1"/>
        <v>12.175675675675675</v>
      </c>
      <c r="D16" s="21">
        <f t="shared" ca="1" si="1"/>
        <v>15603.533537480866</v>
      </c>
      <c r="E16" s="21">
        <f t="shared" si="1"/>
        <v>48.997608740277713</v>
      </c>
      <c r="F16" s="21">
        <f t="shared" ca="1" si="1"/>
        <v>2018.9043778474013</v>
      </c>
      <c r="G16" s="21">
        <f t="shared" si="1"/>
        <v>0</v>
      </c>
      <c r="H16" s="21">
        <f t="shared" si="1"/>
        <v>0</v>
      </c>
      <c r="I16" s="21">
        <f t="shared" si="1"/>
        <v>0</v>
      </c>
      <c r="J16" s="21">
        <f t="shared" si="1"/>
        <v>1.5048219157754332E-2</v>
      </c>
      <c r="K16" s="21">
        <f t="shared" si="1"/>
        <v>0</v>
      </c>
      <c r="L16" s="21">
        <f t="shared" ca="1" si="1"/>
        <v>0</v>
      </c>
      <c r="M16" s="21">
        <f t="shared" si="1"/>
        <v>0</v>
      </c>
      <c r="N16" s="21">
        <f t="shared" ca="1" si="1"/>
        <v>550.71846636101907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0.12818730346931245</v>
      </c>
      <c r="C18" s="25">
        <f ca="1">'EF ele_warmte'!B22</f>
        <v>7.9124497542355718E-2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1745.3354568160858</v>
      </c>
      <c r="C20" s="23">
        <f t="shared" ref="C20:P20" ca="1" si="2">C16*C18</f>
        <v>0.96339422007652031</v>
      </c>
      <c r="D20" s="23">
        <f t="shared" ca="1" si="2"/>
        <v>3151.913774571135</v>
      </c>
      <c r="E20" s="23">
        <f t="shared" si="2"/>
        <v>11.122457184043041</v>
      </c>
      <c r="F20" s="23">
        <f t="shared" ca="1" si="2"/>
        <v>539.04746888525619</v>
      </c>
      <c r="G20" s="23">
        <f t="shared" si="2"/>
        <v>0</v>
      </c>
      <c r="H20" s="23">
        <f t="shared" si="2"/>
        <v>0</v>
      </c>
      <c r="I20" s="23">
        <f t="shared" si="2"/>
        <v>0</v>
      </c>
      <c r="J20" s="23">
        <f t="shared" si="2"/>
        <v>5.3270695818450333E-3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2594.1519713736302</v>
      </c>
      <c r="C26" s="39">
        <f>IF(ISERROR(B26*3.6/1000000/'E Balans VL '!Z12*100),0,B26*3.6/1000000/'E Balans VL '!Z12*100)</f>
        <v>7.3161955254968797E-2</v>
      </c>
      <c r="D26" s="237" t="s">
        <v>702</v>
      </c>
      <c r="F26" s="6"/>
    </row>
    <row r="27" spans="1:18">
      <c r="A27" s="231" t="s">
        <v>52</v>
      </c>
      <c r="B27" s="33">
        <f>IF(ISERROR(TER_horeca_ele_kWh/1000),0,TER_horeca_ele_kWh/1000)</f>
        <v>1521.1321017477899</v>
      </c>
      <c r="C27" s="39">
        <f>IF(ISERROR(B27*3.6/1000000/'E Balans VL '!Z9*100),0,B27*3.6/1000000/'E Balans VL '!Z9*100)</f>
        <v>0.112773258727704</v>
      </c>
      <c r="D27" s="237" t="s">
        <v>702</v>
      </c>
      <c r="F27" s="6"/>
    </row>
    <row r="28" spans="1:18">
      <c r="A28" s="171" t="s">
        <v>51</v>
      </c>
      <c r="B28" s="33">
        <f>IF(ISERROR(TER_handel_ele_kWh/1000),0,TER_handel_ele_kWh/1000)</f>
        <v>7555.2964825770205</v>
      </c>
      <c r="C28" s="39">
        <f>IF(ISERROR(B28*3.6/1000000/'E Balans VL '!Z13*100),0,B28*3.6/1000000/'E Balans VL '!Z13*100)</f>
        <v>0.22633871922994273</v>
      </c>
      <c r="D28" s="237" t="s">
        <v>702</v>
      </c>
      <c r="F28" s="6"/>
    </row>
    <row r="29" spans="1:18">
      <c r="A29" s="231" t="s">
        <v>50</v>
      </c>
      <c r="B29" s="33">
        <f>IF(ISERROR(TER_gezond_ele_kWh/1000),0,TER_gezond_ele_kWh/1000)</f>
        <v>263.573664127847</v>
      </c>
      <c r="C29" s="39">
        <f>IF(ISERROR(B29*3.6/1000000/'E Balans VL '!Z10*100),0,B29*3.6/1000000/'E Balans VL '!Z10*100)</f>
        <v>2.6062267216161512E-2</v>
      </c>
      <c r="D29" s="237" t="s">
        <v>702</v>
      </c>
      <c r="F29" s="6"/>
    </row>
    <row r="30" spans="1:18">
      <c r="A30" s="231" t="s">
        <v>49</v>
      </c>
      <c r="B30" s="33">
        <f>IF(ISERROR(TER_ander_ele_kWh/1000),0,TER_ander_ele_kWh/1000)</f>
        <v>1523.7437493339501</v>
      </c>
      <c r="C30" s="39">
        <f>IF(ISERROR(B30*3.6/1000000/'E Balans VL '!Z14*100),0,B30*3.6/1000000/'E Balans VL '!Z14*100)</f>
        <v>6.1630931704113302E-2</v>
      </c>
      <c r="D30" s="237" t="s">
        <v>702</v>
      </c>
      <c r="F30" s="6"/>
    </row>
    <row r="31" spans="1:18">
      <c r="A31" s="231" t="s">
        <v>54</v>
      </c>
      <c r="B31" s="33">
        <f>IF(ISERROR(TER_onderwijs_ele_kWh/1000),0,TER_onderwijs_ele_kWh/1000)</f>
        <v>149.11159832132</v>
      </c>
      <c r="C31" s="39">
        <f>IF(ISERROR(B31*3.6/1000000/'E Balans VL '!Z11*100),0,B31*3.6/1000000/'E Balans VL '!Z11*100)</f>
        <v>4.0967477400348298E-2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6672.6136622732738</v>
      </c>
      <c r="C5" s="17">
        <f>IF(ISERROR('Eigen informatie GS &amp; warmtenet'!B61),0,'Eigen informatie GS &amp; warmtenet'!B61)</f>
        <v>0</v>
      </c>
      <c r="D5" s="30">
        <f>SUM(D6:D15)</f>
        <v>4250.9093300256909</v>
      </c>
      <c r="E5" s="17">
        <f>SUM(E6:E15)</f>
        <v>69.949159062866229</v>
      </c>
      <c r="F5" s="17">
        <f>SUM(F6:F15)</f>
        <v>1170.6657019630238</v>
      </c>
      <c r="G5" s="18"/>
      <c r="H5" s="17"/>
      <c r="I5" s="17"/>
      <c r="J5" s="17">
        <f>SUM(J6:J15)</f>
        <v>1.1892196001936628</v>
      </c>
      <c r="K5" s="17"/>
      <c r="L5" s="17"/>
      <c r="M5" s="17"/>
      <c r="N5" s="17">
        <f>SUM(N6:N15)</f>
        <v>181.13387886128149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916.97836608434307</v>
      </c>
      <c r="C8" s="33"/>
      <c r="D8" s="37">
        <f>IF( ISERROR(IND_metaal_Gas_kWH/1000),0,IND_metaal_Gas_kWH/1000)*0.903</f>
        <v>652.67081494528702</v>
      </c>
      <c r="E8" s="33">
        <f>C30*'E Balans VL '!I18/100/3.6*1000000</f>
        <v>4.6235649155643523</v>
      </c>
      <c r="F8" s="33">
        <f>C30*'E Balans VL '!L18/100/3.6*1000000+C30*'E Balans VL '!N18/100/3.6*1000000</f>
        <v>62.649835771266432</v>
      </c>
      <c r="G8" s="34"/>
      <c r="H8" s="33"/>
      <c r="I8" s="33"/>
      <c r="J8" s="40">
        <f>C30*'E Balans VL '!D18/100/3.6*1000000+C30*'E Balans VL '!E18/100/3.6*1000000</f>
        <v>0.81297954079605506</v>
      </c>
      <c r="K8" s="33"/>
      <c r="L8" s="33"/>
      <c r="M8" s="33"/>
      <c r="N8" s="33">
        <f>C30*'E Balans VL '!Y18/100/3.6*1000000</f>
        <v>12.186647927094059</v>
      </c>
      <c r="O8" s="33"/>
      <c r="P8" s="33"/>
      <c r="R8" s="32"/>
    </row>
    <row r="9" spans="1:18">
      <c r="A9" s="6" t="s">
        <v>32</v>
      </c>
      <c r="B9" s="37">
        <f t="shared" si="0"/>
        <v>1696.4809528906499</v>
      </c>
      <c r="C9" s="33"/>
      <c r="D9" s="37">
        <f>IF( ISERROR(IND_andere_gas_kWh/1000),0,IND_andere_gas_kWh/1000)*0.903</f>
        <v>1645.8692354473542</v>
      </c>
      <c r="E9" s="33">
        <f>C31*'E Balans VL '!I19/100/3.6*1000000</f>
        <v>5.3477089154274902</v>
      </c>
      <c r="F9" s="33">
        <f>C31*'E Balans VL '!L19/100/3.6*1000000+C31*'E Balans VL '!N19/100/3.6*1000000</f>
        <v>1038.5142875568533</v>
      </c>
      <c r="G9" s="34"/>
      <c r="H9" s="33"/>
      <c r="I9" s="33"/>
      <c r="J9" s="40">
        <f>C31*'E Balans VL '!D19/100/3.6*1000000+C31*'E Balans VL '!E19/100/3.6*1000000</f>
        <v>0</v>
      </c>
      <c r="K9" s="33"/>
      <c r="L9" s="33"/>
      <c r="M9" s="33"/>
      <c r="N9" s="33">
        <f>C31*'E Balans VL '!Y19/100/3.6*1000000</f>
        <v>71.135749871937364</v>
      </c>
      <c r="O9" s="33"/>
      <c r="P9" s="33"/>
      <c r="R9" s="32"/>
    </row>
    <row r="10" spans="1:18">
      <c r="A10" s="6" t="s">
        <v>40</v>
      </c>
      <c r="B10" s="37">
        <f t="shared" si="0"/>
        <v>2932.04906600806</v>
      </c>
      <c r="C10" s="33"/>
      <c r="D10" s="37">
        <f>IF( ISERROR(IND_voed_gas_kWh/1000),0,IND_voed_gas_kWh/1000)*0.903</f>
        <v>1719.7476716334656</v>
      </c>
      <c r="E10" s="33">
        <f>C32*'E Balans VL '!I20/100/3.6*1000000</f>
        <v>4.672862765157813</v>
      </c>
      <c r="F10" s="33">
        <f>C32*'E Balans VL '!L20/100/3.6*1000000+C32*'E Balans VL '!N20/100/3.6*1000000</f>
        <v>47.638674568056075</v>
      </c>
      <c r="G10" s="34"/>
      <c r="H10" s="33"/>
      <c r="I10" s="33"/>
      <c r="J10" s="40">
        <f>C32*'E Balans VL '!D20/100/3.6*1000000+C32*'E Balans VL '!E20/100/3.6*1000000</f>
        <v>0</v>
      </c>
      <c r="K10" s="33"/>
      <c r="L10" s="33"/>
      <c r="M10" s="33"/>
      <c r="N10" s="33">
        <f>C32*'E Balans VL '!Y20/100/3.6*1000000</f>
        <v>92.608753248061902</v>
      </c>
      <c r="O10" s="33"/>
      <c r="P10" s="33"/>
      <c r="R10" s="32"/>
    </row>
    <row r="11" spans="1:18">
      <c r="A11" s="6" t="s">
        <v>39</v>
      </c>
      <c r="B11" s="37">
        <f t="shared" si="0"/>
        <v>41.845572397637802</v>
      </c>
      <c r="C11" s="33"/>
      <c r="D11" s="37">
        <f>IF( ISERROR(IND_textiel_gas_kWh/1000),0,IND_textiel_gas_kWh/1000)*0.903</f>
        <v>0</v>
      </c>
      <c r="E11" s="33">
        <f>C33*'E Balans VL '!I21/100/3.6*1000000</f>
        <v>6.0710279164302383E-2</v>
      </c>
      <c r="F11" s="33">
        <f>C33*'E Balans VL '!L21/100/3.6*1000000+C33*'E Balans VL '!N21/100/3.6*1000000</f>
        <v>0.81894473832017789</v>
      </c>
      <c r="G11" s="34"/>
      <c r="H11" s="33"/>
      <c r="I11" s="33"/>
      <c r="J11" s="40">
        <f>C33*'E Balans VL '!D21/100/3.6*1000000+C33*'E Balans VL '!E21/100/3.6*1000000</f>
        <v>0</v>
      </c>
      <c r="K11" s="33"/>
      <c r="L11" s="33"/>
      <c r="M11" s="33"/>
      <c r="N11" s="33">
        <f>C33*'E Balans VL '!Y21/100/3.6*1000000</f>
        <v>2.0386213168848188</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36.055389396411996</v>
      </c>
      <c r="C13" s="33"/>
      <c r="D13" s="37">
        <f>IF( ISERROR(IND_papier_gas_kWh/1000),0,IND_papier_gas_kWh/1000)*0.903</f>
        <v>133.34054401026998</v>
      </c>
      <c r="E13" s="33">
        <f>C35*'E Balans VL '!I23/100/3.6*1000000</f>
        <v>0</v>
      </c>
      <c r="F13" s="33">
        <f>C35*'E Balans VL '!L23/100/3.6*1000000+C35*'E Balans VL '!N23/100/3.6*1000000</f>
        <v>1.5620871218815769E-3</v>
      </c>
      <c r="G13" s="34"/>
      <c r="H13" s="33"/>
      <c r="I13" s="33"/>
      <c r="J13" s="40">
        <f>C35*'E Balans VL '!D23/100/3.6*1000000+C35*'E Balans VL '!E23/100/3.6*1000000</f>
        <v>9.934979354713539E-4</v>
      </c>
      <c r="K13" s="33"/>
      <c r="L13" s="33"/>
      <c r="M13" s="33"/>
      <c r="N13" s="33">
        <f>C35*'E Balans VL '!Y23/100/3.6*1000000</f>
        <v>0</v>
      </c>
      <c r="O13" s="33"/>
      <c r="P13" s="33"/>
      <c r="R13" s="32"/>
    </row>
    <row r="14" spans="1:18">
      <c r="A14" s="6" t="s">
        <v>33</v>
      </c>
      <c r="B14" s="37">
        <f t="shared" si="0"/>
        <v>865.40042420364693</v>
      </c>
      <c r="C14" s="33"/>
      <c r="D14" s="37">
        <f>IF( ISERROR(IND_chemie_gas_kWh/1000),0,IND_chemie_gas_kWh/1000)*0.903</f>
        <v>0</v>
      </c>
      <c r="E14" s="33">
        <f>C36*'E Balans VL '!I24/100/3.6*1000000</f>
        <v>50.611390649548866</v>
      </c>
      <c r="F14" s="33">
        <f>C36*'E Balans VL '!L24/100/3.6*1000000+C36*'E Balans VL '!N24/100/3.6*1000000</f>
        <v>6.1209548407957701</v>
      </c>
      <c r="G14" s="34"/>
      <c r="H14" s="33"/>
      <c r="I14" s="33"/>
      <c r="J14" s="40">
        <f>C36*'E Balans VL '!D24/100/3.6*1000000+C36*'E Balans VL '!E24/100/3.6*1000000</f>
        <v>0</v>
      </c>
      <c r="K14" s="33"/>
      <c r="L14" s="33"/>
      <c r="M14" s="33"/>
      <c r="N14" s="33">
        <f>C36*'E Balans VL '!Y24/100/3.6*1000000</f>
        <v>5.8324643677558463E-2</v>
      </c>
      <c r="O14" s="33"/>
      <c r="P14" s="33"/>
      <c r="R14" s="32"/>
    </row>
    <row r="15" spans="1:18">
      <c r="A15" s="6" t="s">
        <v>269</v>
      </c>
      <c r="B15" s="37">
        <f t="shared" si="0"/>
        <v>183.80389129252401</v>
      </c>
      <c r="C15" s="33"/>
      <c r="D15" s="37">
        <f>IF( ISERROR(IND_rest_gas_kWh/1000),0,IND_rest_gas_kWh/1000)*0.903</f>
        <v>99.281063989313807</v>
      </c>
      <c r="E15" s="33">
        <f>C37*'E Balans VL '!I15/100/3.6*1000000</f>
        <v>4.6329215380033979</v>
      </c>
      <c r="F15" s="33">
        <f>C37*'E Balans VL '!L15/100/3.6*1000000+C37*'E Balans VL '!N15/100/3.6*1000000</f>
        <v>14.921442400610314</v>
      </c>
      <c r="G15" s="34"/>
      <c r="H15" s="33"/>
      <c r="I15" s="33"/>
      <c r="J15" s="40">
        <f>C37*'E Balans VL '!D15/100/3.6*1000000+C37*'E Balans VL '!E15/100/3.6*1000000</f>
        <v>0.37524656146213647</v>
      </c>
      <c r="K15" s="33"/>
      <c r="L15" s="33"/>
      <c r="M15" s="33"/>
      <c r="N15" s="33">
        <f>C37*'E Balans VL '!Y15/100/3.6*1000000</f>
        <v>3.1057818536257913</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6672.6136622732738</v>
      </c>
      <c r="C18" s="21">
        <f>C5+C16</f>
        <v>0</v>
      </c>
      <c r="D18" s="21">
        <f>MAX((D5+D16),0)</f>
        <v>4250.9093300256909</v>
      </c>
      <c r="E18" s="21">
        <f>MAX((E5+E16),0)</f>
        <v>69.949159062866229</v>
      </c>
      <c r="F18" s="21">
        <f>MAX((F5+F16),0)</f>
        <v>1170.6657019630238</v>
      </c>
      <c r="G18" s="21"/>
      <c r="H18" s="21"/>
      <c r="I18" s="21"/>
      <c r="J18" s="21">
        <f>MAX((J5+J16),0)</f>
        <v>1.1892196001936628</v>
      </c>
      <c r="K18" s="21"/>
      <c r="L18" s="21">
        <f>MAX((L5+L16),0)</f>
        <v>0</v>
      </c>
      <c r="M18" s="21"/>
      <c r="N18" s="21">
        <f>MAX((N5+N16),0)</f>
        <v>181.13387886128149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0.12818730346931245</v>
      </c>
      <c r="C20" s="25">
        <f ca="1">'EF ele_warmte'!B22</f>
        <v>7.9124497542355718E-2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855.34435245930445</v>
      </c>
      <c r="C22" s="23">
        <f ca="1">C18*C20</f>
        <v>0</v>
      </c>
      <c r="D22" s="23">
        <f>D18*D20</f>
        <v>858.68368466518962</v>
      </c>
      <c r="E22" s="23">
        <f>E18*E20</f>
        <v>15.878459107270634</v>
      </c>
      <c r="F22" s="23">
        <f>F18*F20</f>
        <v>312.5677424241274</v>
      </c>
      <c r="G22" s="23"/>
      <c r="H22" s="23"/>
      <c r="I22" s="23"/>
      <c r="J22" s="23">
        <f>J18*J20</f>
        <v>0.42098373846855663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916.97836608434307</v>
      </c>
      <c r="C30" s="39">
        <f>IF(ISERROR(B30*3.6/1000000/'E Balans VL '!Z18*100),0,B30*3.6/1000000/'E Balans VL '!Z18*100)</f>
        <v>4.5516739453589264E-2</v>
      </c>
      <c r="D30" s="237" t="s">
        <v>702</v>
      </c>
    </row>
    <row r="31" spans="1:18">
      <c r="A31" s="6" t="s">
        <v>32</v>
      </c>
      <c r="B31" s="37">
        <f>IF( ISERROR(IND_ander_ele_kWh/1000),0,IND_ander_ele_kWh/1000)</f>
        <v>1696.4809528906499</v>
      </c>
      <c r="C31" s="39">
        <f>IF(ISERROR(B31*3.6/1000000/'E Balans VL '!Z19*100),0,B31*3.6/1000000/'E Balans VL '!Z19*100)</f>
        <v>5.7247538853758322E-2</v>
      </c>
      <c r="D31" s="237" t="s">
        <v>702</v>
      </c>
    </row>
    <row r="32" spans="1:18">
      <c r="A32" s="171" t="s">
        <v>40</v>
      </c>
      <c r="B32" s="37">
        <f>IF( ISERROR(IND_voed_ele_kWh/1000),0,IND_voed_ele_kWh/1000)</f>
        <v>2932.04906600806</v>
      </c>
      <c r="C32" s="39">
        <f>IF(ISERROR(B32*3.6/1000000/'E Balans VL '!Z20*100),0,B32*3.6/1000000/'E Balans VL '!Z20*100)</f>
        <v>6.885715823289397E-2</v>
      </c>
      <c r="D32" s="237" t="s">
        <v>702</v>
      </c>
    </row>
    <row r="33" spans="1:5">
      <c r="A33" s="171" t="s">
        <v>39</v>
      </c>
      <c r="B33" s="37">
        <f>IF( ISERROR(IND_textiel_ele_kWh/1000),0,IND_textiel_ele_kWh/1000)</f>
        <v>41.845572397637802</v>
      </c>
      <c r="C33" s="39">
        <f>IF(ISERROR(B33*3.6/1000000/'E Balans VL '!Z21*100),0,B33*3.6/1000000/'E Balans VL '!Z21*100)</f>
        <v>4.5924985289239042E-3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36.055389396411996</v>
      </c>
      <c r="C35" s="39">
        <f>IF(ISERROR(B35*3.6/1000000/'E Balans VL '!Z22*100),0,B35*3.6/1000000/'E Balans VL '!Z22*100)</f>
        <v>5.1152054434473737E-3</v>
      </c>
      <c r="D35" s="237" t="s">
        <v>702</v>
      </c>
    </row>
    <row r="36" spans="1:5">
      <c r="A36" s="171" t="s">
        <v>33</v>
      </c>
      <c r="B36" s="37">
        <f>IF( ISERROR(IND_chemie_ele_kWh/1000),0,IND_chemie_ele_kWh/1000)</f>
        <v>865.40042420364693</v>
      </c>
      <c r="C36" s="39">
        <f>IF(ISERROR(B36*3.6/1000000/'E Balans VL '!Z24*100),0,B36*3.6/1000000/'E Balans VL '!Z24*100)</f>
        <v>7.9024733624090664E-3</v>
      </c>
      <c r="D36" s="237" t="s">
        <v>702</v>
      </c>
    </row>
    <row r="37" spans="1:5">
      <c r="A37" s="171" t="s">
        <v>269</v>
      </c>
      <c r="B37" s="37">
        <f>IF( ISERROR(IND_rest_ele_kWh/1000),0,IND_rest_ele_kWh/1000)</f>
        <v>183.80389129252401</v>
      </c>
      <c r="C37" s="39">
        <f>IF(ISERROR(B37*3.6/1000000/'E Balans VL '!Z15*100),0,B37*3.6/1000000/'E Balans VL '!Z15*100)</f>
        <v>6.8881045018665639E-4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2392.6563801556604</v>
      </c>
      <c r="C5" s="17">
        <f>'Eigen informatie GS &amp; warmtenet'!B62</f>
        <v>0</v>
      </c>
      <c r="D5" s="30">
        <f>IF(ISERROR(SUM(LB_lb_gas_kWh,LB_rest_gas_kWh)/1000),0,SUM(LB_lb_gas_kWh,LB_rest_gas_kWh)/1000)*0.903</f>
        <v>293.71500473760398</v>
      </c>
      <c r="E5" s="17">
        <f>B17*'E Balans VL '!I25/3.6*1000000/100</f>
        <v>89.229475029792454</v>
      </c>
      <c r="F5" s="17">
        <f>B17*('E Balans VL '!L25/3.6*1000000+'E Balans VL '!N25/3.6*1000000)/100</f>
        <v>7762.7018560437209</v>
      </c>
      <c r="G5" s="18"/>
      <c r="H5" s="17"/>
      <c r="I5" s="17"/>
      <c r="J5" s="17">
        <f>('E Balans VL '!D25+'E Balans VL '!E25)/3.6*1000000*landbouw!B17/100</f>
        <v>628.0841121132122</v>
      </c>
      <c r="K5" s="17"/>
      <c r="L5" s="17">
        <f>L6*(-1)</f>
        <v>4455</v>
      </c>
      <c r="M5" s="17"/>
      <c r="N5" s="17">
        <f>N6*(-1)</f>
        <v>0</v>
      </c>
      <c r="O5" s="17"/>
      <c r="P5" s="17"/>
      <c r="R5" s="32"/>
    </row>
    <row r="6" spans="1:18">
      <c r="A6" s="16" t="s">
        <v>479</v>
      </c>
      <c r="B6" s="17" t="s">
        <v>210</v>
      </c>
      <c r="C6" s="17">
        <f>'lokale energieproductie'!O41+'lokale energieproductie'!O34</f>
        <v>2673</v>
      </c>
      <c r="D6" s="310">
        <f>('lokale energieproductie'!P34+'lokale energieproductie'!P41)*(-1)</f>
        <v>0</v>
      </c>
      <c r="E6" s="248"/>
      <c r="F6" s="310">
        <f>('lokale energieproductie'!S34+'lokale energieproductie'!S41)*(-1)</f>
        <v>-1485</v>
      </c>
      <c r="G6" s="249"/>
      <c r="H6" s="248"/>
      <c r="I6" s="248"/>
      <c r="J6" s="248"/>
      <c r="K6" s="248"/>
      <c r="L6" s="310">
        <f>('lokale energieproductie'!T34+'lokale energieproductie'!U34+'lokale energieproductie'!T41+'lokale energieproductie'!U41)*(-1)</f>
        <v>-4455</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2392.6563801556604</v>
      </c>
      <c r="C8" s="21">
        <f>C5+C6</f>
        <v>2673</v>
      </c>
      <c r="D8" s="21">
        <f>MAX((D5+D6),0)</f>
        <v>293.71500473760398</v>
      </c>
      <c r="E8" s="21">
        <f>MAX((E5+E6),0)</f>
        <v>89.229475029792454</v>
      </c>
      <c r="F8" s="21">
        <f>MAX((F5+F6),0)</f>
        <v>6277.7018560437209</v>
      </c>
      <c r="G8" s="21"/>
      <c r="H8" s="21"/>
      <c r="I8" s="21"/>
      <c r="J8" s="21">
        <f>MAX((J5+J6),0)</f>
        <v>628.0841121132122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0.12818730346931245</v>
      </c>
      <c r="C10" s="31">
        <f ca="1">'EF ele_warmte'!B22</f>
        <v>7.9124497542355718E-2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306.70816950080024</v>
      </c>
      <c r="C12" s="23">
        <f ca="1">C8*C10</f>
        <v>211.49978193071684</v>
      </c>
      <c r="D12" s="23">
        <f>D8*D10</f>
        <v>59.330430956996004</v>
      </c>
      <c r="E12" s="23">
        <f>E8*E10</f>
        <v>20.255090831762889</v>
      </c>
      <c r="F12" s="23">
        <f>F8*F10</f>
        <v>1676.1463955636737</v>
      </c>
      <c r="G12" s="23"/>
      <c r="H12" s="23"/>
      <c r="I12" s="23"/>
      <c r="J12" s="23">
        <f>J8*J10</f>
        <v>222.34177568807712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0.32862511013364087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372.86452178212755</v>
      </c>
      <c r="C26" s="247">
        <f>B26*'GWP N2O_CH4'!B5</f>
        <v>7830.1549574246783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177.13662636813294</v>
      </c>
      <c r="C27" s="247">
        <f>B27*'GWP N2O_CH4'!B5</f>
        <v>3719.8691537307918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4.428317198702433</v>
      </c>
      <c r="C28" s="247">
        <f>B28*'GWP N2O_CH4'!B4</f>
        <v>1372.7783315977542</v>
      </c>
      <c r="D28" s="50"/>
    </row>
    <row r="29" spans="1:4">
      <c r="A29" s="41" t="s">
        <v>276</v>
      </c>
      <c r="B29" s="247">
        <f>B34*'ha_N2O bodem landbouw'!B4</f>
        <v>10.798341816623843</v>
      </c>
      <c r="C29" s="247">
        <f>B29*'GWP N2O_CH4'!B4</f>
        <v>3347.4859631533914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2.4609729380413769E-3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3.3008406806997893E-4</v>
      </c>
      <c r="C5" s="440" t="s">
        <v>210</v>
      </c>
      <c r="D5" s="425">
        <f>SUM(D6:D11)</f>
        <v>1.310274246634028E-3</v>
      </c>
      <c r="E5" s="425">
        <f>SUM(E6:E11)</f>
        <v>8.0574403841100902E-4</v>
      </c>
      <c r="F5" s="438" t="s">
        <v>210</v>
      </c>
      <c r="G5" s="425">
        <f>SUM(G6:G11)</f>
        <v>0.48081595573841662</v>
      </c>
      <c r="H5" s="425">
        <f>SUM(H6:H11)</f>
        <v>8.569436871056603E-2</v>
      </c>
      <c r="I5" s="440" t="s">
        <v>210</v>
      </c>
      <c r="J5" s="440" t="s">
        <v>210</v>
      </c>
      <c r="K5" s="440" t="s">
        <v>210</v>
      </c>
      <c r="L5" s="440" t="s">
        <v>210</v>
      </c>
      <c r="M5" s="425">
        <f>SUM(M6:M11)</f>
        <v>3.3027702068927189E-2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7.5594585945112493E-5</v>
      </c>
      <c r="C6" s="426"/>
      <c r="D6" s="893">
        <f>vkm_GW_PW*SUMIFS(TableVerdeelsleutelVkm[CNG],TableVerdeelsleutelVkm[Voertuigtype],"Lichte voertuigen")*SUMIFS(TableECFTransport[EnergieConsumptieFactor (PJ per km)],TableECFTransport[Index],CONCATENATE($A6,"_CNG_CNG"))</f>
        <v>2.7302457524347543E-4</v>
      </c>
      <c r="E6" s="893">
        <f>vkm_GW_PW*SUMIFS(TableVerdeelsleutelVkm[LPG],TableVerdeelsleutelVkm[Voertuigtype],"Lichte voertuigen")*SUMIFS(TableECFTransport[EnergieConsumptieFactor (PJ per km)],TableECFTransport[Index],CONCATENATE($A6,"_LPG_LPG"))</f>
        <v>1.4838184846487526E-4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4.617551701090819E-2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1.7475579150648721E-2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3.8145999741537981E-3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3.2174118102798833E-2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3.387144134880784E-7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1.8114532447616489E-3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4.5809996862951047E-5</v>
      </c>
      <c r="C8" s="426"/>
      <c r="D8" s="428">
        <f>vkm_NGW_PW*SUMIFS(TableVerdeelsleutelVkm[CNG],TableVerdeelsleutelVkm[Voertuigtype],"Lichte voertuigen")*SUMIFS(TableECFTransport[EnergieConsumptieFactor (PJ per km)],TableECFTransport[Index],CONCATENATE($A8,"_CNG_CNG"))</f>
        <v>2.8045146614484411E-4</v>
      </c>
      <c r="E8" s="428">
        <f>vkm_NGW_PW*SUMIFS(TableVerdeelsleutelVkm[LPG],TableVerdeelsleutelVkm[Voertuigtype],"Lichte voertuigen")*SUMIFS(TableECFTransport[EnergieConsumptieFactor (PJ per km)],TableECFTransport[Index],CONCATENATE($A8,"_LPG_LPG"))</f>
        <v>1.4483798941792103E-4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4.1945117482875618E-2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1.7677662540248596E-2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3.5904735284382908E-3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1.9295540671950492E-2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2.9504406932520355E-7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1.0863755526134597E-3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2.0867948526191539E-4</v>
      </c>
      <c r="C10" s="426"/>
      <c r="D10" s="428">
        <f>vkm_SW_PW*SUMIFS(TableVerdeelsleutelVkm[CNG],TableVerdeelsleutelVkm[Voertuigtype],"Lichte voertuigen")*SUMIFS(TableECFTransport[EnergieConsumptieFactor (PJ per km)],TableECFTransport[Index],CONCATENATE($A10,"_CNG_CNG"))</f>
        <v>7.5679820524570838E-4</v>
      </c>
      <c r="E10" s="428">
        <f>vkm_SW_PW*SUMIFS(TableVerdeelsleutelVkm[LPG],TableVerdeelsleutelVkm[Voertuigtype],"Lichte voertuigen")*SUMIFS(TableECFTransport[EnergieConsumptieFactor (PJ per km)],TableECFTransport[Index],CONCATENATE($A10,"_LPG_LPG"))</f>
        <v>5.1252420052821273E-4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0.14173390522460763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5.0538269156784582E-2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1.1493092747752821E-2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0.19949175724527587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2.2241044013298382E-6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1.123170702120717E-2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91.690018908327474</v>
      </c>
      <c r="C14" s="21"/>
      <c r="D14" s="21">
        <f t="shared" ref="D14:M14" si="0">((D5)*10^9/3600)+D12</f>
        <v>363.96506850945218</v>
      </c>
      <c r="E14" s="21">
        <f t="shared" si="0"/>
        <v>223.81778844750249</v>
      </c>
      <c r="F14" s="21"/>
      <c r="G14" s="21">
        <f t="shared" si="0"/>
        <v>133559.98770511572</v>
      </c>
      <c r="H14" s="21">
        <f t="shared" si="0"/>
        <v>23803.991308490564</v>
      </c>
      <c r="I14" s="21"/>
      <c r="J14" s="21"/>
      <c r="K14" s="21"/>
      <c r="L14" s="21"/>
      <c r="M14" s="21">
        <f t="shared" si="0"/>
        <v>9174.3616858131081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0.12818730346931245</v>
      </c>
      <c r="C16" s="56">
        <f ca="1">'EF ele_warmte'!B22</f>
        <v>7.9124497542355718E-2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11.75349627890877</v>
      </c>
      <c r="C18" s="23"/>
      <c r="D18" s="23">
        <f t="shared" ref="D18:M18" si="1">D14*D16</f>
        <v>73.520943838909346</v>
      </c>
      <c r="E18" s="23">
        <f t="shared" si="1"/>
        <v>50.806637977583065</v>
      </c>
      <c r="F18" s="23"/>
      <c r="G18" s="23">
        <f t="shared" si="1"/>
        <v>35660.516717265898</v>
      </c>
      <c r="H18" s="23">
        <f t="shared" si="1"/>
        <v>5927.1938358141506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4.7437061543146031E-3</v>
      </c>
      <c r="H50" s="321">
        <f t="shared" si="2"/>
        <v>0</v>
      </c>
      <c r="I50" s="321">
        <f t="shared" si="2"/>
        <v>0</v>
      </c>
      <c r="J50" s="321">
        <f t="shared" si="2"/>
        <v>0</v>
      </c>
      <c r="K50" s="321">
        <f t="shared" si="2"/>
        <v>0</v>
      </c>
      <c r="L50" s="321">
        <f t="shared" si="2"/>
        <v>0</v>
      </c>
      <c r="M50" s="321">
        <f t="shared" si="2"/>
        <v>2.574205141306209E-4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4.7437061543146031E-3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2.574205141306209E-4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1317.6961539762785</v>
      </c>
      <c r="H54" s="21">
        <f t="shared" si="3"/>
        <v>0</v>
      </c>
      <c r="I54" s="21">
        <f t="shared" si="3"/>
        <v>0</v>
      </c>
      <c r="J54" s="21">
        <f t="shared" si="3"/>
        <v>0</v>
      </c>
      <c r="K54" s="21">
        <f t="shared" si="3"/>
        <v>0</v>
      </c>
      <c r="L54" s="21">
        <f t="shared" si="3"/>
        <v>0</v>
      </c>
      <c r="M54" s="21">
        <f t="shared" si="3"/>
        <v>71.505698369616923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0.12818730346931245</v>
      </c>
      <c r="C56" s="56">
        <f ca="1">'EF ele_warmte'!B22</f>
        <v>7.9124497542355718E-2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351.82487311166636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14718.823567481559</v>
      </c>
      <c r="D10" s="689">
        <f ca="1">tertiair!C16</f>
        <v>12.175675675675675</v>
      </c>
      <c r="E10" s="689">
        <f ca="1">tertiair!D16</f>
        <v>15603.533537480866</v>
      </c>
      <c r="F10" s="689">
        <f>tertiair!E16</f>
        <v>48.997608740277713</v>
      </c>
      <c r="G10" s="689">
        <f ca="1">tertiair!F16</f>
        <v>2018.9043778474013</v>
      </c>
      <c r="H10" s="689">
        <f>tertiair!G16</f>
        <v>0</v>
      </c>
      <c r="I10" s="689">
        <f>tertiair!H16</f>
        <v>0</v>
      </c>
      <c r="J10" s="689">
        <f>tertiair!I16</f>
        <v>0</v>
      </c>
      <c r="K10" s="689">
        <f>tertiair!J16</f>
        <v>1.5048219157754332E-2</v>
      </c>
      <c r="L10" s="689">
        <f>tertiair!K16</f>
        <v>0</v>
      </c>
      <c r="M10" s="689">
        <f ca="1">tertiair!L16</f>
        <v>0</v>
      </c>
      <c r="N10" s="689">
        <f>tertiair!M16</f>
        <v>0</v>
      </c>
      <c r="O10" s="689">
        <f ca="1">tertiair!N16</f>
        <v>550.71846636101907</v>
      </c>
      <c r="P10" s="689">
        <f>tertiair!O16</f>
        <v>9.7945215316823084</v>
      </c>
      <c r="Q10" s="690">
        <f>tertiair!P16</f>
        <v>52.539138306495019</v>
      </c>
      <c r="R10" s="692">
        <f ca="1">SUM(C10:Q10)</f>
        <v>33015.501941644128</v>
      </c>
      <c r="S10" s="67"/>
    </row>
    <row r="11" spans="1:19" s="451" customFormat="1">
      <c r="A11" s="811" t="s">
        <v>224</v>
      </c>
      <c r="B11" s="816"/>
      <c r="C11" s="689">
        <f>huishoudens!B8</f>
        <v>29064.404079417807</v>
      </c>
      <c r="D11" s="689">
        <f>huishoudens!C8</f>
        <v>0</v>
      </c>
      <c r="E11" s="689">
        <f>huishoudens!D8</f>
        <v>72926.114233935165</v>
      </c>
      <c r="F11" s="689">
        <f>huishoudens!E8</f>
        <v>1626.4985395634599</v>
      </c>
      <c r="G11" s="689">
        <f>huishoudens!F8</f>
        <v>0</v>
      </c>
      <c r="H11" s="689">
        <f>huishoudens!G8</f>
        <v>0</v>
      </c>
      <c r="I11" s="689">
        <f>huishoudens!H8</f>
        <v>0</v>
      </c>
      <c r="J11" s="689">
        <f>huishoudens!I8</f>
        <v>0</v>
      </c>
      <c r="K11" s="689">
        <f>huishoudens!J8</f>
        <v>235.93219515531098</v>
      </c>
      <c r="L11" s="689">
        <f>huishoudens!K8</f>
        <v>0</v>
      </c>
      <c r="M11" s="689">
        <f>huishoudens!L8</f>
        <v>0</v>
      </c>
      <c r="N11" s="689">
        <f>huishoudens!M8</f>
        <v>0</v>
      </c>
      <c r="O11" s="689">
        <f>huishoudens!N8</f>
        <v>14125.312514502893</v>
      </c>
      <c r="P11" s="689">
        <f>huishoudens!O8</f>
        <v>382.90393634169709</v>
      </c>
      <c r="Q11" s="690">
        <f>huishoudens!P8</f>
        <v>463.49420953814104</v>
      </c>
      <c r="R11" s="692">
        <f>SUM(C11:Q11)</f>
        <v>118824.65970845448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6672.6136622732738</v>
      </c>
      <c r="D13" s="689">
        <f>industrie!C18</f>
        <v>0</v>
      </c>
      <c r="E13" s="689">
        <f>industrie!D18</f>
        <v>4250.9093300256909</v>
      </c>
      <c r="F13" s="689">
        <f>industrie!E18</f>
        <v>69.949159062866229</v>
      </c>
      <c r="G13" s="689">
        <f>industrie!F18</f>
        <v>1170.6657019630238</v>
      </c>
      <c r="H13" s="689">
        <f>industrie!G18</f>
        <v>0</v>
      </c>
      <c r="I13" s="689">
        <f>industrie!H18</f>
        <v>0</v>
      </c>
      <c r="J13" s="689">
        <f>industrie!I18</f>
        <v>0</v>
      </c>
      <c r="K13" s="689">
        <f>industrie!J18</f>
        <v>1.1892196001936628</v>
      </c>
      <c r="L13" s="689">
        <f>industrie!K18</f>
        <v>0</v>
      </c>
      <c r="M13" s="689">
        <f>industrie!L18</f>
        <v>0</v>
      </c>
      <c r="N13" s="689">
        <f>industrie!M18</f>
        <v>0</v>
      </c>
      <c r="O13" s="689">
        <f>industrie!N18</f>
        <v>181.13387886128149</v>
      </c>
      <c r="P13" s="689">
        <f>industrie!O18</f>
        <v>0</v>
      </c>
      <c r="Q13" s="690">
        <f>industrie!P18</f>
        <v>0</v>
      </c>
      <c r="R13" s="692">
        <f>SUM(C13:Q13)</f>
        <v>12346.460951786328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50455.84130917264</v>
      </c>
      <c r="D16" s="725">
        <f t="shared" ref="D16:R16" ca="1" si="0">SUM(D9:D15)</f>
        <v>12.175675675675675</v>
      </c>
      <c r="E16" s="725">
        <f t="shared" ca="1" si="0"/>
        <v>92780.557101441722</v>
      </c>
      <c r="F16" s="725">
        <f t="shared" si="0"/>
        <v>1745.4453073666039</v>
      </c>
      <c r="G16" s="725">
        <f t="shared" ca="1" si="0"/>
        <v>3189.5700798104253</v>
      </c>
      <c r="H16" s="725">
        <f t="shared" si="0"/>
        <v>0</v>
      </c>
      <c r="I16" s="725">
        <f t="shared" si="0"/>
        <v>0</v>
      </c>
      <c r="J16" s="725">
        <f t="shared" si="0"/>
        <v>0</v>
      </c>
      <c r="K16" s="725">
        <f t="shared" si="0"/>
        <v>237.13646297466241</v>
      </c>
      <c r="L16" s="725">
        <f t="shared" si="0"/>
        <v>0</v>
      </c>
      <c r="M16" s="725">
        <f t="shared" ca="1" si="0"/>
        <v>0</v>
      </c>
      <c r="N16" s="725">
        <f t="shared" si="0"/>
        <v>0</v>
      </c>
      <c r="O16" s="725">
        <f t="shared" ca="1" si="0"/>
        <v>14857.164859725193</v>
      </c>
      <c r="P16" s="725">
        <f t="shared" si="0"/>
        <v>392.69845787337943</v>
      </c>
      <c r="Q16" s="725">
        <f t="shared" si="0"/>
        <v>516.03334784463607</v>
      </c>
      <c r="R16" s="725">
        <f t="shared" ca="1" si="0"/>
        <v>164186.62260188494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1317.6961539762785</v>
      </c>
      <c r="I19" s="689">
        <f>transport!H54</f>
        <v>0</v>
      </c>
      <c r="J19" s="689">
        <f>transport!I54</f>
        <v>0</v>
      </c>
      <c r="K19" s="689">
        <f>transport!J54</f>
        <v>0</v>
      </c>
      <c r="L19" s="689">
        <f>transport!K54</f>
        <v>0</v>
      </c>
      <c r="M19" s="689">
        <f>transport!L54</f>
        <v>0</v>
      </c>
      <c r="N19" s="689">
        <f>transport!M54</f>
        <v>71.505698369616923</v>
      </c>
      <c r="O19" s="689">
        <f>transport!N54</f>
        <v>0</v>
      </c>
      <c r="P19" s="689">
        <f>transport!O54</f>
        <v>0</v>
      </c>
      <c r="Q19" s="690">
        <f>transport!P54</f>
        <v>0</v>
      </c>
      <c r="R19" s="692">
        <f>SUM(C19:Q19)</f>
        <v>1389.2018523458955</v>
      </c>
      <c r="S19" s="67"/>
    </row>
    <row r="20" spans="1:19" s="451" customFormat="1">
      <c r="A20" s="811" t="s">
        <v>306</v>
      </c>
      <c r="B20" s="816"/>
      <c r="C20" s="689">
        <f>transport!B14</f>
        <v>91.690018908327474</v>
      </c>
      <c r="D20" s="689">
        <f>transport!C14</f>
        <v>0</v>
      </c>
      <c r="E20" s="689">
        <f>transport!D14</f>
        <v>363.96506850945218</v>
      </c>
      <c r="F20" s="689">
        <f>transport!E14</f>
        <v>223.81778844750249</v>
      </c>
      <c r="G20" s="689">
        <f>transport!F14</f>
        <v>0</v>
      </c>
      <c r="H20" s="689">
        <f>transport!G14</f>
        <v>133559.98770511572</v>
      </c>
      <c r="I20" s="689">
        <f>transport!H14</f>
        <v>23803.991308490564</v>
      </c>
      <c r="J20" s="689">
        <f>transport!I14</f>
        <v>0</v>
      </c>
      <c r="K20" s="689">
        <f>transport!J14</f>
        <v>0</v>
      </c>
      <c r="L20" s="689">
        <f>transport!K14</f>
        <v>0</v>
      </c>
      <c r="M20" s="689">
        <f>transport!L14</f>
        <v>0</v>
      </c>
      <c r="N20" s="689">
        <f>transport!M14</f>
        <v>9174.3616858131081</v>
      </c>
      <c r="O20" s="689">
        <f>transport!N14</f>
        <v>0</v>
      </c>
      <c r="P20" s="689">
        <f>transport!O14</f>
        <v>0</v>
      </c>
      <c r="Q20" s="690">
        <f>transport!P14</f>
        <v>0</v>
      </c>
      <c r="R20" s="692">
        <f>SUM(C20:Q20)</f>
        <v>167217.8135752847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91.690018908327474</v>
      </c>
      <c r="D22" s="814">
        <f t="shared" ref="D22:R22" si="1">SUM(D18:D21)</f>
        <v>0</v>
      </c>
      <c r="E22" s="814">
        <f t="shared" si="1"/>
        <v>363.96506850945218</v>
      </c>
      <c r="F22" s="814">
        <f t="shared" si="1"/>
        <v>223.81778844750249</v>
      </c>
      <c r="G22" s="814">
        <f t="shared" si="1"/>
        <v>0</v>
      </c>
      <c r="H22" s="814">
        <f t="shared" si="1"/>
        <v>134877.68385909201</v>
      </c>
      <c r="I22" s="814">
        <f t="shared" si="1"/>
        <v>23803.991308490564</v>
      </c>
      <c r="J22" s="814">
        <f t="shared" si="1"/>
        <v>0</v>
      </c>
      <c r="K22" s="814">
        <f t="shared" si="1"/>
        <v>0</v>
      </c>
      <c r="L22" s="814">
        <f t="shared" si="1"/>
        <v>0</v>
      </c>
      <c r="M22" s="814">
        <f t="shared" si="1"/>
        <v>0</v>
      </c>
      <c r="N22" s="814">
        <f t="shared" si="1"/>
        <v>9245.8673841827258</v>
      </c>
      <c r="O22" s="814">
        <f t="shared" si="1"/>
        <v>0</v>
      </c>
      <c r="P22" s="814">
        <f t="shared" si="1"/>
        <v>0</v>
      </c>
      <c r="Q22" s="814">
        <f t="shared" si="1"/>
        <v>0</v>
      </c>
      <c r="R22" s="814">
        <f t="shared" si="1"/>
        <v>168607.0154276306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2392.6563801556604</v>
      </c>
      <c r="D24" s="689">
        <f>+landbouw!C8</f>
        <v>2673</v>
      </c>
      <c r="E24" s="689">
        <f>+landbouw!D8</f>
        <v>293.71500473760398</v>
      </c>
      <c r="F24" s="689">
        <f>+landbouw!E8</f>
        <v>89.229475029792454</v>
      </c>
      <c r="G24" s="689">
        <f>+landbouw!F8</f>
        <v>6277.7018560437209</v>
      </c>
      <c r="H24" s="689">
        <f>+landbouw!G8</f>
        <v>0</v>
      </c>
      <c r="I24" s="689">
        <f>+landbouw!H8</f>
        <v>0</v>
      </c>
      <c r="J24" s="689">
        <f>+landbouw!I8</f>
        <v>0</v>
      </c>
      <c r="K24" s="689">
        <f>+landbouw!J8</f>
        <v>628.0841121132122</v>
      </c>
      <c r="L24" s="689">
        <f>+landbouw!K8</f>
        <v>0</v>
      </c>
      <c r="M24" s="689">
        <f>+landbouw!L8</f>
        <v>0</v>
      </c>
      <c r="N24" s="689">
        <f>+landbouw!M8</f>
        <v>0</v>
      </c>
      <c r="O24" s="689">
        <f>+landbouw!N8</f>
        <v>0</v>
      </c>
      <c r="P24" s="689">
        <f>+landbouw!O8</f>
        <v>0</v>
      </c>
      <c r="Q24" s="690">
        <f>+landbouw!P8</f>
        <v>0</v>
      </c>
      <c r="R24" s="692">
        <f>SUM(C24:Q24)</f>
        <v>12354.386828079989</v>
      </c>
      <c r="S24" s="67"/>
    </row>
    <row r="25" spans="1:19" s="451" customFormat="1" ht="15" thickBot="1">
      <c r="A25" s="833" t="s">
        <v>714</v>
      </c>
      <c r="B25" s="947"/>
      <c r="C25" s="948">
        <f>IF(Onbekend_ele_kWh="---",0,Onbekend_ele_kWh)/1000+IF(REST_rest_ele_kWh="---",0,REST_rest_ele_kWh)/1000</f>
        <v>2381.5640713593698</v>
      </c>
      <c r="D25" s="948"/>
      <c r="E25" s="948">
        <f>IF(onbekend_gas_kWh="---",0,onbekend_gas_kWh)/1000+IF(REST_rest_gas_kWh="---",0,REST_rest_gas_kWh)/1000</f>
        <v>2959.0196743190199</v>
      </c>
      <c r="F25" s="948"/>
      <c r="G25" s="948"/>
      <c r="H25" s="948"/>
      <c r="I25" s="948"/>
      <c r="J25" s="948"/>
      <c r="K25" s="948"/>
      <c r="L25" s="948"/>
      <c r="M25" s="948"/>
      <c r="N25" s="948"/>
      <c r="O25" s="948"/>
      <c r="P25" s="948"/>
      <c r="Q25" s="949"/>
      <c r="R25" s="692">
        <f>SUM(C25:Q25)</f>
        <v>5340.5837456783902</v>
      </c>
      <c r="S25" s="67"/>
    </row>
    <row r="26" spans="1:19" s="451" customFormat="1" ht="15.75" thickBot="1">
      <c r="A26" s="697" t="s">
        <v>715</v>
      </c>
      <c r="B26" s="819"/>
      <c r="C26" s="814">
        <f>SUM(C24:C25)</f>
        <v>4774.2204515150297</v>
      </c>
      <c r="D26" s="814">
        <f t="shared" ref="D26:R26" si="2">SUM(D24:D25)</f>
        <v>2673</v>
      </c>
      <c r="E26" s="814">
        <f t="shared" si="2"/>
        <v>3252.7346790566239</v>
      </c>
      <c r="F26" s="814">
        <f t="shared" si="2"/>
        <v>89.229475029792454</v>
      </c>
      <c r="G26" s="814">
        <f t="shared" si="2"/>
        <v>6277.7018560437209</v>
      </c>
      <c r="H26" s="814">
        <f t="shared" si="2"/>
        <v>0</v>
      </c>
      <c r="I26" s="814">
        <f t="shared" si="2"/>
        <v>0</v>
      </c>
      <c r="J26" s="814">
        <f t="shared" si="2"/>
        <v>0</v>
      </c>
      <c r="K26" s="814">
        <f t="shared" si="2"/>
        <v>628.0841121132122</v>
      </c>
      <c r="L26" s="814">
        <f t="shared" si="2"/>
        <v>0</v>
      </c>
      <c r="M26" s="814">
        <f t="shared" si="2"/>
        <v>0</v>
      </c>
      <c r="N26" s="814">
        <f t="shared" si="2"/>
        <v>0</v>
      </c>
      <c r="O26" s="814">
        <f t="shared" si="2"/>
        <v>0</v>
      </c>
      <c r="P26" s="814">
        <f t="shared" si="2"/>
        <v>0</v>
      </c>
      <c r="Q26" s="814">
        <f t="shared" si="2"/>
        <v>0</v>
      </c>
      <c r="R26" s="814">
        <f t="shared" si="2"/>
        <v>17694.970573758379</v>
      </c>
      <c r="S26" s="67"/>
    </row>
    <row r="27" spans="1:19" s="451" customFormat="1" ht="17.25" thickTop="1" thickBot="1">
      <c r="A27" s="698" t="s">
        <v>115</v>
      </c>
      <c r="B27" s="806"/>
      <c r="C27" s="699">
        <f ca="1">C22+C16+C26</f>
        <v>55321.751779595994</v>
      </c>
      <c r="D27" s="699">
        <f t="shared" ref="D27:R27" ca="1" si="3">D22+D16+D26</f>
        <v>2685.1756756756758</v>
      </c>
      <c r="E27" s="699">
        <f t="shared" ca="1" si="3"/>
        <v>96397.256849007797</v>
      </c>
      <c r="F27" s="699">
        <f t="shared" si="3"/>
        <v>2058.4925708438986</v>
      </c>
      <c r="G27" s="699">
        <f t="shared" ca="1" si="3"/>
        <v>9467.2719358541472</v>
      </c>
      <c r="H27" s="699">
        <f t="shared" si="3"/>
        <v>134877.68385909201</v>
      </c>
      <c r="I27" s="699">
        <f t="shared" si="3"/>
        <v>23803.991308490564</v>
      </c>
      <c r="J27" s="699">
        <f t="shared" si="3"/>
        <v>0</v>
      </c>
      <c r="K27" s="699">
        <f t="shared" si="3"/>
        <v>865.22057508787464</v>
      </c>
      <c r="L27" s="699">
        <f t="shared" si="3"/>
        <v>0</v>
      </c>
      <c r="M27" s="699">
        <f t="shared" ca="1" si="3"/>
        <v>0</v>
      </c>
      <c r="N27" s="699">
        <f t="shared" si="3"/>
        <v>9245.8673841827258</v>
      </c>
      <c r="O27" s="699">
        <f t="shared" ca="1" si="3"/>
        <v>14857.164859725193</v>
      </c>
      <c r="P27" s="699">
        <f t="shared" si="3"/>
        <v>392.69845787337943</v>
      </c>
      <c r="Q27" s="699">
        <f t="shared" si="3"/>
        <v>516.03334784463607</v>
      </c>
      <c r="R27" s="699">
        <f t="shared" ca="1" si="3"/>
        <v>350488.60860327387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1886.7663033560268</v>
      </c>
      <c r="D40" s="689">
        <f ca="1">tertiair!C20</f>
        <v>0.96339422007652031</v>
      </c>
      <c r="E40" s="689">
        <f ca="1">tertiair!D20</f>
        <v>3151.913774571135</v>
      </c>
      <c r="F40" s="689">
        <f>tertiair!E20</f>
        <v>11.122457184043041</v>
      </c>
      <c r="G40" s="689">
        <f ca="1">tertiair!F20</f>
        <v>539.04746888525619</v>
      </c>
      <c r="H40" s="689">
        <f>tertiair!G20</f>
        <v>0</v>
      </c>
      <c r="I40" s="689">
        <f>tertiair!H20</f>
        <v>0</v>
      </c>
      <c r="J40" s="689">
        <f>tertiair!I20</f>
        <v>0</v>
      </c>
      <c r="K40" s="689">
        <f>tertiair!J20</f>
        <v>5.3270695818450333E-3</v>
      </c>
      <c r="L40" s="689">
        <f>tertiair!K20</f>
        <v>0</v>
      </c>
      <c r="M40" s="689">
        <f ca="1">tertiair!L20</f>
        <v>0</v>
      </c>
      <c r="N40" s="689">
        <f>tertiair!M20</f>
        <v>0</v>
      </c>
      <c r="O40" s="689">
        <f ca="1">tertiair!N20</f>
        <v>0</v>
      </c>
      <c r="P40" s="689">
        <f>tertiair!O20</f>
        <v>0</v>
      </c>
      <c r="Q40" s="772">
        <f>tertiair!P20</f>
        <v>0</v>
      </c>
      <c r="R40" s="852">
        <f t="shared" ca="1" si="4"/>
        <v>5589.8187252861189</v>
      </c>
    </row>
    <row r="41" spans="1:18">
      <c r="A41" s="824" t="s">
        <v>224</v>
      </c>
      <c r="B41" s="831"/>
      <c r="C41" s="689">
        <f ca="1">huishoudens!B12</f>
        <v>3725.6875858830531</v>
      </c>
      <c r="D41" s="689">
        <f ca="1">huishoudens!C12</f>
        <v>0</v>
      </c>
      <c r="E41" s="689">
        <f>huishoudens!D12</f>
        <v>14731.075075254905</v>
      </c>
      <c r="F41" s="689">
        <f>huishoudens!E12</f>
        <v>369.21516848090539</v>
      </c>
      <c r="G41" s="689">
        <f>huishoudens!F12</f>
        <v>0</v>
      </c>
      <c r="H41" s="689">
        <f>huishoudens!G12</f>
        <v>0</v>
      </c>
      <c r="I41" s="689">
        <f>huishoudens!H12</f>
        <v>0</v>
      </c>
      <c r="J41" s="689">
        <f>huishoudens!I12</f>
        <v>0</v>
      </c>
      <c r="K41" s="689">
        <f>huishoudens!J12</f>
        <v>83.519997084980076</v>
      </c>
      <c r="L41" s="689">
        <f>huishoudens!K12</f>
        <v>0</v>
      </c>
      <c r="M41" s="689">
        <f>huishoudens!L12</f>
        <v>0</v>
      </c>
      <c r="N41" s="689">
        <f>huishoudens!M12</f>
        <v>0</v>
      </c>
      <c r="O41" s="689">
        <f>huishoudens!N12</f>
        <v>0</v>
      </c>
      <c r="P41" s="689">
        <f>huishoudens!O12</f>
        <v>0</v>
      </c>
      <c r="Q41" s="772">
        <f>huishoudens!P12</f>
        <v>0</v>
      </c>
      <c r="R41" s="852">
        <f t="shared" ca="1" si="4"/>
        <v>18909.497826703842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855.34435245930445</v>
      </c>
      <c r="D43" s="689">
        <f ca="1">industrie!C22</f>
        <v>0</v>
      </c>
      <c r="E43" s="689">
        <f>industrie!D22</f>
        <v>858.68368466518962</v>
      </c>
      <c r="F43" s="689">
        <f>industrie!E22</f>
        <v>15.878459107270634</v>
      </c>
      <c r="G43" s="689">
        <f>industrie!F22</f>
        <v>312.5677424241274</v>
      </c>
      <c r="H43" s="689">
        <f>industrie!G22</f>
        <v>0</v>
      </c>
      <c r="I43" s="689">
        <f>industrie!H22</f>
        <v>0</v>
      </c>
      <c r="J43" s="689">
        <f>industrie!I22</f>
        <v>0</v>
      </c>
      <c r="K43" s="689">
        <f>industrie!J22</f>
        <v>0.42098373846855663</v>
      </c>
      <c r="L43" s="689">
        <f>industrie!K22</f>
        <v>0</v>
      </c>
      <c r="M43" s="689">
        <f>industrie!L22</f>
        <v>0</v>
      </c>
      <c r="N43" s="689">
        <f>industrie!M22</f>
        <v>0</v>
      </c>
      <c r="O43" s="689">
        <f>industrie!N22</f>
        <v>0</v>
      </c>
      <c r="P43" s="689">
        <f>industrie!O22</f>
        <v>0</v>
      </c>
      <c r="Q43" s="772">
        <f>industrie!P22</f>
        <v>0</v>
      </c>
      <c r="R43" s="851">
        <f t="shared" ca="1" si="4"/>
        <v>2042.8952223943604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6467.798241698385</v>
      </c>
      <c r="D46" s="725">
        <f t="shared" ref="D46:Q46" ca="1" si="5">SUM(D39:D45)</f>
        <v>0.96339422007652031</v>
      </c>
      <c r="E46" s="725">
        <f t="shared" ca="1" si="5"/>
        <v>18741.67253449123</v>
      </c>
      <c r="F46" s="725">
        <f t="shared" si="5"/>
        <v>396.21608477221906</v>
      </c>
      <c r="G46" s="725">
        <f t="shared" ca="1" si="5"/>
        <v>851.61521130938354</v>
      </c>
      <c r="H46" s="725">
        <f t="shared" si="5"/>
        <v>0</v>
      </c>
      <c r="I46" s="725">
        <f t="shared" si="5"/>
        <v>0</v>
      </c>
      <c r="J46" s="725">
        <f t="shared" si="5"/>
        <v>0</v>
      </c>
      <c r="K46" s="725">
        <f t="shared" si="5"/>
        <v>83.946307893030465</v>
      </c>
      <c r="L46" s="725">
        <f t="shared" si="5"/>
        <v>0</v>
      </c>
      <c r="M46" s="725">
        <f t="shared" ca="1" si="5"/>
        <v>0</v>
      </c>
      <c r="N46" s="725">
        <f t="shared" si="5"/>
        <v>0</v>
      </c>
      <c r="O46" s="725">
        <f t="shared" ca="1" si="5"/>
        <v>0</v>
      </c>
      <c r="P46" s="725">
        <f t="shared" si="5"/>
        <v>0</v>
      </c>
      <c r="Q46" s="725">
        <f t="shared" si="5"/>
        <v>0</v>
      </c>
      <c r="R46" s="725">
        <f ca="1">SUM(R39:R45)</f>
        <v>26542.211774384323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351.82487311166636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351.82487311166636</v>
      </c>
    </row>
    <row r="50" spans="1:18">
      <c r="A50" s="827" t="s">
        <v>306</v>
      </c>
      <c r="B50" s="837"/>
      <c r="C50" s="695">
        <f ca="1">transport!B18</f>
        <v>11.75349627890877</v>
      </c>
      <c r="D50" s="695">
        <f>transport!C18</f>
        <v>0</v>
      </c>
      <c r="E50" s="695">
        <f>transport!D18</f>
        <v>73.520943838909346</v>
      </c>
      <c r="F50" s="695">
        <f>transport!E18</f>
        <v>50.806637977583065</v>
      </c>
      <c r="G50" s="695">
        <f>transport!F18</f>
        <v>0</v>
      </c>
      <c r="H50" s="695">
        <f>transport!G18</f>
        <v>35660.516717265898</v>
      </c>
      <c r="I50" s="695">
        <f>transport!H18</f>
        <v>5927.1938358141506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41723.791631175445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11.75349627890877</v>
      </c>
      <c r="D52" s="725">
        <f t="shared" ref="D52:Q52" ca="1" si="6">SUM(D48:D51)</f>
        <v>0</v>
      </c>
      <c r="E52" s="725">
        <f t="shared" si="6"/>
        <v>73.520943838909346</v>
      </c>
      <c r="F52" s="725">
        <f t="shared" si="6"/>
        <v>50.806637977583065</v>
      </c>
      <c r="G52" s="725">
        <f t="shared" si="6"/>
        <v>0</v>
      </c>
      <c r="H52" s="725">
        <f t="shared" si="6"/>
        <v>36012.341590377568</v>
      </c>
      <c r="I52" s="725">
        <f t="shared" si="6"/>
        <v>5927.1938358141506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42075.616504287114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306.70816950080024</v>
      </c>
      <c r="D54" s="695">
        <f ca="1">+landbouw!C12</f>
        <v>211.49978193071684</v>
      </c>
      <c r="E54" s="695">
        <f>+landbouw!D12</f>
        <v>59.330430956996004</v>
      </c>
      <c r="F54" s="695">
        <f>+landbouw!E12</f>
        <v>20.255090831762889</v>
      </c>
      <c r="G54" s="695">
        <f>+landbouw!F12</f>
        <v>1676.1463955636737</v>
      </c>
      <c r="H54" s="695">
        <f>+landbouw!G12</f>
        <v>0</v>
      </c>
      <c r="I54" s="695">
        <f>+landbouw!H12</f>
        <v>0</v>
      </c>
      <c r="J54" s="695">
        <f>+landbouw!I12</f>
        <v>0</v>
      </c>
      <c r="K54" s="695">
        <f>+landbouw!J12</f>
        <v>222.34177568807712</v>
      </c>
      <c r="L54" s="695">
        <f>+landbouw!K12</f>
        <v>0</v>
      </c>
      <c r="M54" s="695">
        <f>+landbouw!L12</f>
        <v>0</v>
      </c>
      <c r="N54" s="695">
        <f>+landbouw!M12</f>
        <v>0</v>
      </c>
      <c r="O54" s="695">
        <f>+landbouw!N12</f>
        <v>0</v>
      </c>
      <c r="P54" s="695">
        <f>+landbouw!O12</f>
        <v>0</v>
      </c>
      <c r="Q54" s="696">
        <f>+landbouw!P12</f>
        <v>0</v>
      </c>
      <c r="R54" s="724">
        <f ca="1">SUM(C54:Q54)</f>
        <v>2496.281644472027</v>
      </c>
    </row>
    <row r="55" spans="1:18" ht="15" thickBot="1">
      <c r="A55" s="827" t="s">
        <v>714</v>
      </c>
      <c r="B55" s="837"/>
      <c r="C55" s="695">
        <f ca="1">C25*'EF ele_warmte'!B12</f>
        <v>305.28627634695482</v>
      </c>
      <c r="D55" s="695"/>
      <c r="E55" s="695">
        <f>E25*EF_CO2_aardgas</f>
        <v>597.72197421244209</v>
      </c>
      <c r="F55" s="695"/>
      <c r="G55" s="695"/>
      <c r="H55" s="695"/>
      <c r="I55" s="695"/>
      <c r="J55" s="695"/>
      <c r="K55" s="695"/>
      <c r="L55" s="695"/>
      <c r="M55" s="695"/>
      <c r="N55" s="695"/>
      <c r="O55" s="695"/>
      <c r="P55" s="695"/>
      <c r="Q55" s="696"/>
      <c r="R55" s="724">
        <f ca="1">SUM(C55:Q55)</f>
        <v>903.00825055939686</v>
      </c>
    </row>
    <row r="56" spans="1:18" ht="15.75" thickBot="1">
      <c r="A56" s="825" t="s">
        <v>715</v>
      </c>
      <c r="B56" s="838"/>
      <c r="C56" s="725">
        <f ca="1">SUM(C54:C55)</f>
        <v>611.99444584775506</v>
      </c>
      <c r="D56" s="725">
        <f t="shared" ref="D56:Q56" ca="1" si="7">SUM(D54:D55)</f>
        <v>211.49978193071684</v>
      </c>
      <c r="E56" s="725">
        <f t="shared" si="7"/>
        <v>657.05240516943809</v>
      </c>
      <c r="F56" s="725">
        <f t="shared" si="7"/>
        <v>20.255090831762889</v>
      </c>
      <c r="G56" s="725">
        <f t="shared" si="7"/>
        <v>1676.1463955636737</v>
      </c>
      <c r="H56" s="725">
        <f t="shared" si="7"/>
        <v>0</v>
      </c>
      <c r="I56" s="725">
        <f t="shared" si="7"/>
        <v>0</v>
      </c>
      <c r="J56" s="725">
        <f t="shared" si="7"/>
        <v>0</v>
      </c>
      <c r="K56" s="725">
        <f t="shared" si="7"/>
        <v>222.34177568807712</v>
      </c>
      <c r="L56" s="725">
        <f t="shared" si="7"/>
        <v>0</v>
      </c>
      <c r="M56" s="725">
        <f t="shared" si="7"/>
        <v>0</v>
      </c>
      <c r="N56" s="725">
        <f t="shared" si="7"/>
        <v>0</v>
      </c>
      <c r="O56" s="725">
        <f t="shared" si="7"/>
        <v>0</v>
      </c>
      <c r="P56" s="725">
        <f t="shared" si="7"/>
        <v>0</v>
      </c>
      <c r="Q56" s="726">
        <f t="shared" si="7"/>
        <v>0</v>
      </c>
      <c r="R56" s="727">
        <f ca="1">SUM(R54:R55)</f>
        <v>3399.2898950314238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7091.5461838250485</v>
      </c>
      <c r="D61" s="733">
        <f t="shared" ref="D61:Q61" ca="1" si="8">D46+D52+D56</f>
        <v>212.46317615079334</v>
      </c>
      <c r="E61" s="733">
        <f t="shared" ca="1" si="8"/>
        <v>19472.245883499578</v>
      </c>
      <c r="F61" s="733">
        <f t="shared" si="8"/>
        <v>467.27781358156506</v>
      </c>
      <c r="G61" s="733">
        <f t="shared" ca="1" si="8"/>
        <v>2527.7616068730572</v>
      </c>
      <c r="H61" s="733">
        <f t="shared" si="8"/>
        <v>36012.341590377568</v>
      </c>
      <c r="I61" s="733">
        <f t="shared" si="8"/>
        <v>5927.1938358141506</v>
      </c>
      <c r="J61" s="733">
        <f t="shared" si="8"/>
        <v>0</v>
      </c>
      <c r="K61" s="733">
        <f t="shared" si="8"/>
        <v>306.28808358110757</v>
      </c>
      <c r="L61" s="733">
        <f t="shared" si="8"/>
        <v>0</v>
      </c>
      <c r="M61" s="733">
        <f t="shared" ca="1" si="8"/>
        <v>0</v>
      </c>
      <c r="N61" s="733">
        <f t="shared" si="8"/>
        <v>0</v>
      </c>
      <c r="O61" s="733">
        <f t="shared" ca="1" si="8"/>
        <v>0</v>
      </c>
      <c r="P61" s="733">
        <f t="shared" si="8"/>
        <v>0</v>
      </c>
      <c r="Q61" s="733">
        <f t="shared" si="8"/>
        <v>0</v>
      </c>
      <c r="R61" s="733">
        <f ca="1">R46+R52+R56</f>
        <v>72017.118173702867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0.12818730346931245</v>
      </c>
      <c r="D63" s="779">
        <f t="shared" ca="1" si="9"/>
        <v>7.9124497542355704E-2</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15480.102688979709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6222.4259257506756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1781.4850994878302</v>
      </c>
      <c r="C76" s="746">
        <f>'lokale energieproductie'!B8*IFERROR(SUM(D76:H76)/SUM(D76:O76),0)</f>
        <v>603.01490051216956</v>
      </c>
      <c r="D76" s="956">
        <f>'lokale energieproductie'!C8</f>
        <v>10.805238354177995</v>
      </c>
      <c r="E76" s="957">
        <f>'lokale energieproductie'!D8</f>
        <v>0</v>
      </c>
      <c r="F76" s="957">
        <f>'lokale energieproductie'!E8</f>
        <v>698.4633192591881</v>
      </c>
      <c r="G76" s="957">
        <f>'lokale energieproductie'!F8</f>
        <v>0</v>
      </c>
      <c r="H76" s="957">
        <f>'lokale energieproductie'!G8</f>
        <v>0</v>
      </c>
      <c r="I76" s="957">
        <f>'lokale energieproductie'!I8</f>
        <v>2095.3899577775646</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188.67236438974717</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23484.013714218214</v>
      </c>
      <c r="C78" s="751">
        <f>SUM(C72:C77)</f>
        <v>603.01490051216956</v>
      </c>
      <c r="D78" s="752">
        <f t="shared" ref="D78:H78" si="10">SUM(D76:D77)</f>
        <v>10.805238354177995</v>
      </c>
      <c r="E78" s="752">
        <f t="shared" si="10"/>
        <v>0</v>
      </c>
      <c r="F78" s="752">
        <f t="shared" si="10"/>
        <v>698.4633192591881</v>
      </c>
      <c r="G78" s="752">
        <f t="shared" si="10"/>
        <v>0</v>
      </c>
      <c r="H78" s="752">
        <f t="shared" si="10"/>
        <v>0</v>
      </c>
      <c r="I78" s="752">
        <f>SUM(I76:I77)</f>
        <v>2095.3899577775646</v>
      </c>
      <c r="J78" s="752">
        <f>SUM(J76:J77)</f>
        <v>0</v>
      </c>
      <c r="K78" s="752">
        <f t="shared" ref="K78:L78" si="11">SUM(K76:K77)</f>
        <v>0</v>
      </c>
      <c r="L78" s="752">
        <f t="shared" si="11"/>
        <v>0</v>
      </c>
      <c r="M78" s="752">
        <f>SUM(M76:M77)</f>
        <v>0</v>
      </c>
      <c r="N78" s="752">
        <f>SUM(N76:N77)</f>
        <v>0</v>
      </c>
      <c r="O78" s="862">
        <f>SUM(O76:O77)</f>
        <v>0</v>
      </c>
      <c r="P78" s="753">
        <v>0</v>
      </c>
      <c r="Q78" s="753">
        <f>SUM(Q76:Q77)</f>
        <v>188.67236438974717</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2006.1230680324527</v>
      </c>
      <c r="C87" s="764">
        <f>'lokale energieproductie'!B17*IFERROR(SUM(D87:H87)/SUM(D87:O87),0)</f>
        <v>679.05260764322327</v>
      </c>
      <c r="D87" s="775">
        <f>'lokale energieproductie'!C17</f>
        <v>12.167734618794977</v>
      </c>
      <c r="E87" s="775">
        <f>'lokale energieproductie'!D17</f>
        <v>0</v>
      </c>
      <c r="F87" s="775">
        <f>'lokale energieproductie'!E17</f>
        <v>786.5366807408119</v>
      </c>
      <c r="G87" s="775">
        <f>'lokale energieproductie'!F17</f>
        <v>0</v>
      </c>
      <c r="H87" s="775">
        <f>'lokale energieproductie'!G17</f>
        <v>0</v>
      </c>
      <c r="I87" s="775">
        <f>'lokale energieproductie'!I17</f>
        <v>2359.6100422224354</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212.46317615079337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2006.1230680324527</v>
      </c>
      <c r="C90" s="751">
        <f>SUM(C87:C89)</f>
        <v>679.05260764322327</v>
      </c>
      <c r="D90" s="751">
        <f t="shared" ref="D90:H90" si="12">SUM(D87:D89)</f>
        <v>12.167734618794977</v>
      </c>
      <c r="E90" s="751">
        <f t="shared" si="12"/>
        <v>0</v>
      </c>
      <c r="F90" s="751">
        <f t="shared" si="12"/>
        <v>786.5366807408119</v>
      </c>
      <c r="G90" s="751">
        <f t="shared" si="12"/>
        <v>0</v>
      </c>
      <c r="H90" s="751">
        <f t="shared" si="12"/>
        <v>0</v>
      </c>
      <c r="I90" s="751">
        <f>SUM(I87:I89)</f>
        <v>2359.6100422224354</v>
      </c>
      <c r="J90" s="751">
        <f>SUM(J87:J89)</f>
        <v>0</v>
      </c>
      <c r="K90" s="751">
        <f t="shared" ref="K90:L90" si="13">SUM(K87:K89)</f>
        <v>0</v>
      </c>
      <c r="L90" s="751">
        <f t="shared" si="13"/>
        <v>0</v>
      </c>
      <c r="M90" s="751">
        <f>SUM(M87:M89)</f>
        <v>0</v>
      </c>
      <c r="N90" s="751">
        <f>SUM(N87:N89)</f>
        <v>0</v>
      </c>
      <c r="O90" s="751">
        <f>SUM(O87:O89)</f>
        <v>0</v>
      </c>
      <c r="P90" s="751">
        <v>0</v>
      </c>
      <c r="Q90" s="751">
        <f>SUM(Q87:Q89)</f>
        <v>212.46317615079337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15480.102688979709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6222.4259257506756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2384.5</v>
      </c>
      <c r="C8" s="551">
        <f>B50</f>
        <v>10.805238354177995</v>
      </c>
      <c r="D8" s="552"/>
      <c r="E8" s="552">
        <f>E50</f>
        <v>698.4633192591881</v>
      </c>
      <c r="F8" s="553"/>
      <c r="G8" s="554"/>
      <c r="H8" s="552">
        <f>I50</f>
        <v>0</v>
      </c>
      <c r="I8" s="552">
        <f>G50+F50</f>
        <v>2095.3899577775646</v>
      </c>
      <c r="J8" s="552">
        <f>H50+D50+C50</f>
        <v>0</v>
      </c>
      <c r="K8" s="552"/>
      <c r="L8" s="552"/>
      <c r="M8" s="552"/>
      <c r="N8" s="555"/>
      <c r="O8" s="556">
        <f>C8*$C$12+D8*$D$12+E8*$E$12+F8*$F$12+G8*$G$12+H8*$H$12+I8*$I$12+J8*$J$12</f>
        <v>188.67236438974717</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24087.028614730385</v>
      </c>
      <c r="C10" s="566">
        <f t="shared" ref="C10:L10" si="0">SUM(C8:C9)</f>
        <v>10.805238354177995</v>
      </c>
      <c r="D10" s="566">
        <f t="shared" si="0"/>
        <v>0</v>
      </c>
      <c r="E10" s="566">
        <f t="shared" si="0"/>
        <v>698.4633192591881</v>
      </c>
      <c r="F10" s="566">
        <f t="shared" si="0"/>
        <v>0</v>
      </c>
      <c r="G10" s="566">
        <f t="shared" si="0"/>
        <v>0</v>
      </c>
      <c r="H10" s="566">
        <f t="shared" si="0"/>
        <v>0</v>
      </c>
      <c r="I10" s="566">
        <f t="shared" si="0"/>
        <v>2095.3899577775646</v>
      </c>
      <c r="J10" s="566">
        <f t="shared" si="0"/>
        <v>0</v>
      </c>
      <c r="K10" s="566">
        <f t="shared" si="0"/>
        <v>0</v>
      </c>
      <c r="L10" s="566">
        <f t="shared" si="0"/>
        <v>0</v>
      </c>
      <c r="M10" s="969"/>
      <c r="N10" s="969"/>
      <c r="O10" s="567">
        <f>SUM(O4:O9)</f>
        <v>188.67236438974717</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2685.1756756756758</v>
      </c>
      <c r="C17" s="582">
        <f>B51</f>
        <v>12.167734618794977</v>
      </c>
      <c r="D17" s="583"/>
      <c r="E17" s="583">
        <f>E51</f>
        <v>786.5366807408119</v>
      </c>
      <c r="F17" s="584"/>
      <c r="G17" s="585"/>
      <c r="H17" s="582">
        <f>I51</f>
        <v>0</v>
      </c>
      <c r="I17" s="583">
        <f>G51+F51</f>
        <v>2359.6100422224354</v>
      </c>
      <c r="J17" s="583">
        <f>H51+D51+C51</f>
        <v>0</v>
      </c>
      <c r="K17" s="583"/>
      <c r="L17" s="583"/>
      <c r="M17" s="583"/>
      <c r="N17" s="970"/>
      <c r="O17" s="586">
        <f>C17*$C$22+E17*$E$22+H17*$H$22+I17*$I$22+J17*$J$22+D17*$D$22+F17*$F$22+G17*$G$22+K17*$K$22+L17*$L$22</f>
        <v>212.46317615079337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2685.1756756756758</v>
      </c>
      <c r="C20" s="565">
        <f>SUM(C17:C19)</f>
        <v>12.167734618794977</v>
      </c>
      <c r="D20" s="565">
        <f t="shared" ref="D20:L20" si="1">SUM(D17:D19)</f>
        <v>0</v>
      </c>
      <c r="E20" s="565">
        <f t="shared" si="1"/>
        <v>786.5366807408119</v>
      </c>
      <c r="F20" s="565">
        <f t="shared" si="1"/>
        <v>0</v>
      </c>
      <c r="G20" s="565">
        <f t="shared" si="1"/>
        <v>0</v>
      </c>
      <c r="H20" s="565">
        <f t="shared" si="1"/>
        <v>0</v>
      </c>
      <c r="I20" s="565">
        <f t="shared" si="1"/>
        <v>2359.6100422224354</v>
      </c>
      <c r="J20" s="565">
        <f t="shared" si="1"/>
        <v>0</v>
      </c>
      <c r="K20" s="565">
        <f t="shared" si="1"/>
        <v>0</v>
      </c>
      <c r="L20" s="565">
        <f t="shared" si="1"/>
        <v>0</v>
      </c>
      <c r="M20" s="565"/>
      <c r="N20" s="565"/>
      <c r="O20" s="591">
        <f>SUM(O17:O19)</f>
        <v>212.46317615079337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46013</v>
      </c>
      <c r="C28" s="794">
        <v>9150</v>
      </c>
      <c r="D28" s="643" t="s">
        <v>865</v>
      </c>
      <c r="E28" s="642" t="s">
        <v>866</v>
      </c>
      <c r="F28" s="642" t="s">
        <v>867</v>
      </c>
      <c r="G28" s="642" t="s">
        <v>868</v>
      </c>
      <c r="H28" s="642" t="s">
        <v>869</v>
      </c>
      <c r="I28" s="642" t="s">
        <v>866</v>
      </c>
      <c r="J28" s="793">
        <v>40142</v>
      </c>
      <c r="K28" s="793">
        <v>40142</v>
      </c>
      <c r="L28" s="642" t="s">
        <v>870</v>
      </c>
      <c r="M28" s="642">
        <v>528</v>
      </c>
      <c r="N28" s="642">
        <v>2376</v>
      </c>
      <c r="O28" s="642">
        <v>2673</v>
      </c>
      <c r="P28" s="642">
        <v>0</v>
      </c>
      <c r="Q28" s="642">
        <v>0</v>
      </c>
      <c r="R28" s="642">
        <v>0</v>
      </c>
      <c r="S28" s="642">
        <v>1485</v>
      </c>
      <c r="T28" s="642">
        <v>4455</v>
      </c>
      <c r="U28" s="642">
        <v>0</v>
      </c>
      <c r="V28" s="642">
        <v>0</v>
      </c>
      <c r="W28" s="642">
        <v>0</v>
      </c>
      <c r="X28" s="642">
        <v>10</v>
      </c>
      <c r="Y28" s="642" t="s">
        <v>111</v>
      </c>
      <c r="Z28" s="644" t="s">
        <v>111</v>
      </c>
    </row>
    <row r="29" spans="1:26" s="596" customFormat="1" ht="25.5">
      <c r="A29" s="595"/>
      <c r="B29" s="794">
        <v>46013</v>
      </c>
      <c r="C29" s="794">
        <v>9150</v>
      </c>
      <c r="D29" s="643" t="s">
        <v>871</v>
      </c>
      <c r="E29" s="642" t="s">
        <v>872</v>
      </c>
      <c r="F29" s="642" t="s">
        <v>873</v>
      </c>
      <c r="G29" s="642" t="s">
        <v>868</v>
      </c>
      <c r="H29" s="642" t="s">
        <v>874</v>
      </c>
      <c r="I29" s="642" t="s">
        <v>872</v>
      </c>
      <c r="J29" s="793">
        <v>40991</v>
      </c>
      <c r="K29" s="793">
        <v>41091</v>
      </c>
      <c r="L29" s="642" t="s">
        <v>875</v>
      </c>
      <c r="M29" s="642">
        <v>140</v>
      </c>
      <c r="N29" s="642">
        <v>0</v>
      </c>
      <c r="O29" s="642">
        <v>0</v>
      </c>
      <c r="P29" s="642">
        <v>0</v>
      </c>
      <c r="Q29" s="642">
        <v>0</v>
      </c>
      <c r="R29" s="642">
        <v>0</v>
      </c>
      <c r="S29" s="642">
        <v>0</v>
      </c>
      <c r="T29" s="642">
        <v>0</v>
      </c>
      <c r="U29" s="642">
        <v>0</v>
      </c>
      <c r="V29" s="642">
        <v>0</v>
      </c>
      <c r="W29" s="642">
        <v>0</v>
      </c>
      <c r="X29" s="642">
        <v>10</v>
      </c>
      <c r="Y29" s="642" t="s">
        <v>111</v>
      </c>
      <c r="Z29" s="644" t="s">
        <v>111</v>
      </c>
    </row>
    <row r="30" spans="1:26" s="596" customFormat="1" ht="12.75">
      <c r="A30" s="595"/>
      <c r="B30" s="794">
        <v>46013</v>
      </c>
      <c r="C30" s="794">
        <v>9150</v>
      </c>
      <c r="D30" s="643" t="s">
        <v>876</v>
      </c>
      <c r="E30" s="642"/>
      <c r="F30" s="642" t="s">
        <v>877</v>
      </c>
      <c r="G30" s="642" t="s">
        <v>878</v>
      </c>
      <c r="H30" s="642" t="s">
        <v>879</v>
      </c>
      <c r="I30" s="642" t="s">
        <v>880</v>
      </c>
      <c r="J30" s="793">
        <v>43083</v>
      </c>
      <c r="K30" s="793">
        <v>43083</v>
      </c>
      <c r="L30" s="642" t="s">
        <v>881</v>
      </c>
      <c r="M30" s="642">
        <v>1.7</v>
      </c>
      <c r="N30" s="642">
        <v>8.5</v>
      </c>
      <c r="O30" s="642">
        <v>12.175675675675675</v>
      </c>
      <c r="P30" s="642">
        <v>22.972972972972972</v>
      </c>
      <c r="Q30" s="642">
        <v>0</v>
      </c>
      <c r="R30" s="642">
        <v>0</v>
      </c>
      <c r="S30" s="642">
        <v>0</v>
      </c>
      <c r="T30" s="642">
        <v>0</v>
      </c>
      <c r="U30" s="642">
        <v>0</v>
      </c>
      <c r="V30" s="642">
        <v>0</v>
      </c>
      <c r="W30" s="642">
        <v>0</v>
      </c>
      <c r="X30" s="642">
        <v>1100</v>
      </c>
      <c r="Y30" s="642" t="s">
        <v>160</v>
      </c>
      <c r="Z30" s="644" t="s">
        <v>155</v>
      </c>
    </row>
    <row r="31" spans="1:26" s="576" customFormat="1">
      <c r="A31" s="598" t="s">
        <v>279</v>
      </c>
      <c r="B31" s="599"/>
      <c r="C31" s="599"/>
      <c r="D31" s="599"/>
      <c r="E31" s="599"/>
      <c r="F31" s="599"/>
      <c r="G31" s="599"/>
      <c r="H31" s="599"/>
      <c r="I31" s="599"/>
      <c r="J31" s="599"/>
      <c r="K31" s="599"/>
      <c r="L31" s="600"/>
      <c r="M31" s="600">
        <f>SUM(M28:M30)</f>
        <v>669.7</v>
      </c>
      <c r="N31" s="600">
        <f>SUM(N28:N30)</f>
        <v>2384.5</v>
      </c>
      <c r="O31" s="600">
        <f>SUM(O28:O30)</f>
        <v>2685.1756756756758</v>
      </c>
      <c r="P31" s="600">
        <f>SUM(P28:P30)</f>
        <v>22.972972972972972</v>
      </c>
      <c r="Q31" s="600">
        <f>SUM(Q28:Q30)</f>
        <v>0</v>
      </c>
      <c r="R31" s="600">
        <f>SUM(R28:R30)</f>
        <v>0</v>
      </c>
      <c r="S31" s="600">
        <f>SUM(S28:S30)</f>
        <v>1485</v>
      </c>
      <c r="T31" s="600">
        <f>SUM(T28:T30)</f>
        <v>4455</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1.7</v>
      </c>
      <c r="N33" s="600">
        <f ca="1">SUMIF($Z$28:AD30,"tertiair",N28:N30)</f>
        <v>8.5</v>
      </c>
      <c r="O33" s="600">
        <f ca="1">SUMIF($Z$28:AE30,"tertiair",O28:O30)</f>
        <v>12.175675675675675</v>
      </c>
      <c r="P33" s="600">
        <f ca="1">SUMIF($Z$28:AF30,"tertiair",P28:P30)</f>
        <v>22.972972972972972</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668</v>
      </c>
      <c r="N34" s="605">
        <f>SUMIF($Z$28:$Z$30,"landbouw",N28:N30)</f>
        <v>2376</v>
      </c>
      <c r="O34" s="605">
        <f>SUMIF($Z$28:$Z$30,"landbouw",O28:O30)</f>
        <v>2673</v>
      </c>
      <c r="P34" s="605">
        <f>SUMIF($Z$28:$Z$30,"landbouw",P28:P30)</f>
        <v>0</v>
      </c>
      <c r="Q34" s="605">
        <f>SUMIF($Z$28:$Z$30,"landbouw",Q28:Q30)</f>
        <v>0</v>
      </c>
      <c r="R34" s="605">
        <f>SUMIF($Z$28:$Z$30,"landbouw",R28:R30)</f>
        <v>0</v>
      </c>
      <c r="S34" s="605">
        <f>SUMIF($Z$28:$Z$30,"landbouw",S28:S30)</f>
        <v>1485</v>
      </c>
      <c r="T34" s="605">
        <f>SUMIF($Z$28:$Z$30,"landbouw",T28:T30)</f>
        <v>4455</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0.52965433046519317</v>
      </c>
      <c r="C47" s="625">
        <f>IF(ISERROR(N31/(O31+N31)),0,N31/(N31+O31))</f>
        <v>0.47034566953480683</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10.805238354177995</v>
      </c>
      <c r="C50" s="634">
        <f t="shared" si="2"/>
        <v>0</v>
      </c>
      <c r="D50" s="634">
        <f t="shared" si="2"/>
        <v>0</v>
      </c>
      <c r="E50" s="634">
        <f t="shared" si="2"/>
        <v>698.4633192591881</v>
      </c>
      <c r="F50" s="634">
        <f t="shared" si="2"/>
        <v>2095.3899577775646</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12.167734618794977</v>
      </c>
      <c r="C51" s="637">
        <f t="shared" si="3"/>
        <v>0</v>
      </c>
      <c r="D51" s="637">
        <f t="shared" si="3"/>
        <v>0</v>
      </c>
      <c r="E51" s="637">
        <f t="shared" si="3"/>
        <v>786.5366807408119</v>
      </c>
      <c r="F51" s="637">
        <f t="shared" si="3"/>
        <v>2359.6100422224354</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29064.404079417807</v>
      </c>
      <c r="C4" s="455">
        <f>huishoudens!C8</f>
        <v>0</v>
      </c>
      <c r="D4" s="455">
        <f>huishoudens!D8</f>
        <v>72926.114233935165</v>
      </c>
      <c r="E4" s="455">
        <f>huishoudens!E8</f>
        <v>1626.4985395634599</v>
      </c>
      <c r="F4" s="455">
        <f>huishoudens!F8</f>
        <v>0</v>
      </c>
      <c r="G4" s="455">
        <f>huishoudens!G8</f>
        <v>0</v>
      </c>
      <c r="H4" s="455">
        <f>huishoudens!H8</f>
        <v>0</v>
      </c>
      <c r="I4" s="455">
        <f>huishoudens!I8</f>
        <v>0</v>
      </c>
      <c r="J4" s="455">
        <f>huishoudens!J8</f>
        <v>235.93219515531098</v>
      </c>
      <c r="K4" s="455">
        <f>huishoudens!K8</f>
        <v>0</v>
      </c>
      <c r="L4" s="455">
        <f>huishoudens!L8</f>
        <v>0</v>
      </c>
      <c r="M4" s="455">
        <f>huishoudens!M8</f>
        <v>0</v>
      </c>
      <c r="N4" s="455">
        <f>huishoudens!N8</f>
        <v>14125.312514502893</v>
      </c>
      <c r="O4" s="455">
        <f>huishoudens!O8</f>
        <v>382.90393634169709</v>
      </c>
      <c r="P4" s="456">
        <f>huishoudens!P8</f>
        <v>463.49420953814104</v>
      </c>
      <c r="Q4" s="457">
        <f>SUM(B4:P4)</f>
        <v>118824.65970845448</v>
      </c>
    </row>
    <row r="5" spans="1:17">
      <c r="A5" s="454" t="s">
        <v>155</v>
      </c>
      <c r="B5" s="455">
        <f ca="1">tertiair!B16</f>
        <v>13615.509567481558</v>
      </c>
      <c r="C5" s="455">
        <f ca="1">tertiair!C16</f>
        <v>12.175675675675675</v>
      </c>
      <c r="D5" s="455">
        <f ca="1">tertiair!D16</f>
        <v>15603.533537480866</v>
      </c>
      <c r="E5" s="455">
        <f>tertiair!E16</f>
        <v>48.997608740277713</v>
      </c>
      <c r="F5" s="455">
        <f ca="1">tertiair!F16</f>
        <v>2018.9043778474013</v>
      </c>
      <c r="G5" s="455">
        <f>tertiair!G16</f>
        <v>0</v>
      </c>
      <c r="H5" s="455">
        <f>tertiair!H16</f>
        <v>0</v>
      </c>
      <c r="I5" s="455">
        <f>tertiair!I16</f>
        <v>0</v>
      </c>
      <c r="J5" s="455">
        <f>tertiair!J16</f>
        <v>1.5048219157754332E-2</v>
      </c>
      <c r="K5" s="455">
        <f>tertiair!K16</f>
        <v>0</v>
      </c>
      <c r="L5" s="455">
        <f ca="1">tertiair!L16</f>
        <v>0</v>
      </c>
      <c r="M5" s="455">
        <f>tertiair!M16</f>
        <v>0</v>
      </c>
      <c r="N5" s="455">
        <f ca="1">tertiair!N16</f>
        <v>550.71846636101907</v>
      </c>
      <c r="O5" s="455">
        <f>tertiair!O16</f>
        <v>9.7945215316823084</v>
      </c>
      <c r="P5" s="456">
        <f>tertiair!P16</f>
        <v>52.539138306495019</v>
      </c>
      <c r="Q5" s="454">
        <f t="shared" ref="Q5:Q14" ca="1" si="0">SUM(B5:P5)</f>
        <v>31912.187941644133</v>
      </c>
    </row>
    <row r="6" spans="1:17">
      <c r="A6" s="454" t="s">
        <v>193</v>
      </c>
      <c r="B6" s="455">
        <f>'openbare verlichting'!B8</f>
        <v>1103.3140000000001</v>
      </c>
      <c r="C6" s="455"/>
      <c r="D6" s="455"/>
      <c r="E6" s="455"/>
      <c r="F6" s="455"/>
      <c r="G6" s="455"/>
      <c r="H6" s="455"/>
      <c r="I6" s="455"/>
      <c r="J6" s="455"/>
      <c r="K6" s="455"/>
      <c r="L6" s="455"/>
      <c r="M6" s="455"/>
      <c r="N6" s="455"/>
      <c r="O6" s="455"/>
      <c r="P6" s="456"/>
      <c r="Q6" s="454">
        <f t="shared" si="0"/>
        <v>1103.3140000000001</v>
      </c>
    </row>
    <row r="7" spans="1:17">
      <c r="A7" s="454" t="s">
        <v>111</v>
      </c>
      <c r="B7" s="455">
        <f>landbouw!B8</f>
        <v>2392.6563801556604</v>
      </c>
      <c r="C7" s="455">
        <f>landbouw!C8</f>
        <v>2673</v>
      </c>
      <c r="D7" s="455">
        <f>landbouw!D8</f>
        <v>293.71500473760398</v>
      </c>
      <c r="E7" s="455">
        <f>landbouw!E8</f>
        <v>89.229475029792454</v>
      </c>
      <c r="F7" s="455">
        <f>landbouw!F8</f>
        <v>6277.7018560437209</v>
      </c>
      <c r="G7" s="455">
        <f>landbouw!G8</f>
        <v>0</v>
      </c>
      <c r="H7" s="455">
        <f>landbouw!H8</f>
        <v>0</v>
      </c>
      <c r="I7" s="455">
        <f>landbouw!I8</f>
        <v>0</v>
      </c>
      <c r="J7" s="455">
        <f>landbouw!J8</f>
        <v>628.0841121132122</v>
      </c>
      <c r="K7" s="455">
        <f>landbouw!K8</f>
        <v>0</v>
      </c>
      <c r="L7" s="455">
        <f>landbouw!L8</f>
        <v>0</v>
      </c>
      <c r="M7" s="455">
        <f>landbouw!M8</f>
        <v>0</v>
      </c>
      <c r="N7" s="455">
        <f>landbouw!N8</f>
        <v>0</v>
      </c>
      <c r="O7" s="455">
        <f>landbouw!O8</f>
        <v>0</v>
      </c>
      <c r="P7" s="456">
        <f>landbouw!P8</f>
        <v>0</v>
      </c>
      <c r="Q7" s="454">
        <f t="shared" si="0"/>
        <v>12354.386828079989</v>
      </c>
    </row>
    <row r="8" spans="1:17">
      <c r="A8" s="454" t="s">
        <v>626</v>
      </c>
      <c r="B8" s="455">
        <f>industrie!B18</f>
        <v>6672.6136622732738</v>
      </c>
      <c r="C8" s="455">
        <f>industrie!C18</f>
        <v>0</v>
      </c>
      <c r="D8" s="455">
        <f>industrie!D18</f>
        <v>4250.9093300256909</v>
      </c>
      <c r="E8" s="455">
        <f>industrie!E18</f>
        <v>69.949159062866229</v>
      </c>
      <c r="F8" s="455">
        <f>industrie!F18</f>
        <v>1170.6657019630238</v>
      </c>
      <c r="G8" s="455">
        <f>industrie!G18</f>
        <v>0</v>
      </c>
      <c r="H8" s="455">
        <f>industrie!H18</f>
        <v>0</v>
      </c>
      <c r="I8" s="455">
        <f>industrie!I18</f>
        <v>0</v>
      </c>
      <c r="J8" s="455">
        <f>industrie!J18</f>
        <v>1.1892196001936628</v>
      </c>
      <c r="K8" s="455">
        <f>industrie!K18</f>
        <v>0</v>
      </c>
      <c r="L8" s="455">
        <f>industrie!L18</f>
        <v>0</v>
      </c>
      <c r="M8" s="455">
        <f>industrie!M18</f>
        <v>0</v>
      </c>
      <c r="N8" s="455">
        <f>industrie!N18</f>
        <v>181.13387886128149</v>
      </c>
      <c r="O8" s="455">
        <f>industrie!O18</f>
        <v>0</v>
      </c>
      <c r="P8" s="456">
        <f>industrie!P18</f>
        <v>0</v>
      </c>
      <c r="Q8" s="454">
        <f t="shared" si="0"/>
        <v>12346.460951786328</v>
      </c>
    </row>
    <row r="9" spans="1:17" s="460" customFormat="1">
      <c r="A9" s="458" t="s">
        <v>552</v>
      </c>
      <c r="B9" s="459">
        <f>transport!B14</f>
        <v>91.690018908327474</v>
      </c>
      <c r="C9" s="459">
        <f>transport!C14</f>
        <v>0</v>
      </c>
      <c r="D9" s="459">
        <f>transport!D14</f>
        <v>363.96506850945218</v>
      </c>
      <c r="E9" s="459">
        <f>transport!E14</f>
        <v>223.81778844750249</v>
      </c>
      <c r="F9" s="459">
        <f>transport!F14</f>
        <v>0</v>
      </c>
      <c r="G9" s="459">
        <f>transport!G14</f>
        <v>133559.98770511572</v>
      </c>
      <c r="H9" s="459">
        <f>transport!H14</f>
        <v>23803.991308490564</v>
      </c>
      <c r="I9" s="459">
        <f>transport!I14</f>
        <v>0</v>
      </c>
      <c r="J9" s="459">
        <f>transport!J14</f>
        <v>0</v>
      </c>
      <c r="K9" s="459">
        <f>transport!K14</f>
        <v>0</v>
      </c>
      <c r="L9" s="459">
        <f>transport!L14</f>
        <v>0</v>
      </c>
      <c r="M9" s="459">
        <f>transport!M14</f>
        <v>9174.3616858131081</v>
      </c>
      <c r="N9" s="459">
        <f>transport!N14</f>
        <v>0</v>
      </c>
      <c r="O9" s="459">
        <f>transport!O14</f>
        <v>0</v>
      </c>
      <c r="P9" s="459">
        <f>transport!P14</f>
        <v>0</v>
      </c>
      <c r="Q9" s="458">
        <f>SUM(B9:P9)</f>
        <v>167217.8135752847</v>
      </c>
    </row>
    <row r="10" spans="1:17">
      <c r="A10" s="454" t="s">
        <v>542</v>
      </c>
      <c r="B10" s="455">
        <f>transport!B54</f>
        <v>0</v>
      </c>
      <c r="C10" s="455">
        <f>transport!C54</f>
        <v>0</v>
      </c>
      <c r="D10" s="455">
        <f>transport!D54</f>
        <v>0</v>
      </c>
      <c r="E10" s="455">
        <f>transport!E54</f>
        <v>0</v>
      </c>
      <c r="F10" s="455">
        <f>transport!F54</f>
        <v>0</v>
      </c>
      <c r="G10" s="455">
        <f>transport!G54</f>
        <v>1317.6961539762785</v>
      </c>
      <c r="H10" s="455">
        <f>transport!H54</f>
        <v>0</v>
      </c>
      <c r="I10" s="455">
        <f>transport!I54</f>
        <v>0</v>
      </c>
      <c r="J10" s="455">
        <f>transport!J54</f>
        <v>0</v>
      </c>
      <c r="K10" s="455">
        <f>transport!K54</f>
        <v>0</v>
      </c>
      <c r="L10" s="455">
        <f>transport!L54</f>
        <v>0</v>
      </c>
      <c r="M10" s="455">
        <f>transport!M54</f>
        <v>71.505698369616923</v>
      </c>
      <c r="N10" s="455">
        <f>transport!N54</f>
        <v>0</v>
      </c>
      <c r="O10" s="455">
        <f>transport!O54</f>
        <v>0</v>
      </c>
      <c r="P10" s="456">
        <f>transport!P54</f>
        <v>0</v>
      </c>
      <c r="Q10" s="454">
        <f t="shared" si="0"/>
        <v>1389.2018523458955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2381.5640713593698</v>
      </c>
      <c r="C14" s="462"/>
      <c r="D14" s="462">
        <f>'SEAP template'!E25</f>
        <v>2959.0196743190199</v>
      </c>
      <c r="E14" s="462"/>
      <c r="F14" s="462"/>
      <c r="G14" s="462"/>
      <c r="H14" s="462"/>
      <c r="I14" s="462"/>
      <c r="J14" s="462"/>
      <c r="K14" s="462"/>
      <c r="L14" s="462"/>
      <c r="M14" s="462"/>
      <c r="N14" s="462"/>
      <c r="O14" s="462"/>
      <c r="P14" s="463"/>
      <c r="Q14" s="454">
        <f t="shared" si="0"/>
        <v>5340.5837456783902</v>
      </c>
    </row>
    <row r="15" spans="1:17" s="466" customFormat="1">
      <c r="A15" s="464" t="s">
        <v>546</v>
      </c>
      <c r="B15" s="465">
        <f ca="1">SUM(B4:B14)</f>
        <v>55321.751779595994</v>
      </c>
      <c r="C15" s="465">
        <f t="shared" ref="C15:Q15" ca="1" si="1">SUM(C4:C14)</f>
        <v>2685.1756756756758</v>
      </c>
      <c r="D15" s="465">
        <f t="shared" ca="1" si="1"/>
        <v>96397.256849007797</v>
      </c>
      <c r="E15" s="465">
        <f t="shared" si="1"/>
        <v>2058.4925708438986</v>
      </c>
      <c r="F15" s="465">
        <f t="shared" ca="1" si="1"/>
        <v>9467.2719358541453</v>
      </c>
      <c r="G15" s="465">
        <f t="shared" si="1"/>
        <v>134877.68385909201</v>
      </c>
      <c r="H15" s="465">
        <f t="shared" si="1"/>
        <v>23803.991308490564</v>
      </c>
      <c r="I15" s="465">
        <f t="shared" si="1"/>
        <v>0</v>
      </c>
      <c r="J15" s="465">
        <f t="shared" si="1"/>
        <v>865.22057508787452</v>
      </c>
      <c r="K15" s="465">
        <f t="shared" si="1"/>
        <v>0</v>
      </c>
      <c r="L15" s="465">
        <f t="shared" ca="1" si="1"/>
        <v>0</v>
      </c>
      <c r="M15" s="465">
        <f t="shared" si="1"/>
        <v>9245.8673841827258</v>
      </c>
      <c r="N15" s="465">
        <f t="shared" ca="1" si="1"/>
        <v>14857.164859725193</v>
      </c>
      <c r="O15" s="465">
        <f t="shared" si="1"/>
        <v>392.69845787337943</v>
      </c>
      <c r="P15" s="465">
        <f t="shared" si="1"/>
        <v>516.03334784463607</v>
      </c>
      <c r="Q15" s="465">
        <f t="shared" ca="1" si="1"/>
        <v>350488.60860327387</v>
      </c>
    </row>
    <row r="17" spans="1:17">
      <c r="A17" s="467" t="s">
        <v>547</v>
      </c>
      <c r="B17" s="784">
        <f ca="1">huishoudens!B10</f>
        <v>0.12818730346931245</v>
      </c>
      <c r="C17" s="784">
        <f ca="1">huishoudens!C10</f>
        <v>7.9124497542355718E-2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3725.6875858830531</v>
      </c>
      <c r="C22" s="455">
        <f t="shared" ref="C22:C32" ca="1" si="3">C4*$C$17</f>
        <v>0</v>
      </c>
      <c r="D22" s="455">
        <f t="shared" ref="D22:D32" si="4">D4*$D$17</f>
        <v>14731.075075254905</v>
      </c>
      <c r="E22" s="455">
        <f t="shared" ref="E22:E32" si="5">E4*$E$17</f>
        <v>369.21516848090539</v>
      </c>
      <c r="F22" s="455">
        <f t="shared" ref="F22:F32" si="6">F4*$F$17</f>
        <v>0</v>
      </c>
      <c r="G22" s="455">
        <f t="shared" ref="G22:G32" si="7">G4*$G$17</f>
        <v>0</v>
      </c>
      <c r="H22" s="455">
        <f t="shared" ref="H22:H32" si="8">H4*$H$17</f>
        <v>0</v>
      </c>
      <c r="I22" s="455">
        <f t="shared" ref="I22:I32" si="9">I4*$I$17</f>
        <v>0</v>
      </c>
      <c r="J22" s="455">
        <f t="shared" ref="J22:J32" si="10">J4*$J$17</f>
        <v>83.519997084980076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18909.497826703842</v>
      </c>
    </row>
    <row r="23" spans="1:17">
      <c r="A23" s="454" t="s">
        <v>155</v>
      </c>
      <c r="B23" s="455">
        <f t="shared" ca="1" si="2"/>
        <v>1745.3354568160858</v>
      </c>
      <c r="C23" s="455">
        <f t="shared" ca="1" si="3"/>
        <v>0.96339422007652031</v>
      </c>
      <c r="D23" s="455">
        <f t="shared" ca="1" si="4"/>
        <v>3151.913774571135</v>
      </c>
      <c r="E23" s="455">
        <f t="shared" si="5"/>
        <v>11.122457184043041</v>
      </c>
      <c r="F23" s="455">
        <f t="shared" ca="1" si="6"/>
        <v>539.04746888525619</v>
      </c>
      <c r="G23" s="455">
        <f t="shared" si="7"/>
        <v>0</v>
      </c>
      <c r="H23" s="455">
        <f t="shared" si="8"/>
        <v>0</v>
      </c>
      <c r="I23" s="455">
        <f t="shared" si="9"/>
        <v>0</v>
      </c>
      <c r="J23" s="455">
        <f t="shared" si="10"/>
        <v>5.3270695818450333E-3</v>
      </c>
      <c r="K23" s="455">
        <f t="shared" si="11"/>
        <v>0</v>
      </c>
      <c r="L23" s="455">
        <f t="shared" ca="1" si="12"/>
        <v>0</v>
      </c>
      <c r="M23" s="455">
        <f t="shared" si="13"/>
        <v>0</v>
      </c>
      <c r="N23" s="455">
        <f t="shared" ca="1" si="14"/>
        <v>0</v>
      </c>
      <c r="O23" s="455">
        <f t="shared" si="15"/>
        <v>0</v>
      </c>
      <c r="P23" s="456">
        <f t="shared" si="16"/>
        <v>0</v>
      </c>
      <c r="Q23" s="454">
        <f t="shared" ref="Q23:Q31" ca="1" si="17">SUM(B23:P23)</f>
        <v>5448.3878787461781</v>
      </c>
    </row>
    <row r="24" spans="1:17">
      <c r="A24" s="454" t="s">
        <v>193</v>
      </c>
      <c r="B24" s="455">
        <f t="shared" ca="1" si="2"/>
        <v>141.430846539941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141.430846539941</v>
      </c>
    </row>
    <row r="25" spans="1:17">
      <c r="A25" s="454" t="s">
        <v>111</v>
      </c>
      <c r="B25" s="455">
        <f t="shared" ca="1" si="2"/>
        <v>306.70816950080024</v>
      </c>
      <c r="C25" s="455">
        <f t="shared" ca="1" si="3"/>
        <v>211.49978193071684</v>
      </c>
      <c r="D25" s="455">
        <f t="shared" si="4"/>
        <v>59.330430956996004</v>
      </c>
      <c r="E25" s="455">
        <f t="shared" si="5"/>
        <v>20.255090831762889</v>
      </c>
      <c r="F25" s="455">
        <f t="shared" si="6"/>
        <v>1676.1463955636737</v>
      </c>
      <c r="G25" s="455">
        <f t="shared" si="7"/>
        <v>0</v>
      </c>
      <c r="H25" s="455">
        <f t="shared" si="8"/>
        <v>0</v>
      </c>
      <c r="I25" s="455">
        <f t="shared" si="9"/>
        <v>0</v>
      </c>
      <c r="J25" s="455">
        <f t="shared" si="10"/>
        <v>222.34177568807712</v>
      </c>
      <c r="K25" s="455">
        <f t="shared" si="11"/>
        <v>0</v>
      </c>
      <c r="L25" s="455">
        <f t="shared" si="12"/>
        <v>0</v>
      </c>
      <c r="M25" s="455">
        <f t="shared" si="13"/>
        <v>0</v>
      </c>
      <c r="N25" s="455">
        <f t="shared" si="14"/>
        <v>0</v>
      </c>
      <c r="O25" s="455">
        <f t="shared" si="15"/>
        <v>0</v>
      </c>
      <c r="P25" s="456">
        <f t="shared" si="16"/>
        <v>0</v>
      </c>
      <c r="Q25" s="454">
        <f t="shared" ca="1" si="17"/>
        <v>2496.281644472027</v>
      </c>
    </row>
    <row r="26" spans="1:17">
      <c r="A26" s="454" t="s">
        <v>626</v>
      </c>
      <c r="B26" s="455">
        <f t="shared" ca="1" si="2"/>
        <v>855.34435245930445</v>
      </c>
      <c r="C26" s="455">
        <f t="shared" ca="1" si="3"/>
        <v>0</v>
      </c>
      <c r="D26" s="455">
        <f t="shared" si="4"/>
        <v>858.68368466518962</v>
      </c>
      <c r="E26" s="455">
        <f t="shared" si="5"/>
        <v>15.878459107270634</v>
      </c>
      <c r="F26" s="455">
        <f t="shared" si="6"/>
        <v>312.5677424241274</v>
      </c>
      <c r="G26" s="455">
        <f t="shared" si="7"/>
        <v>0</v>
      </c>
      <c r="H26" s="455">
        <f t="shared" si="8"/>
        <v>0</v>
      </c>
      <c r="I26" s="455">
        <f t="shared" si="9"/>
        <v>0</v>
      </c>
      <c r="J26" s="455">
        <f t="shared" si="10"/>
        <v>0.42098373846855663</v>
      </c>
      <c r="K26" s="455">
        <f t="shared" si="11"/>
        <v>0</v>
      </c>
      <c r="L26" s="455">
        <f t="shared" si="12"/>
        <v>0</v>
      </c>
      <c r="M26" s="455">
        <f t="shared" si="13"/>
        <v>0</v>
      </c>
      <c r="N26" s="455">
        <f t="shared" si="14"/>
        <v>0</v>
      </c>
      <c r="O26" s="455">
        <f t="shared" si="15"/>
        <v>0</v>
      </c>
      <c r="P26" s="456">
        <f t="shared" si="16"/>
        <v>0</v>
      </c>
      <c r="Q26" s="454">
        <f t="shared" ca="1" si="17"/>
        <v>2042.8952223943604</v>
      </c>
    </row>
    <row r="27" spans="1:17" s="460" customFormat="1">
      <c r="A27" s="458" t="s">
        <v>552</v>
      </c>
      <c r="B27" s="778">
        <f t="shared" ca="1" si="2"/>
        <v>11.75349627890877</v>
      </c>
      <c r="C27" s="459">
        <f t="shared" ca="1" si="3"/>
        <v>0</v>
      </c>
      <c r="D27" s="459">
        <f t="shared" si="4"/>
        <v>73.520943838909346</v>
      </c>
      <c r="E27" s="459">
        <f t="shared" si="5"/>
        <v>50.806637977583065</v>
      </c>
      <c r="F27" s="459">
        <f t="shared" si="6"/>
        <v>0</v>
      </c>
      <c r="G27" s="459">
        <f t="shared" si="7"/>
        <v>35660.516717265898</v>
      </c>
      <c r="H27" s="459">
        <f t="shared" si="8"/>
        <v>5927.1938358141506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41723.791631175445</v>
      </c>
    </row>
    <row r="28" spans="1:17" ht="16.5" customHeight="1">
      <c r="A28" s="454" t="s">
        <v>542</v>
      </c>
      <c r="B28" s="455">
        <f t="shared" ca="1" si="2"/>
        <v>0</v>
      </c>
      <c r="C28" s="455">
        <f t="shared" ca="1" si="3"/>
        <v>0</v>
      </c>
      <c r="D28" s="455">
        <f t="shared" si="4"/>
        <v>0</v>
      </c>
      <c r="E28" s="455">
        <f t="shared" si="5"/>
        <v>0</v>
      </c>
      <c r="F28" s="455">
        <f t="shared" si="6"/>
        <v>0</v>
      </c>
      <c r="G28" s="455">
        <f t="shared" si="7"/>
        <v>351.82487311166636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351.82487311166636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305.28627634695482</v>
      </c>
      <c r="C32" s="455">
        <f t="shared" ca="1" si="3"/>
        <v>0</v>
      </c>
      <c r="D32" s="455">
        <f t="shared" si="4"/>
        <v>597.72197421244209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903.00825055939686</v>
      </c>
    </row>
    <row r="33" spans="1:17" s="466" customFormat="1">
      <c r="A33" s="464" t="s">
        <v>546</v>
      </c>
      <c r="B33" s="465">
        <f ca="1">SUM(B22:B32)</f>
        <v>7091.5461838250467</v>
      </c>
      <c r="C33" s="465">
        <f t="shared" ref="C33:Q33" ca="1" si="19">SUM(C22:C32)</f>
        <v>212.46317615079334</v>
      </c>
      <c r="D33" s="465">
        <f t="shared" ca="1" si="19"/>
        <v>19472.245883499581</v>
      </c>
      <c r="E33" s="465">
        <f t="shared" si="19"/>
        <v>467.27781358156506</v>
      </c>
      <c r="F33" s="465">
        <f t="shared" ca="1" si="19"/>
        <v>2527.7616068730576</v>
      </c>
      <c r="G33" s="465">
        <f t="shared" si="19"/>
        <v>36012.341590377568</v>
      </c>
      <c r="H33" s="465">
        <f t="shared" si="19"/>
        <v>5927.1938358141506</v>
      </c>
      <c r="I33" s="465">
        <f t="shared" si="19"/>
        <v>0</v>
      </c>
      <c r="J33" s="465">
        <f t="shared" si="19"/>
        <v>306.28808358110763</v>
      </c>
      <c r="K33" s="465">
        <f t="shared" si="19"/>
        <v>0</v>
      </c>
      <c r="L33" s="465">
        <f t="shared" ca="1" si="19"/>
        <v>0</v>
      </c>
      <c r="M33" s="465">
        <f t="shared" si="19"/>
        <v>0</v>
      </c>
      <c r="N33" s="465">
        <f t="shared" ca="1" si="19"/>
        <v>0</v>
      </c>
      <c r="O33" s="465">
        <f t="shared" si="19"/>
        <v>0</v>
      </c>
      <c r="P33" s="465">
        <f t="shared" si="19"/>
        <v>0</v>
      </c>
      <c r="Q33" s="465">
        <f t="shared" ca="1" si="19"/>
        <v>72017.118173702853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15480.102688979709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6222.4259257506756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1781.4850994878302</v>
      </c>
      <c r="C8" s="1026">
        <f>'SEAP template'!C76</f>
        <v>603.01490051216956</v>
      </c>
      <c r="D8" s="1026">
        <f>'SEAP template'!D76</f>
        <v>10.805238354177995</v>
      </c>
      <c r="E8" s="1026">
        <f>'SEAP template'!E76</f>
        <v>0</v>
      </c>
      <c r="F8" s="1026">
        <f>'SEAP template'!F76</f>
        <v>698.4633192591881</v>
      </c>
      <c r="G8" s="1026">
        <f>'SEAP template'!G76</f>
        <v>0</v>
      </c>
      <c r="H8" s="1026">
        <f>'SEAP template'!H76</f>
        <v>0</v>
      </c>
      <c r="I8" s="1026">
        <f>'SEAP template'!I76</f>
        <v>2095.3899577775646</v>
      </c>
      <c r="J8" s="1026">
        <f>'SEAP template'!J76</f>
        <v>0</v>
      </c>
      <c r="K8" s="1026">
        <f>'SEAP template'!K76</f>
        <v>0</v>
      </c>
      <c r="L8" s="1026">
        <f>'SEAP template'!L76</f>
        <v>0</v>
      </c>
      <c r="M8" s="1026">
        <f>'SEAP template'!M76</f>
        <v>0</v>
      </c>
      <c r="N8" s="1026">
        <f>'SEAP template'!N76</f>
        <v>0</v>
      </c>
      <c r="O8" s="1026">
        <f>'SEAP template'!O76</f>
        <v>0</v>
      </c>
      <c r="P8" s="1027">
        <f>'SEAP template'!Q76</f>
        <v>188.67236438974717</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23484.013714218214</v>
      </c>
      <c r="C10" s="1028">
        <f>SUM(C4:C9)</f>
        <v>603.01490051216956</v>
      </c>
      <c r="D10" s="1028">
        <f t="shared" ref="D10:H10" si="0">SUM(D8:D9)</f>
        <v>10.805238354177995</v>
      </c>
      <c r="E10" s="1028">
        <f t="shared" si="0"/>
        <v>0</v>
      </c>
      <c r="F10" s="1028">
        <f t="shared" si="0"/>
        <v>698.4633192591881</v>
      </c>
      <c r="G10" s="1028">
        <f t="shared" si="0"/>
        <v>0</v>
      </c>
      <c r="H10" s="1028">
        <f t="shared" si="0"/>
        <v>0</v>
      </c>
      <c r="I10" s="1028">
        <f>SUM(I8:I9)</f>
        <v>2095.3899577775646</v>
      </c>
      <c r="J10" s="1028">
        <f>SUM(J8:J9)</f>
        <v>0</v>
      </c>
      <c r="K10" s="1028">
        <f t="shared" ref="K10:L10" si="1">SUM(K8:K9)</f>
        <v>0</v>
      </c>
      <c r="L10" s="1028">
        <f t="shared" si="1"/>
        <v>0</v>
      </c>
      <c r="M10" s="1028">
        <f>SUM(M8:M9)</f>
        <v>0</v>
      </c>
      <c r="N10" s="1028">
        <f>SUM(N8:N9)</f>
        <v>0</v>
      </c>
      <c r="O10" s="1028">
        <f>SUM(O8:O9)</f>
        <v>0</v>
      </c>
      <c r="P10" s="1028">
        <f>SUM(P8:P9)</f>
        <v>188.67236438974717</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0.12818730346931245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2006.1230680324527</v>
      </c>
      <c r="C17" s="1029">
        <f>'SEAP template'!C87</f>
        <v>679.05260764322327</v>
      </c>
      <c r="D17" s="1027">
        <f>'SEAP template'!D87</f>
        <v>12.167734618794977</v>
      </c>
      <c r="E17" s="1027">
        <f>'SEAP template'!E87</f>
        <v>0</v>
      </c>
      <c r="F17" s="1027">
        <f>'SEAP template'!F87</f>
        <v>786.5366807408119</v>
      </c>
      <c r="G17" s="1027">
        <f>'SEAP template'!G87</f>
        <v>0</v>
      </c>
      <c r="H17" s="1027">
        <f>'SEAP template'!H87</f>
        <v>0</v>
      </c>
      <c r="I17" s="1027">
        <f>'SEAP template'!I87</f>
        <v>2359.6100422224354</v>
      </c>
      <c r="J17" s="1027">
        <f>'SEAP template'!J87</f>
        <v>0</v>
      </c>
      <c r="K17" s="1027">
        <f>'SEAP template'!K87</f>
        <v>0</v>
      </c>
      <c r="L17" s="1027">
        <f>'SEAP template'!L87</f>
        <v>0</v>
      </c>
      <c r="M17" s="1027">
        <f>'SEAP template'!M87</f>
        <v>0</v>
      </c>
      <c r="N17" s="1027">
        <f>'SEAP template'!N87</f>
        <v>0</v>
      </c>
      <c r="O17" s="1027">
        <f>'SEAP template'!O87</f>
        <v>0</v>
      </c>
      <c r="P17" s="1027">
        <f>'SEAP template'!Q87</f>
        <v>212.46317615079337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2006.1230680324527</v>
      </c>
      <c r="C20" s="1028">
        <f>SUM(C17:C19)</f>
        <v>679.05260764322327</v>
      </c>
      <c r="D20" s="1028">
        <f t="shared" ref="D20:H20" si="2">SUM(D17:D19)</f>
        <v>12.167734618794977</v>
      </c>
      <c r="E20" s="1028">
        <f t="shared" si="2"/>
        <v>0</v>
      </c>
      <c r="F20" s="1028">
        <f t="shared" si="2"/>
        <v>786.5366807408119</v>
      </c>
      <c r="G20" s="1028">
        <f t="shared" si="2"/>
        <v>0</v>
      </c>
      <c r="H20" s="1028">
        <f t="shared" si="2"/>
        <v>0</v>
      </c>
      <c r="I20" s="1028">
        <f>SUM(I17:I19)</f>
        <v>2359.6100422224354</v>
      </c>
      <c r="J20" s="1028">
        <f>SUM(J17:J19)</f>
        <v>0</v>
      </c>
      <c r="K20" s="1028">
        <f t="shared" ref="K20:L20" si="3">SUM(K17:K19)</f>
        <v>0</v>
      </c>
      <c r="L20" s="1028">
        <f t="shared" si="3"/>
        <v>0</v>
      </c>
      <c r="M20" s="1028">
        <f>SUM(M17:M19)</f>
        <v>0</v>
      </c>
      <c r="N20" s="1028">
        <f>SUM(N17:N19)</f>
        <v>0</v>
      </c>
      <c r="O20" s="1028">
        <f>SUM(O17:O19)</f>
        <v>0</v>
      </c>
      <c r="P20" s="1028">
        <f>SUM(P17:P19)</f>
        <v>212.46317615079337</v>
      </c>
    </row>
    <row r="21" spans="1:16">
      <c r="B21" s="890"/>
    </row>
    <row r="22" spans="1:16">
      <c r="A22" s="467" t="s">
        <v>773</v>
      </c>
      <c r="B22" s="784" t="s">
        <v>771</v>
      </c>
      <c r="C22" s="784">
        <f ca="1">'EF ele_warmte'!B22</f>
        <v>7.9124497542355718E-2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0.12818730346931245</v>
      </c>
      <c r="C17" s="504">
        <f ca="1">'EF ele_warmte'!B22</f>
        <v>7.9124497542355718E-2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2020-06-20T15:25:40Z</dcterms:modified>
</cp:coreProperties>
</file>