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L6" i="17"/>
  <c r="L5" i="17" s="1"/>
  <c r="J15" i="16"/>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56" i="22"/>
  <c r="C58" i="22" s="1"/>
  <c r="D49" i="14" s="1"/>
  <c r="D52" i="14" s="1"/>
  <c r="C17" i="49"/>
  <c r="C17" i="19"/>
  <c r="C19" i="19" s="1"/>
  <c r="D39" i="14" s="1"/>
  <c r="C10" i="17"/>
  <c r="C12" i="17" s="1"/>
  <c r="D54" i="14" s="1"/>
  <c r="D56" i="14" s="1"/>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<sst xmlns="http://schemas.openxmlformats.org/spreadsheetml/2006/main" count="2375" uniqueCount="871">
  <si>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</si>
  <si>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</si>
  <si>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</si>
  <si>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</si>
  <si>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</si>
  <si>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</si>
  <si>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</si>
  <si>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</si>
  <si>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</si>
  <si>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</si>
  <si>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</si>
  <si>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</si>
  <si>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</si>
  <si>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</si>
  <si>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</si>
  <si>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</si>
  <si>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</si>
  <si>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</si>
  <si>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</si>
  <si>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</si>
  <si>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</si>
  <si>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</si>
  <si>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</si>
  <si>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</si>
  <si>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</si>
  <si>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</si>
  <si>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</si>
  <si>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</si>
  <si>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</si>
  <si>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</si>
  <si>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</si>
  <si>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</si>
  <si>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</si>
  <si>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</si>
  <si>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</si>
  <si>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</si>
  <si>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</si>
  <si>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</si>
  <si>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</si>
  <si>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</si>
  <si>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</si>
  <si>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</si>
  <si>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</si>
  <si>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</si>
  <si>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</si>
  <si>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</si>
  <si>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</si>
  <si>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</si>
  <si>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</si>
  <si>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</si>
  <si>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</si>
  <si>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</si>
  <si>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</si>
  <si>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</si>
  <si>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</si>
  <si>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</si>
  <si>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</si>
  <si>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</si>
  <si>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</si>
  <si>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</si>
  <si>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</si>
  <si>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</si>
  <si>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</si>
  <si>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</si>
  <si>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</si>
  <si>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</si>
  <si>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</si>
  <si>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</si>
  <si>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</si>
  <si>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</si>
  <si>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</si>
  <si>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</si>
  <si>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</si>
  <si>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</si>
  <si>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</si>
  <si>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</si>
  <si>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</si>
  <si>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</si>
  <si>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</si>
  <si>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</si>
  <si>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</si>
  <si>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</si>
  <si>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</si>
  <si>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</si>
  <si>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</si>
  <si>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</si>
  <si>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</si>
  <si>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</si>
  <si>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</si>
  <si>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</si>
  <si>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</si>
  <si>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</si>
  <si>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</si>
  <si>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</si>
  <si>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</si>
  <si>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</si>
  <si>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</si>
  <si>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</si>
  <si>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</si>
  <si>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</si>
  <si>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</si>
  <si>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</si>
  <si>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</si>
  <si>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</si>
  <si>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</si>
  <si>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</si>
  <si>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</si>
  <si>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</si>
  <si>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</si>
  <si>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</si>
  <si>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</si>
  <si>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</si>
  <si>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</si>
  <si>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</si>
  <si>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</si>
  <si>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</si>
  <si>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</si>
  <si>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</si>
  <si>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</si>
  <si>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</si>
  <si>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</si>
  <si>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</si>
  <si>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</si>
  <si>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</si>
  <si>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</si>
  <si>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</si>
  <si>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</si>
  <si>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</si>
  <si>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</si>
  <si>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</si>
  <si>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</si>
  <si>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</si>
  <si>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</si>
  <si>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</si>
  <si>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</si>
  <si>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</si>
  <si>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</si>
  <si>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</si>
  <si>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</si>
  <si>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</si>
  <si>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</si>
  <si>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</si>
  <si>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</si>
  <si>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</si>
  <si>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</si>
  <si>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</si>
  <si>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</si>
  <si>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</si>
  <si>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</si>
  <si>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</si>
  <si>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</si>
  <si>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</si>
  <si>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</si>
  <si>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</si>
  <si>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</si>
  <si>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</si>
  <si>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</si>
  <si>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</si>
  <si>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</si>
  <si>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</si>
  <si>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</si>
  <si>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</si>
  <si>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</si>
  <si>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</si>
  <si>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</si>
  <si>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</si>
  <si>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</si>
  <si>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</si>
  <si>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</si>
  <si>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</si>
  <si>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</si>
  <si>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</si>
  <si>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</si>
  <si>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</si>
  <si>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</si>
  <si>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</si>
  <si>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</si>
  <si>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</si>
  <si>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</si>
  <si>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</si>
  <si>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</si>
  <si>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</si>
  <si>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</si>
  <si>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</si>
  <si>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</si>
  <si>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</si>
  <si>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</si>
  <si>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</si>
  <si>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</si>
  <si>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</si>
  <si>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</si>
  <si>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</si>
  <si>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</si>
  <si>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</si>
  <si>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</si>
  <si>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</si>
  <si>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</si>
  <si>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</si>
  <si>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</si>
  <si>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</si>
  <si>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</si>
  <si>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</si>
  <si>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</si>
  <si>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</si>
  <si>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</si>
  <si>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</si>
  <si>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</si>
  <si>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</si>
  <si>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</si>
  <si>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</si>
  <si>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</si>
  <si>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</si>
  <si>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</si>
  <si>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</si>
  <si>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</si>
  <si>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</si>
  <si>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</si>
  <si>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</si>
  <si>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</si>
  <si>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</si>
  <si>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</si>
  <si>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</si>
  <si>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</si>
  <si>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</si>
  <si>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</si>
  <si>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</si>
  <si>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</si>
  <si>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</si>
  <si>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</si>
  <si>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</si>
  <si>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</si>
  <si>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</si>
  <si>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</si>
  <si>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</si>
  <si>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</si>
  <si>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</si>
  <si>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</si>
  <si>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</si>
  <si>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</si>
  <si>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</si>
  <si>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</si>
  <si>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</si>
  <si>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</si>
  <si>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</si>
  <si>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</si>
  <si>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</si>
  <si>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</si>
  <si>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</si>
  <si>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</si>
  <si>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</si>
  <si>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</si>
  <si>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</si>
  <si>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</si>
  <si>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</si>
  <si>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</si>
  <si>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</si>
  <si>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</si>
  <si>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</si>
  <si>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</si>
  <si>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</si>
  <si>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</si>
  <si>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</si>
  <si>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</si>
  <si>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</si>
  <si>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</si>
  <si>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</si>
  <si>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</si>
  <si>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</si>
  <si>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</si>
  <si>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</si>
  <si>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</si>
  <si>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</si>
  <si>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</si>
  <si>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</si>
  <si>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</si>
  <si>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</si>
  <si>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</si>
  <si>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</si>
  <si>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</si>
  <si>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</si>
  <si>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</si>
  <si>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</si>
  <si>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</si>
  <si>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</si>
  <si>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</si>
  <si>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</si>
  <si>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</si>
  <si>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</si>
  <si>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</si>
  <si>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</si>
  <si>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</si>
  <si>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</si>
  <si>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</si>
  <si>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</si>
  <si>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</si>
  <si>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</si>
  <si>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</si>
  <si>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</si>
  <si>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</si>
  <si>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</si>
  <si>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</si>
  <si>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</si>
  <si>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</si>
  <si>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</si>
  <si>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</si>
  <si>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</si>
  <si>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</si>
  <si>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</si>
  <si>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</si>
  <si>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</si>
  <si>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</si>
  <si>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</si>
  <si>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</si>
  <si>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</si>
  <si>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</si>
  <si>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</si>
  <si>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</si>
  <si>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</si>
  <si>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</si>
  <si>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</si>
  <si>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</si>
  <si>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</si>
  <si>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</si>
  <si>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</si>
  <si>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</si>
  <si>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</si>
  <si>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</si>
  <si>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</si>
  <si>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</si>
  <si>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</si>
  <si>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</si>
  <si>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</si>
  <si>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</si>
  <si>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</si>
  <si>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</si>
  <si>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</si>
  <si>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</si>
  <si>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</si>
  <si>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</si>
  <si>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</si>
  <si>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</si>
  <si>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</si>
  <si>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</si>
  <si>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</si>
  <si>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</si>
  <si>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</si>
  <si>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</si>
  <si>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</si>
  <si>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</si>
  <si>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</si>
  <si>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</si>
  <si>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</si>
  <si>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</si>
  <si>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</si>
  <si>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</si>
  <si>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</si>
  <si>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</si>
  <si>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</si>
  <si>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</si>
  <si>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</si>
  <si>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</si>
  <si>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</si>
  <si>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</si>
  <si>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</si>
  <si>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</si>
  <si>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</si>
  <si>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</si>
  <si>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</si>
  <si>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</si>
  <si>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</si>
  <si>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</si>
  <si>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</si>
  <si>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</si>
  <si>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</si>
  <si>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</si>
  <si>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</si>
  <si>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</si>
  <si>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</si>
  <si>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</si>
  <si>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</si>
  <si>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</si>
  <si>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</si>
  <si>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</si>
  <si>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</si>
  <si>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</si>
  <si>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</si>
  <si>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</si>
  <si>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</si>
  <si>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</si>
  <si>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</si>
  <si>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</si>
  <si>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</si>
  <si>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</si>
  <si>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</si>
  <si>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</si>
  <si>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</si>
  <si>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</si>
  <si>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</si>
  <si>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</si>
  <si>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</si>
  <si>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</si>
  <si>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</si>
  <si>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</si>
  <si>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</si>
  <si>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</si>
  <si>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</si>
  <si>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</si>
  <si>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</si>
  <si>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</si>
  <si>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</si>
  <si>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</si>
  <si>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</si>
  <si>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</si>
  <si>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</si>
  <si>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</si>
  <si>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</si>
  <si>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</si>
  <si>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</si>
  <si>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</si>
  <si>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</si>
  <si>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</si>
  <si>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</si>
  <si>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</si>
  <si>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</si>
  <si>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</si>
  <si>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</si>
  <si>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</si>
  <si>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</si>
  <si>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</si>
  <si>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</si>
  <si>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</si>
  <si>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</si>
  <si>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</si>
  <si>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</si>
  <si>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</si>
  <si>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</si>
  <si>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</si>
  <si>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</si>
  <si>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</si>
  <si>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</si>
  <si>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</si>
  <si>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</si>
  <si>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</si>
  <si>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</si>
  <si>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</si>
  <si>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</si>
  <si>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</si>
  <si>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</si>
  <si>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</si>
  <si>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</si>
  <si>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</si>
  <si>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</si>
  <si>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</si>
  <si>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</si>
  <si>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</si>
  <si>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</si>
  <si>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</si>
  <si>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</si>
  <si>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</si>
  <si>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</si>
  <si>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</si>
  <si>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</si>
  <si>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</si>
  <si>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</si>
  <si>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</si>
  <si>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</si>
  <si>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</si>
  <si>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</si>
  <si>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</si>
  <si>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</si>
  <si>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</si>
  <si>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</si>
  <si>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</si>
  <si>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</si>
  <si>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</si>
  <si>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</si>
  <si>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</si>
  <si>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</si>
  <si>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</si>
  <si>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</si>
  <si>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</si>
  <si>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</si>
  <si>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</si>
  <si>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</si>
  <si>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</si>
  <si>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</si>
  <si>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</si>
  <si>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</si>
  <si>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</si>
  <si>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</si>
  <si>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</si>
  <si>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</si>
  <si>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</si>
  <si>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</si>
  <si>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</si>
  <si>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</si>
  <si>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</si>
  <si>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</si>
  <si>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</si>
  <si>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</si>
  <si>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</si>
  <si>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</si>
  <si>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</si>
  <si>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</si>
  <si>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</si>
  <si>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</si>
  <si>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</si>
  <si>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</si>
  <si>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</si>
  <si>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</si>
  <si>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</si>
  <si>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</si>
  <si>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</si>
  <si>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</si>
  <si>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</si>
  <si>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</si>
  <si>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</si>
  <si>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</si>
  <si>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</si>
  <si>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</si>
  <si>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</si>
  <si>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</si>
  <si>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</si>
  <si>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</si>
  <si>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</si>
  <si>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</si>
  <si>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</si>
  <si>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</si>
  <si>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</si>
  <si>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</si>
  <si>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</si>
  <si>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</si>
  <si>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</si>
  <si>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</si>
  <si>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</si>
  <si>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</si>
  <si>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</si>
  <si>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</si>
  <si>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</si>
  <si>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</si>
  <si>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</si>
  <si>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</si>
  <si>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</si>
  <si>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</si>
  <si>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</si>
  <si>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</si>
  <si>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</si>
  <si>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</si>
  <si>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</si>
  <si>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</si>
  <si>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</si>
  <si>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</si>
  <si>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</si>
  <si>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</si>
  <si>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</si>
  <si>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</si>
  <si>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</si>
  <si>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</si>
  <si>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</si>
  <si>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</si>
  <si>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</si>
  <si>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</si>
  <si>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</si>
  <si>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</si>
  <si>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</si>
  <si>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</si>
  <si>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</si>
  <si>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</si>
  <si>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</si>
  <si>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</si>
  <si>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</si>
  <si>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</si>
  <si>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</si>
  <si>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</si>
  <si>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</si>
  <si>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</si>
  <si>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</si>
  <si>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</si>
  <si>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</si>
  <si>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</si>
  <si>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</si>
  <si>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</si>
  <si>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</si>
  <si>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</si>
  <si>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</si>
  <si>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</si>
  <si>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</si>
  <si>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</si>
  <si>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</si>
  <si>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</si>
  <si>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</si>
  <si>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</si>
  <si>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</si>
  <si>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</si>
  <si>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</si>
  <si>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</si>
  <si>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</si>
  <si>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</si>
  <si>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</si>
  <si>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</si>
  <si>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</si>
  <si>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</si>
  <si>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</si>
  <si>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</si>
  <si>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</si>
  <si>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</si>
  <si>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</si>
  <si>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</si>
  <si>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</si>
  <si>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</si>
  <si>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</si>
  <si>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</si>
  <si>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</si>
  <si>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</si>
  <si>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</si>
  <si>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</si>
  <si>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</si>
  <si>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</si>
  <si>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</si>
  <si>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</si>
  <si>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</si>
  <si>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</si>
  <si>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</si>
  <si>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</si>
  <si>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</si>
  <si>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</si>
  <si>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</si>
  <si>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</si>
  <si>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</si>
  <si>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</si>
  <si>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</si>
  <si>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</si>
  <si>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</si>
  <si>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</si>
  <si>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</si>
  <si>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</si>
  <si>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</si>
  <si>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</si>
  <si>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</si>
  <si>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</si>
  <si>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</si>
  <si>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</si>
  <si>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</si>
  <si>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</si>
  <si>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</si>
  <si>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</si>
  <si>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</si>
  <si>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</si>
  <si>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</si>
  <si>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</si>
  <si>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</si>
  <si>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</si>
  <si>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</si>
  <si>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</si>
  <si>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</si>
  <si>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</si>
  <si>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</si>
  <si>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</si>
  <si>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</si>
  <si>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</si>
  <si>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</si>
  <si>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</si>
  <si>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</si>
  <si>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</si>
  <si>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</si>
  <si>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</si>
  <si>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</si>
  <si>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</si>
  <si>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</si>
  <si>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</si>
  <si>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</si>
  <si>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</si>
  <si>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</si>
  <si>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</si>
  <si>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</si>
  <si>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</si>
  <si>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</si>
  <si>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</si>
  <si>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</si>
  <si>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</si>
  <si>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</si>
  <si>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</si>
  <si>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</si>
  <si>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</si>
  <si>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</si>
  <si>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</si>
  <si>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</si>
  <si>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</si>
  <si>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</si>
  <si>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</si>
  <si>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</si>
  <si>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</si>
  <si>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</si>
  <si>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</si>
  <si>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</si>
  <si>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</si>
  <si>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</si>
  <si>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</si>
  <si>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</si>
  <si>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</si>
  <si>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</si>
  <si>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</si>
  <si>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</si>
  <si>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</si>
  <si>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</si>
  <si>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</si>
  <si>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</si>
  <si>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</si>
  <si>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</si>
  <si>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</si>
  <si>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</si>
  <si>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</si>
  <si>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</si>
  <si>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</si>
  <si>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</si>
  <si>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</si>
  <si>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</si>
  <si>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</si>
  <si>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</si>
  <si>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</si>
  <si>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</si>
  <si>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</si>
  <si>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</si>
  <si>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</si>
  <si>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</si>
  <si>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</si>
  <si>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</si>
  <si>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</si>
  <si>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</si>
  <si>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</si>
  <si>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</si>
  <si>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</si>
  <si>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</si>
  <si>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</si>
  <si>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</si>
  <si>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</si>
  <si>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</si>
  <si>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</si>
  <si>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</si>
  <si>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</si>
  <si>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</si>
  <si>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</si>
  <si>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</si>
  <si>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</si>
  <si>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</si>
  <si>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</si>
  <si>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</si>
  <si>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</si>
  <si>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</si>
  <si>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</si>
  <si>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</si>
  <si>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</si>
  <si>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</si>
  <si>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</si>
  <si>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</si>
  <si>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</si>
  <si>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</si>
  <si>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</si>
  <si>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</si>
  <si>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</si>
  <si>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</si>
  <si>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</si>
  <si>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</si>
  <si>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</si>
  <si>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</si>
  <si>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</si>
  <si>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</si>
  <si>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</si>
  <si>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</si>
  <si>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</si>
  <si>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</si>
  <si>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</si>
  <si>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</si>
  <si>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</si>
  <si>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</si>
  <si>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</si>
  <si>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</si>
  <si>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</si>
  <si>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</si>
  <si>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</si>
  <si>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</si>
  <si>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</si>
  <si>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</si>
  <si>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</si>
  <si>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</si>
  <si>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</si>
  <si>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</si>
  <si>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</si>
  <si>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</si>
  <si>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</si>
  <si>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</si>
  <si>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</si>
  <si>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</si>
  <si>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</si>
  <si>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</si>
  <si>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</si>
  <si>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</si>
  <si>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</si>
  <si>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</si>
  <si>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</si>
  <si>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</si>
  <si>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</si>
  <si>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</si>
  <si>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</si>
  <si>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</si>
  <si>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</si>
  <si>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</si>
  <si>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</si>
  <si>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</si>
  <si>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</si>
  <si>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</si>
  <si>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</si>
  <si>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</si>
  <si>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</si>
  <si>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</si>
  <si>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</si>
  <si>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</si>
  <si>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</si>
  <si>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</si>
  <si>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</si>
  <si>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</si>
  <si>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</si>
  <si>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</si>
  <si>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</si>
  <si>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</si>
  <si>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</si>
  <si>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</si>
  <si>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</si>
  <si>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</si>
  <si>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</si>
  <si>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</si>
  <si>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</si>
  <si>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</si>
  <si>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</si>
  <si>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</si>
  <si>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</si>
  <si>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</si>
  <si>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</si>
  <si>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</si>
  <si>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</si>
  <si>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</si>
  <si>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</si>
  <si>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</si>
  <si>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</si>
  <si>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</si>
  <si>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</si>
  <si>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</si>
  <si>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</si>
  <si>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</si>
  <si>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</si>
  <si>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</si>
  <si>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</si>
  <si>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</si>
  <si>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</si>
  <si>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</si>
  <si>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</si>
  <si>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</si>
  <si>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</si>
  <si>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</si>
  <si>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</si>
  <si>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</si>
  <si>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</si>
  <si>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45057</t>
  </si>
  <si>
    <t>ZINGEM</t>
  </si>
  <si>
    <t>referentietaak LNE (2017); Jaarverslag De Lijn</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</si>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</sst>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59784.947693704293</c:v>
                </c:pt>
                <c:pt idx="1">
                  <c:v>10437.625993462281</c:v>
                </c:pt>
                <c:pt idx="2">
                  <c:v>488.51799999999997</c:v>
                </c:pt>
                <c:pt idx="3">
                  <c:v>2013.5756064859011</c:v>
                </c:pt>
                <c:pt idx="4">
                  <c:v>14519.142700663915</c:v>
                </c:pt>
                <c:pt idx="5">
                  <c:v>48122.445811553691</c:v>
                </c:pt>
                <c:pt idx="6">
                  <c:v>213.01484405498877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59784.947693704293</c:v>
                </c:pt>
                <c:pt idx="1">
                  <c:v>10437.625993462281</c:v>
                </c:pt>
                <c:pt idx="2">
                  <c:v>488.51799999999997</c:v>
                </c:pt>
                <c:pt idx="3">
                  <c:v>2013.5756064859011</c:v>
                </c:pt>
                <c:pt idx="4">
                  <c:v>14519.142700663915</c:v>
                </c:pt>
                <c:pt idx="5">
                  <c:v>48122.445811553691</c:v>
                </c:pt>
                <c:pt idx="6">
                  <c:v>213.01484405498877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11465.397880468196</c:v>
                </c:pt>
                <c:pt idx="1">
                  <c:v>2055.2283972016808</c:v>
                </c:pt>
                <c:pt idx="2">
                  <c:v>95.519987084095433</c:v>
                </c:pt>
                <c:pt idx="3">
                  <c:v>513.06164226905071</c:v>
                </c:pt>
                <c:pt idx="4">
                  <c:v>3029.7991910795849</c:v>
                </c:pt>
                <c:pt idx="5">
                  <c:v>11965.917887180438</c:v>
                </c:pt>
                <c:pt idx="6">
                  <c:v>53.947466564338875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11465.397880468196</c:v>
                </c:pt>
                <c:pt idx="1">
                  <c:v>2055.2283972016808</c:v>
                </c:pt>
                <c:pt idx="2">
                  <c:v>95.519987084095433</c:v>
                </c:pt>
                <c:pt idx="3">
                  <c:v>513.06164226905071</c:v>
                </c:pt>
                <c:pt idx="4">
                  <c:v>3029.7991910795849</c:v>
                </c:pt>
                <c:pt idx="5">
                  <c:v>11965.917887180438</c:v>
                </c:pt>
                <c:pt idx="6">
                  <c:v>53.947466564338875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45057</v>
      </c>
      <c r="B6" s="392"/>
      <c r="C6" s="393"/>
    </row>
    <row r="7" spans="1:7" s="390" customFormat="1" ht="15.75" customHeight="1">
      <c r="A7" s="394" t="str">
        <f>txtMunicipality</f>
        <v>ZINGEM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0.19553012802823119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0.19553012802823119</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3069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1583.9987423650489</v>
      </c>
      <c r="C14" s="332"/>
      <c r="D14" s="332"/>
      <c r="E14" s="332"/>
      <c r="F14" s="332"/>
    </row>
    <row r="15" spans="1:6">
      <c r="A15" s="1310" t="s">
        <v>183</v>
      </c>
      <c r="B15" s="1311">
        <v>11</v>
      </c>
      <c r="C15" s="332"/>
      <c r="D15" s="332"/>
      <c r="E15" s="332"/>
      <c r="F15" s="332"/>
    </row>
    <row r="16" spans="1:6">
      <c r="A16" s="1310" t="s">
        <v>6</v>
      </c>
      <c r="B16" s="1311">
        <v>349.84040258806613</v>
      </c>
      <c r="C16" s="332"/>
      <c r="D16" s="332"/>
      <c r="E16" s="332"/>
      <c r="F16" s="332"/>
    </row>
    <row r="17" spans="1:6">
      <c r="A17" s="1310" t="s">
        <v>7</v>
      </c>
      <c r="B17" s="1311">
        <v>243.15306122448979</v>
      </c>
      <c r="C17" s="332"/>
      <c r="D17" s="332"/>
      <c r="E17" s="332"/>
      <c r="F17" s="332"/>
    </row>
    <row r="18" spans="1:6">
      <c r="A18" s="1310" t="s">
        <v>8</v>
      </c>
      <c r="B18" s="1311">
        <v>347.713747645951</v>
      </c>
      <c r="C18" s="332"/>
      <c r="D18" s="332"/>
      <c r="E18" s="332"/>
      <c r="F18" s="332"/>
    </row>
    <row r="19" spans="1:6">
      <c r="A19" s="1310" t="s">
        <v>9</v>
      </c>
      <c r="B19" s="1311">
        <v>351.26336633663368</v>
      </c>
      <c r="C19" s="332"/>
      <c r="D19" s="332"/>
      <c r="E19" s="332"/>
      <c r="F19" s="332"/>
    </row>
    <row r="20" spans="1:6">
      <c r="A20" s="1310" t="s">
        <v>10</v>
      </c>
      <c r="B20" s="1311">
        <v>320.61482820976488</v>
      </c>
      <c r="C20" s="332"/>
      <c r="D20" s="332"/>
      <c r="E20" s="332"/>
      <c r="F20" s="332"/>
    </row>
    <row r="21" spans="1:6">
      <c r="A21" s="1310" t="s">
        <v>11</v>
      </c>
      <c r="B21" s="1311">
        <v>1632.3527373527372</v>
      </c>
      <c r="C21" s="332"/>
      <c r="D21" s="332"/>
      <c r="E21" s="332"/>
      <c r="F21" s="332"/>
    </row>
    <row r="22" spans="1:6">
      <c r="A22" s="1310" t="s">
        <v>12</v>
      </c>
      <c r="B22" s="1311">
        <v>3059.1550622267068</v>
      </c>
      <c r="C22" s="332"/>
      <c r="D22" s="332"/>
      <c r="E22" s="332"/>
      <c r="F22" s="332"/>
    </row>
    <row r="23" spans="1:6">
      <c r="A23" s="1310" t="s">
        <v>13</v>
      </c>
      <c r="B23" s="1311">
        <v>68.383561643835606</v>
      </c>
      <c r="C23" s="332"/>
      <c r="D23" s="332"/>
      <c r="E23" s="332"/>
      <c r="F23" s="332"/>
    </row>
    <row r="24" spans="1:6">
      <c r="A24" s="1310" t="s">
        <v>14</v>
      </c>
      <c r="B24" s="1311">
        <v>4.3076923076923084</v>
      </c>
      <c r="C24" s="332"/>
      <c r="D24" s="332"/>
      <c r="E24" s="332"/>
      <c r="F24" s="332"/>
    </row>
    <row r="25" spans="1:6">
      <c r="A25" s="1310" t="s">
        <v>15</v>
      </c>
      <c r="B25" s="1311">
        <v>505.1727748691099</v>
      </c>
      <c r="C25" s="332"/>
      <c r="D25" s="332"/>
      <c r="E25" s="332"/>
      <c r="F25" s="332"/>
    </row>
    <row r="26" spans="1:6">
      <c r="A26" s="1310" t="s">
        <v>16</v>
      </c>
      <c r="B26" s="1311">
        <v>73.03125</v>
      </c>
      <c r="C26" s="332"/>
      <c r="D26" s="332"/>
      <c r="E26" s="332"/>
      <c r="F26" s="332"/>
    </row>
    <row r="27" spans="1:6">
      <c r="A27" s="1310" t="s">
        <v>17</v>
      </c>
      <c r="B27" s="1311">
        <v>0.94736842105263153</v>
      </c>
      <c r="C27" s="332"/>
      <c r="D27" s="332"/>
      <c r="E27" s="332"/>
      <c r="F27" s="332"/>
    </row>
    <row r="28" spans="1:6" s="43" customFormat="1">
      <c r="A28" s="1312" t="s">
        <v>18</v>
      </c>
      <c r="B28" s="1313">
        <v>17546.268934069609</v>
      </c>
      <c r="C28" s="338"/>
      <c r="D28" s="338"/>
      <c r="E28" s="338"/>
      <c r="F28" s="338"/>
    </row>
    <row r="29" spans="1:6">
      <c r="A29" s="1312" t="s">
        <v>699</v>
      </c>
      <c r="B29" s="1313">
        <v>99.817589576547235</v>
      </c>
      <c r="C29" s="338"/>
      <c r="D29" s="338"/>
      <c r="E29" s="338"/>
      <c r="F29" s="338"/>
    </row>
    <row r="30" spans="1:6">
      <c r="A30" s="1305" t="s">
        <v>700</v>
      </c>
      <c r="B30" s="1314">
        <v>16.333333333333332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78141.774054876005</v>
      </c>
    </row>
    <row r="39" spans="1:6">
      <c r="A39" s="1310" t="s">
        <v>29</v>
      </c>
      <c r="B39" s="1310" t="s">
        <v>30</v>
      </c>
      <c r="C39" s="1311">
        <v>1390</v>
      </c>
      <c r="D39" s="1311">
        <v>19927753.790356401</v>
      </c>
      <c r="E39" s="1311">
        <v>2914</v>
      </c>
      <c r="F39" s="1311">
        <v>11376863.4302208</v>
      </c>
    </row>
    <row r="40" spans="1:6">
      <c r="A40" s="1310" t="s">
        <v>29</v>
      </c>
      <c r="B40" s="1310" t="s">
        <v>28</v>
      </c>
      <c r="C40" s="1311">
        <v>0</v>
      </c>
      <c r="D40" s="1311">
        <v>0</v>
      </c>
      <c r="E40" s="1311">
        <v>0</v>
      </c>
      <c r="F40" s="1311">
        <v>0</v>
      </c>
    </row>
    <row r="41" spans="1:6">
      <c r="A41" s="1310" t="s">
        <v>31</v>
      </c>
      <c r="B41" s="1310" t="s">
        <v>32</v>
      </c>
      <c r="C41" s="1311">
        <v>31</v>
      </c>
      <c r="D41" s="1311">
        <v>6884237.1490194304</v>
      </c>
      <c r="E41" s="1311">
        <v>89</v>
      </c>
      <c r="F41" s="1311">
        <v>4225862.1124863802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105105.47354911</v>
      </c>
      <c r="E44" s="1311">
        <v>13</v>
      </c>
      <c r="F44" s="1311">
        <v>628808.33289834904</v>
      </c>
    </row>
    <row r="45" spans="1:6">
      <c r="A45" s="1310" t="s">
        <v>31</v>
      </c>
      <c r="B45" s="1310" t="s">
        <v>36</v>
      </c>
      <c r="C45" s="1311">
        <v>0</v>
      </c>
      <c r="D45" s="1311">
        <v>0</v>
      </c>
      <c r="E45" s="1311">
        <v>3</v>
      </c>
      <c r="F45" s="1311">
        <v>16776.217117283399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5</v>
      </c>
      <c r="D48" s="1311">
        <v>86345.150496427494</v>
      </c>
      <c r="E48" s="1311">
        <v>2</v>
      </c>
      <c r="F48" s="1311">
        <v>4861.5170964230001</v>
      </c>
    </row>
    <row r="49" spans="1:6">
      <c r="A49" s="1310" t="s">
        <v>31</v>
      </c>
      <c r="B49" s="1310" t="s">
        <v>39</v>
      </c>
      <c r="C49" s="1311">
        <v>0</v>
      </c>
      <c r="D49" s="1311">
        <v>0</v>
      </c>
      <c r="E49" s="1311">
        <v>5</v>
      </c>
      <c r="F49" s="1311">
        <v>94238.320402504396</v>
      </c>
    </row>
    <row r="50" spans="1:6">
      <c r="A50" s="1310" t="s">
        <v>31</v>
      </c>
      <c r="B50" s="1310" t="s">
        <v>40</v>
      </c>
      <c r="C50" s="1311">
        <v>0</v>
      </c>
      <c r="D50" s="1311">
        <v>0</v>
      </c>
      <c r="E50" s="1311">
        <v>10</v>
      </c>
      <c r="F50" s="1311">
        <v>301150.731323621</v>
      </c>
    </row>
    <row r="51" spans="1:6">
      <c r="A51" s="1310" t="s">
        <v>41</v>
      </c>
      <c r="B51" s="1310" t="s">
        <v>42</v>
      </c>
      <c r="C51" s="1311">
        <v>0</v>
      </c>
      <c r="D51" s="1311">
        <v>0</v>
      </c>
      <c r="E51" s="1311">
        <v>37</v>
      </c>
      <c r="F51" s="1311">
        <v>433517.216088582</v>
      </c>
    </row>
    <row r="52" spans="1:6">
      <c r="A52" s="1310" t="s">
        <v>41</v>
      </c>
      <c r="B52" s="1310" t="s">
        <v>28</v>
      </c>
      <c r="C52" s="1311">
        <v>2</v>
      </c>
      <c r="D52" s="1311">
        <v>48276.225115893802</v>
      </c>
      <c r="E52" s="1311">
        <v>0</v>
      </c>
      <c r="F52" s="1311">
        <v>0</v>
      </c>
    </row>
    <row r="53" spans="1:6">
      <c r="A53" s="1310" t="s">
        <v>43</v>
      </c>
      <c r="B53" s="1310" t="s">
        <v>44</v>
      </c>
      <c r="C53" s="1311">
        <v>32</v>
      </c>
      <c r="D53" s="1311">
        <v>303986.33724533301</v>
      </c>
      <c r="E53" s="1311">
        <v>103</v>
      </c>
      <c r="F53" s="1311">
        <v>355643.21404747898</v>
      </c>
    </row>
    <row r="54" spans="1:6">
      <c r="A54" s="1310" t="s">
        <v>45</v>
      </c>
      <c r="B54" s="1310" t="s">
        <v>46</v>
      </c>
      <c r="C54" s="1311">
        <v>0</v>
      </c>
      <c r="D54" s="1311">
        <v>0</v>
      </c>
      <c r="E54" s="1311">
        <v>1</v>
      </c>
      <c r="F54" s="1311">
        <v>488518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v>
      </c>
      <c r="D57" s="1311">
        <v>344894.91616986302</v>
      </c>
      <c r="E57" s="1311">
        <v>41</v>
      </c>
      <c r="F57" s="1311">
        <v>448728.84420074598</v>
      </c>
    </row>
    <row r="58" spans="1:6">
      <c r="A58" s="1310" t="s">
        <v>48</v>
      </c>
      <c r="B58" s="1310" t="s">
        <v>50</v>
      </c>
      <c r="C58" s="1311">
        <v>12</v>
      </c>
      <c r="D58" s="1311">
        <v>1219498.1627325199</v>
      </c>
      <c r="E58" s="1311">
        <v>26</v>
      </c>
      <c r="F58" s="1311">
        <v>526958.11583468504</v>
      </c>
    </row>
    <row r="59" spans="1:6">
      <c r="A59" s="1310" t="s">
        <v>48</v>
      </c>
      <c r="B59" s="1310" t="s">
        <v>51</v>
      </c>
      <c r="C59" s="1311">
        <v>24</v>
      </c>
      <c r="D59" s="1311">
        <v>1017963.17197933</v>
      </c>
      <c r="E59" s="1311">
        <v>101</v>
      </c>
      <c r="F59" s="1311">
        <v>2272792.9667707998</v>
      </c>
    </row>
    <row r="60" spans="1:6">
      <c r="A60" s="1310" t="s">
        <v>48</v>
      </c>
      <c r="B60" s="1310" t="s">
        <v>52</v>
      </c>
      <c r="C60" s="1311">
        <v>20</v>
      </c>
      <c r="D60" s="1311">
        <v>690539.60021528997</v>
      </c>
      <c r="E60" s="1311">
        <v>30</v>
      </c>
      <c r="F60" s="1311">
        <v>966311.41098918102</v>
      </c>
    </row>
    <row r="61" spans="1:6">
      <c r="A61" s="1310" t="s">
        <v>48</v>
      </c>
      <c r="B61" s="1310" t="s">
        <v>53</v>
      </c>
      <c r="C61" s="1311">
        <v>53</v>
      </c>
      <c r="D61" s="1311">
        <v>1215059.5933515099</v>
      </c>
      <c r="E61" s="1311">
        <v>128</v>
      </c>
      <c r="F61" s="1311">
        <v>996661.86533997301</v>
      </c>
    </row>
    <row r="62" spans="1:6">
      <c r="A62" s="1310" t="s">
        <v>48</v>
      </c>
      <c r="B62" s="1310" t="s">
        <v>54</v>
      </c>
      <c r="C62" s="1311">
        <v>3</v>
      </c>
      <c r="D62" s="1311">
        <v>78065.984319454306</v>
      </c>
      <c r="E62" s="1311">
        <v>8</v>
      </c>
      <c r="F62" s="1311">
        <v>46527.743729802001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7634.8154518793999</v>
      </c>
    </row>
    <row r="66" spans="1:6">
      <c r="A66" s="1310" t="s">
        <v>55</v>
      </c>
      <c r="B66" s="1310" t="s">
        <v>57</v>
      </c>
      <c r="C66" s="1311">
        <v>0</v>
      </c>
      <c r="D66" s="1311">
        <v>0</v>
      </c>
      <c r="E66" s="1311">
        <v>5</v>
      </c>
      <c r="F66" s="1311">
        <v>243970.877289667</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37914.691564318397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43945858</v>
      </c>
      <c r="E73" s="453"/>
      <c r="F73" s="332"/>
    </row>
    <row r="74" spans="1:6">
      <c r="A74" s="1310" t="s">
        <v>63</v>
      </c>
      <c r="B74" s="1310" t="s">
        <v>648</v>
      </c>
      <c r="C74" s="1324" t="s">
        <v>650</v>
      </c>
      <c r="D74" s="1325">
        <v>4939482.4279166078</v>
      </c>
      <c r="E74" s="453"/>
      <c r="F74" s="332"/>
    </row>
    <row r="75" spans="1:6">
      <c r="A75" s="1310" t="s">
        <v>64</v>
      </c>
      <c r="B75" s="1310" t="s">
        <v>647</v>
      </c>
      <c r="C75" s="1324" t="s">
        <v>651</v>
      </c>
      <c r="D75" s="1325">
        <v>7301523</v>
      </c>
      <c r="E75" s="453"/>
      <c r="F75" s="332"/>
    </row>
    <row r="76" spans="1:6">
      <c r="A76" s="1310" t="s">
        <v>64</v>
      </c>
      <c r="B76" s="1310" t="s">
        <v>648</v>
      </c>
      <c r="C76" s="1324" t="s">
        <v>652</v>
      </c>
      <c r="D76" s="1325">
        <v>216478.42791660776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59085.144166784499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2707.1244857989104</v>
      </c>
      <c r="C91" s="332"/>
      <c r="D91" s="332"/>
      <c r="E91" s="332"/>
      <c r="F91" s="332"/>
    </row>
    <row r="92" spans="1:6">
      <c r="A92" s="1305" t="s">
        <v>68</v>
      </c>
      <c r="B92" s="1306">
        <v>285.34357847699965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173</v>
      </c>
      <c r="C97" s="332"/>
      <c r="D97" s="332"/>
      <c r="E97" s="332"/>
      <c r="F97" s="332"/>
    </row>
    <row r="98" spans="1:6">
      <c r="A98" s="1310" t="s">
        <v>71</v>
      </c>
      <c r="B98" s="1311">
        <v>0</v>
      </c>
      <c r="C98" s="332"/>
      <c r="D98" s="332"/>
      <c r="E98" s="332"/>
      <c r="F98" s="332"/>
    </row>
    <row r="99" spans="1:6">
      <c r="A99" s="1310" t="s">
        <v>72</v>
      </c>
      <c r="B99" s="1311">
        <v>52</v>
      </c>
      <c r="C99" s="332"/>
      <c r="D99" s="332"/>
      <c r="E99" s="332"/>
      <c r="F99" s="332"/>
    </row>
    <row r="100" spans="1:6">
      <c r="A100" s="1310" t="s">
        <v>73</v>
      </c>
      <c r="B100" s="1311">
        <v>289</v>
      </c>
      <c r="C100" s="332"/>
      <c r="D100" s="332"/>
      <c r="E100" s="332"/>
      <c r="F100" s="332"/>
    </row>
    <row r="101" spans="1:6">
      <c r="A101" s="1310" t="s">
        <v>74</v>
      </c>
      <c r="B101" s="1311">
        <v>47</v>
      </c>
      <c r="C101" s="332"/>
      <c r="D101" s="332"/>
      <c r="E101" s="332"/>
      <c r="F101" s="332"/>
    </row>
    <row r="102" spans="1:6">
      <c r="A102" s="1310" t="s">
        <v>75</v>
      </c>
      <c r="B102" s="1311">
        <v>50</v>
      </c>
      <c r="C102" s="332"/>
      <c r="D102" s="332"/>
      <c r="E102" s="332"/>
      <c r="F102" s="332"/>
    </row>
    <row r="103" spans="1:6">
      <c r="A103" s="1310" t="s">
        <v>76</v>
      </c>
      <c r="B103" s="1311">
        <v>97</v>
      </c>
      <c r="C103" s="332"/>
      <c r="D103" s="332"/>
      <c r="E103" s="332"/>
      <c r="F103" s="332"/>
    </row>
    <row r="104" spans="1:6">
      <c r="A104" s="1310" t="s">
        <v>77</v>
      </c>
      <c r="B104" s="1311">
        <v>1833</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16</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119</v>
      </c>
      <c r="C129" s="332"/>
      <c r="D129" s="332"/>
      <c r="E129" s="332"/>
      <c r="F129" s="332"/>
    </row>
    <row r="130" spans="1:6">
      <c r="A130" s="1310" t="s">
        <v>294</v>
      </c>
      <c r="B130" s="1311">
        <v>2</v>
      </c>
      <c r="C130" s="332"/>
      <c r="D130" s="332"/>
      <c r="E130" s="332"/>
      <c r="F130" s="332"/>
    </row>
    <row r="131" spans="1:6">
      <c r="A131" s="1310" t="s">
        <v>295</v>
      </c>
      <c r="B131" s="1311">
        <v>3</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25949.812805679969</v>
      </c>
      <c r="C3" s="43" t="s">
        <v>169</v>
      </c>
      <c r="D3" s="43"/>
      <c r="E3" s="154"/>
      <c r="F3" s="43"/>
      <c r="G3" s="43"/>
      <c r="H3" s="43"/>
      <c r="I3" s="43"/>
      <c r="J3" s="43"/>
      <c r="K3" s="96"/>
    </row>
    <row r="4" spans="1:11">
      <c r="A4" s="360" t="s">
        <v>170</v>
      </c>
      <c r="B4" s="49">
        <f>IF(ISERROR('SEAP template'!B78+'SEAP template'!C78),0,'SEAP template'!B78+'SEAP template'!C78)</f>
        <v>3016.3180642759098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5.6678823529411773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0.19553012802823119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8.0969747899159685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34.071428571428577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488.51799999999997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488.51799999999997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0.19553012802823119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95.519987084095433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11376.863430220799</v>
      </c>
      <c r="C5" s="17">
        <f>IF(ISERROR('Eigen informatie GS &amp; warmtenet'!B59),0,'Eigen informatie GS &amp; warmtenet'!B59)</f>
        <v>0</v>
      </c>
      <c r="D5" s="30">
        <f>(SUM(HH_hh_gas_kWh,HH_rest_gas_kWh)/1000)*0.903</f>
        <v>17994.761672691831</v>
      </c>
      <c r="E5" s="17">
        <f>B46*B57</f>
        <v>4367.9156623756389</v>
      </c>
      <c r="F5" s="17">
        <f>B51*B62</f>
        <v>15299.98204815648</v>
      </c>
      <c r="G5" s="18"/>
      <c r="H5" s="17"/>
      <c r="I5" s="17"/>
      <c r="J5" s="17">
        <f>B50*B61+C50*C61</f>
        <v>0</v>
      </c>
      <c r="K5" s="17"/>
      <c r="L5" s="17"/>
      <c r="M5" s="17"/>
      <c r="N5" s="17">
        <f>B48*B59+C48*C59</f>
        <v>7399.7935008550194</v>
      </c>
      <c r="O5" s="17">
        <f>B69*B70*B71</f>
        <v>269.81831783663637</v>
      </c>
      <c r="P5" s="17">
        <f>B77*B78*B79/1000-B77*B78*B79/1000/B80</f>
        <v>368.6885757689758</v>
      </c>
    </row>
    <row r="6" spans="1:16">
      <c r="A6" s="16" t="s">
        <v>612</v>
      </c>
      <c r="B6" s="786">
        <f>kWh_PV_kleiner_dan_10kW</f>
        <v>2707.1244857989104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14083.987916019709</v>
      </c>
      <c r="C8" s="21">
        <f>C5</f>
        <v>0</v>
      </c>
      <c r="D8" s="21">
        <f>D5</f>
        <v>17994.761672691831</v>
      </c>
      <c r="E8" s="21">
        <f>E5</f>
        <v>4367.9156623756389</v>
      </c>
      <c r="F8" s="21">
        <f>F5</f>
        <v>15299.98204815648</v>
      </c>
      <c r="G8" s="21"/>
      <c r="H8" s="21"/>
      <c r="I8" s="21"/>
      <c r="J8" s="21">
        <f>J5</f>
        <v>0</v>
      </c>
      <c r="K8" s="21"/>
      <c r="L8" s="21">
        <f>L5</f>
        <v>0</v>
      </c>
      <c r="M8" s="21">
        <f>M5</f>
        <v>0</v>
      </c>
      <c r="N8" s="21">
        <f>N5</f>
        <v>7399.7935008550194</v>
      </c>
      <c r="O8" s="21">
        <f>O5</f>
        <v>269.81831783663637</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0.19553012802823119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2753.8439603673946</v>
      </c>
      <c r="C12" s="23">
        <f ca="1">C10*C8</f>
        <v>0</v>
      </c>
      <c r="D12" s="23">
        <f>D8*D10</f>
        <v>3634.9418578837503</v>
      </c>
      <c r="E12" s="23">
        <f>E10*E8</f>
        <v>991.51685535927004</v>
      </c>
      <c r="F12" s="23">
        <f>F10*F8</f>
        <v>4085.0952068577803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173</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13.402061855670103</v>
      </c>
      <c r="D20" s="229"/>
      <c r="E20" s="15"/>
    </row>
    <row r="21" spans="1:7">
      <c r="A21" s="171" t="s">
        <v>73</v>
      </c>
      <c r="B21" s="37">
        <f>aantalw2001_elektriciteit</f>
        <v>289</v>
      </c>
      <c r="C21" s="167">
        <f>IF(ISERROR(B21/SUM($B$20,$B$21,$B$22)*100),0,B21/SUM($B$20,$B$21,$B$22)*100)</f>
        <v>74.484536082474222</v>
      </c>
      <c r="D21" s="229"/>
      <c r="E21" s="15"/>
    </row>
    <row r="22" spans="1:7">
      <c r="A22" s="171" t="s">
        <v>74</v>
      </c>
      <c r="B22" s="37">
        <f>aantalw2001_hout</f>
        <v>47</v>
      </c>
      <c r="C22" s="167">
        <f>IF(ISERROR(B22/SUM($B$20,$B$21,$B$22)*100),0,B22/SUM($B$20,$B$21,$B$22)*100)</f>
        <v>12.11340206185567</v>
      </c>
      <c r="D22" s="229"/>
      <c r="E22" s="15"/>
    </row>
    <row r="23" spans="1:7">
      <c r="A23" s="171" t="s">
        <v>75</v>
      </c>
      <c r="B23" s="37">
        <f>aantalw2001_niet_gespec</f>
        <v>50</v>
      </c>
      <c r="C23" s="166" t="s">
        <v>110</v>
      </c>
      <c r="D23" s="228"/>
      <c r="E23" s="15"/>
    </row>
    <row r="24" spans="1:7">
      <c r="A24" s="171" t="s">
        <v>76</v>
      </c>
      <c r="B24" s="37">
        <f>aantalw2001_steenkool</f>
        <v>97</v>
      </c>
      <c r="C24" s="166" t="s">
        <v>110</v>
      </c>
      <c r="D24" s="229"/>
      <c r="E24" s="15"/>
    </row>
    <row r="25" spans="1:7">
      <c r="A25" s="171" t="s">
        <v>77</v>
      </c>
      <c r="B25" s="37">
        <f>aantalw2001_stookolie</f>
        <v>1833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3069</v>
      </c>
      <c r="C28" s="36"/>
      <c r="D28" s="228"/>
    </row>
    <row r="29" spans="1:7" s="15" customFormat="1">
      <c r="A29" s="230" t="s">
        <v>839</v>
      </c>
      <c r="B29" s="37">
        <f>SUM(HH_hh_gas_aantal,HH_rest_gas_aantal)</f>
        <v>1390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1390</v>
      </c>
      <c r="C32" s="167">
        <f>IF(ISERROR(B32/SUM($B$32,$B$34,$B$35,$B$36,$B$38,$B$39)*100),0,B32/SUM($B$32,$B$34,$B$35,$B$36,$B$38,$B$39)*100)</f>
        <v>45.814106789716547</v>
      </c>
      <c r="D32" s="233"/>
      <c r="G32" s="15"/>
    </row>
    <row r="33" spans="1:7">
      <c r="A33" s="171" t="s">
        <v>71</v>
      </c>
      <c r="B33" s="34" t="s">
        <v>110</v>
      </c>
      <c r="C33" s="167"/>
      <c r="D33" s="233"/>
      <c r="G33" s="15"/>
    </row>
    <row r="34" spans="1:7">
      <c r="A34" s="171" t="s">
        <v>72</v>
      </c>
      <c r="B34" s="33">
        <f>IF((($B$28-$B$32-$B$39-$B$77-$B$38)*C20/100)&lt;0,0,($B$28-$B$32-$B$39-$B$77-$B$38)*C20/100)</f>
        <v>121.46288659793814</v>
      </c>
      <c r="C34" s="167">
        <f>IF(ISERROR(B34/SUM($B$32,$B$34,$B$35,$B$36,$B$38,$B$39)*100),0,B34/SUM($B$32,$B$34,$B$35,$B$36,$B$38,$B$39)*100)</f>
        <v>4.0033911205648689</v>
      </c>
      <c r="D34" s="233"/>
      <c r="G34" s="15"/>
    </row>
    <row r="35" spans="1:7">
      <c r="A35" s="171" t="s">
        <v>73</v>
      </c>
      <c r="B35" s="33">
        <f>IF((($B$28-$B$32-$B$39-$B$77-$B$38)*C21/100)&lt;0,0,($B$28-$B$32-$B$39-$B$77-$B$38)*C21/100)</f>
        <v>675.05335051546388</v>
      </c>
      <c r="C35" s="167">
        <f>IF(ISERROR(B35/SUM($B$32,$B$34,$B$35,$B$36,$B$38,$B$39)*100),0,B35/SUM($B$32,$B$34,$B$35,$B$36,$B$38,$B$39)*100)</f>
        <v>22.249616035447062</v>
      </c>
      <c r="D35" s="233"/>
      <c r="G35" s="15"/>
    </row>
    <row r="36" spans="1:7">
      <c r="A36" s="171" t="s">
        <v>74</v>
      </c>
      <c r="B36" s="33">
        <f>IF((($B$28-$B$32-$B$39-$B$77-$B$38)*C22/100)&lt;0,0,($B$28-$B$32-$B$39-$B$77-$B$38)*C22/100)</f>
        <v>109.78376288659793</v>
      </c>
      <c r="C36" s="167">
        <f>IF(ISERROR(B36/SUM($B$32,$B$34,$B$35,$B$36,$B$38,$B$39)*100),0,B36/SUM($B$32,$B$34,$B$35,$B$36,$B$38,$B$39)*100)</f>
        <v>3.6184496666644006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737.7</v>
      </c>
      <c r="C39" s="167">
        <f>IF(ISERROR(B39/SUM($B$32,$B$34,$B$35,$B$36,$B$38,$B$39)*100),0,B39/SUM($B$32,$B$34,$B$35,$B$36,$B$38,$B$39)*100)</f>
        <v>24.31443638760712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1390</v>
      </c>
      <c r="C44" s="34" t="s">
        <v>110</v>
      </c>
      <c r="D44" s="174"/>
    </row>
    <row r="45" spans="1:7">
      <c r="A45" s="171" t="s">
        <v>71</v>
      </c>
      <c r="B45" s="33" t="str">
        <f t="shared" si="0"/>
        <v>-</v>
      </c>
      <c r="C45" s="34" t="s">
        <v>110</v>
      </c>
      <c r="D45" s="174"/>
    </row>
    <row r="46" spans="1:7">
      <c r="A46" s="171" t="s">
        <v>72</v>
      </c>
      <c r="B46" s="33">
        <f t="shared" si="0"/>
        <v>121.46288659793814</v>
      </c>
      <c r="C46" s="34" t="s">
        <v>110</v>
      </c>
      <c r="D46" s="174"/>
    </row>
    <row r="47" spans="1:7">
      <c r="A47" s="171" t="s">
        <v>73</v>
      </c>
      <c r="B47" s="33">
        <f t="shared" si="0"/>
        <v>675.05335051546388</v>
      </c>
      <c r="C47" s="34" t="s">
        <v>110</v>
      </c>
      <c r="D47" s="174"/>
    </row>
    <row r="48" spans="1:7">
      <c r="A48" s="171" t="s">
        <v>74</v>
      </c>
      <c r="B48" s="33">
        <f t="shared" si="0"/>
        <v>109.78376288659793</v>
      </c>
      <c r="C48" s="33">
        <f>B48*10</f>
        <v>1097.8376288659792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737.7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5257.9809468651856</v>
      </c>
      <c r="C5" s="17">
        <f>IF(ISERROR('Eigen informatie GS &amp; warmtenet'!B60),0,'Eigen informatie GS &amp; warmtenet'!B60)</f>
        <v>0</v>
      </c>
      <c r="D5" s="30">
        <f>SUM(D6:D12)</f>
        <v>4123.1173501774747</v>
      </c>
      <c r="E5" s="17">
        <f>SUM(E6:E12)</f>
        <v>14.653189089400875</v>
      </c>
      <c r="F5" s="17">
        <f>SUM(F6:F12)</f>
        <v>718.88258748061321</v>
      </c>
      <c r="G5" s="18"/>
      <c r="H5" s="17"/>
      <c r="I5" s="17"/>
      <c r="J5" s="17">
        <f>SUM(J6:J12)</f>
        <v>4.4315653421976428E-3</v>
      </c>
      <c r="K5" s="17"/>
      <c r="L5" s="17"/>
      <c r="M5" s="17"/>
      <c r="N5" s="17">
        <f>SUM(N6:N12)</f>
        <v>165.79698040452621</v>
      </c>
      <c r="O5" s="17">
        <f>B38*B39*B40</f>
        <v>9.7945215316823084</v>
      </c>
      <c r="P5" s="17">
        <f>B46*B47*B48/1000-B46*B47*B48/1000/B49</f>
        <v>157.61741491948504</v>
      </c>
      <c r="R5" s="32"/>
    </row>
    <row r="6" spans="1:18">
      <c r="A6" s="32" t="s">
        <v>53</v>
      </c>
      <c r="B6" s="37">
        <f>B26</f>
        <v>996.66186533997302</v>
      </c>
      <c r="C6" s="33"/>
      <c r="D6" s="37">
        <f>IF(ISERROR(TER_kantoor_gas_kWh/1000),0,TER_kantoor_gas_kWh/1000)*0.903</f>
        <v>1097.1988127964134</v>
      </c>
      <c r="E6" s="33">
        <f>$C$26*'E Balans VL '!I12/100/3.6*1000000</f>
        <v>0.23877649266261033</v>
      </c>
      <c r="F6" s="33">
        <f>$C$26*('E Balans VL '!L12+'E Balans VL '!N12)/100/3.6*1000000</f>
        <v>94.512274079556832</v>
      </c>
      <c r="G6" s="34"/>
      <c r="H6" s="33"/>
      <c r="I6" s="33"/>
      <c r="J6" s="33">
        <f>$C$26*('E Balans VL '!D12+'E Balans VL '!E12)/100/3.6*1000000</f>
        <v>0</v>
      </c>
      <c r="K6" s="33"/>
      <c r="L6" s="33"/>
      <c r="M6" s="33"/>
      <c r="N6" s="33">
        <f>$C$26*'E Balans VL '!Y12/100/3.6*1000000</f>
        <v>0.50625267655754269</v>
      </c>
      <c r="O6" s="33"/>
      <c r="P6" s="33"/>
      <c r="R6" s="32"/>
    </row>
    <row r="7" spans="1:18">
      <c r="A7" s="32" t="s">
        <v>52</v>
      </c>
      <c r="B7" s="37">
        <f t="shared" ref="B7:B12" si="0">B27</f>
        <v>966.31141098918101</v>
      </c>
      <c r="C7" s="33"/>
      <c r="D7" s="37">
        <f>IF(ISERROR(TER_horeca_gas_kWh/1000),0,TER_horeca_gas_kWh/1000)*0.903</f>
        <v>623.55725899440688</v>
      </c>
      <c r="E7" s="33">
        <f>$C$27*'E Balans VL '!I9/100/3.6*1000000</f>
        <v>0</v>
      </c>
      <c r="F7" s="33">
        <f>$C$27*('E Balans VL '!L9+'E Balans VL '!N9)/100/3.6*1000000</f>
        <v>79.235264203220169</v>
      </c>
      <c r="G7" s="34"/>
      <c r="H7" s="33"/>
      <c r="I7" s="33"/>
      <c r="J7" s="33">
        <f>$C$27*('E Balans VL '!D9+'E Balans VL '!E9)/100/3.6*1000000</f>
        <v>0</v>
      </c>
      <c r="K7" s="33"/>
      <c r="L7" s="33"/>
      <c r="M7" s="33"/>
      <c r="N7" s="33">
        <f>$C$27*'E Balans VL '!Y9/100/3.6*1000000</f>
        <v>0.29621327101360412</v>
      </c>
      <c r="O7" s="33"/>
      <c r="P7" s="33"/>
      <c r="R7" s="32"/>
    </row>
    <row r="8" spans="1:18">
      <c r="A8" s="6" t="s">
        <v>51</v>
      </c>
      <c r="B8" s="37">
        <f t="shared" si="0"/>
        <v>2272.7929667707999</v>
      </c>
      <c r="C8" s="33"/>
      <c r="D8" s="37">
        <f>IF(ISERROR(TER_handel_gas_kWh/1000),0,TER_handel_gas_kWh/1000)*0.903</f>
        <v>919.22074429733505</v>
      </c>
      <c r="E8" s="33">
        <f>$C$28*'E Balans VL '!I13/100/3.6*1000000</f>
        <v>7.9876250761523879</v>
      </c>
      <c r="F8" s="33">
        <f>$C$28*('E Balans VL '!L13+'E Balans VL '!N13)/100/3.6*1000000</f>
        <v>207.95647490427663</v>
      </c>
      <c r="G8" s="34"/>
      <c r="H8" s="33"/>
      <c r="I8" s="33"/>
      <c r="J8" s="33">
        <f>$C$28*('E Balans VL '!D13+'E Balans VL '!E13)/100/3.6*1000000</f>
        <v>0</v>
      </c>
      <c r="K8" s="33"/>
      <c r="L8" s="33"/>
      <c r="M8" s="33"/>
      <c r="N8" s="33">
        <f>$C$28*'E Balans VL '!Y13/100/3.6*1000000</f>
        <v>0.82310776516526107</v>
      </c>
      <c r="O8" s="33"/>
      <c r="P8" s="33"/>
      <c r="R8" s="32"/>
    </row>
    <row r="9" spans="1:18">
      <c r="A9" s="32" t="s">
        <v>50</v>
      </c>
      <c r="B9" s="37">
        <f t="shared" si="0"/>
        <v>526.95811583468503</v>
      </c>
      <c r="C9" s="33"/>
      <c r="D9" s="37">
        <f>IF(ISERROR(TER_gezond_gas_kWh/1000),0,TER_gezond_gas_kWh/1000)*0.903</f>
        <v>1101.2068409474655</v>
      </c>
      <c r="E9" s="33">
        <f>$C$29*'E Balans VL '!I10/100/3.6*1000000</f>
        <v>0</v>
      </c>
      <c r="F9" s="33">
        <f>$C$29*('E Balans VL '!L10+'E Balans VL '!N10)/100/3.6*1000000</f>
        <v>64.595388496705723</v>
      </c>
      <c r="G9" s="34"/>
      <c r="H9" s="33"/>
      <c r="I9" s="33"/>
      <c r="J9" s="33">
        <f>$C$29*('E Balans VL '!D10+'E Balans VL '!E10)/100/3.6*1000000</f>
        <v>0</v>
      </c>
      <c r="K9" s="33"/>
      <c r="L9" s="33"/>
      <c r="M9" s="33"/>
      <c r="N9" s="33">
        <f>$C$29*'E Balans VL '!Y10/100/3.6*1000000</f>
        <v>3.8859488909697677</v>
      </c>
      <c r="O9" s="33"/>
      <c r="P9" s="33"/>
      <c r="R9" s="32"/>
    </row>
    <row r="10" spans="1:18">
      <c r="A10" s="32" t="s">
        <v>49</v>
      </c>
      <c r="B10" s="37">
        <f t="shared" si="0"/>
        <v>448.72884420074598</v>
      </c>
      <c r="C10" s="33"/>
      <c r="D10" s="37">
        <f>IF(ISERROR(TER_ander_gas_kWh/1000),0,TER_ander_gas_kWh/1000)*0.903</f>
        <v>311.44010930138631</v>
      </c>
      <c r="E10" s="33">
        <f>$C$30*'E Balans VL '!I14/100/3.6*1000000</f>
        <v>6.4267875205858784</v>
      </c>
      <c r="F10" s="33">
        <f>$C$30*('E Balans VL '!L14+'E Balans VL '!N14)/100/3.6*1000000</f>
        <v>267.14353848326158</v>
      </c>
      <c r="G10" s="34"/>
      <c r="H10" s="33"/>
      <c r="I10" s="33"/>
      <c r="J10" s="33">
        <f>$C$30*('E Balans VL '!D14+'E Balans VL '!E14)/100/3.6*1000000</f>
        <v>4.4315653421976428E-3</v>
      </c>
      <c r="K10" s="33"/>
      <c r="L10" s="33"/>
      <c r="M10" s="33"/>
      <c r="N10" s="33">
        <f>$C$30*'E Balans VL '!Y14/100/3.6*1000000</f>
        <v>160.15444101731435</v>
      </c>
      <c r="O10" s="33"/>
      <c r="P10" s="33"/>
      <c r="R10" s="32"/>
    </row>
    <row r="11" spans="1:18">
      <c r="A11" s="32" t="s">
        <v>54</v>
      </c>
      <c r="B11" s="37">
        <f t="shared" si="0"/>
        <v>46.527743729802005</v>
      </c>
      <c r="C11" s="33"/>
      <c r="D11" s="37">
        <f>IF(ISERROR(TER_onderwijs_gas_kWh/1000),0,TER_onderwijs_gas_kWh/1000)*0.903</f>
        <v>70.493583840467238</v>
      </c>
      <c r="E11" s="33">
        <f>$C$31*'E Balans VL '!I11/100/3.6*1000000</f>
        <v>0</v>
      </c>
      <c r="F11" s="33">
        <f>$C$31*('E Balans VL '!L11+'E Balans VL '!N11)/100/3.6*1000000</f>
        <v>5.4396473135922996</v>
      </c>
      <c r="G11" s="34"/>
      <c r="H11" s="33"/>
      <c r="I11" s="33"/>
      <c r="J11" s="33">
        <f>$C$31*('E Balans VL '!D11+'E Balans VL '!E11)/100/3.6*1000000</f>
        <v>0</v>
      </c>
      <c r="K11" s="33"/>
      <c r="L11" s="33"/>
      <c r="M11" s="33"/>
      <c r="N11" s="33">
        <f>$C$31*'E Balans VL '!Y11/100/3.6*1000000</f>
        <v>0.13101678350567217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23.85</v>
      </c>
      <c r="C13" s="247">
        <f ca="1">'lokale energieproductie'!O38+'lokale energieproductie'!O31</f>
        <v>34.071428571428577</v>
      </c>
      <c r="D13" s="310">
        <f ca="1">('lokale energieproductie'!P31+'lokale energieproductie'!P38)*(-1)</f>
        <v>-68.142857142857153</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5281.830946865186</v>
      </c>
      <c r="C16" s="21">
        <f t="shared" ca="1" si="1"/>
        <v>34.071428571428577</v>
      </c>
      <c r="D16" s="21">
        <f t="shared" ca="1" si="1"/>
        <v>4054.9744930346174</v>
      </c>
      <c r="E16" s="21">
        <f t="shared" si="1"/>
        <v>14.653189089400875</v>
      </c>
      <c r="F16" s="21">
        <f t="shared" ca="1" si="1"/>
        <v>718.88258748061321</v>
      </c>
      <c r="G16" s="21">
        <f t="shared" si="1"/>
        <v>0</v>
      </c>
      <c r="H16" s="21">
        <f t="shared" si="1"/>
        <v>0</v>
      </c>
      <c r="I16" s="21">
        <f t="shared" si="1"/>
        <v>0</v>
      </c>
      <c r="J16" s="21">
        <f t="shared" si="1"/>
        <v>4.4315653421976428E-3</v>
      </c>
      <c r="K16" s="21">
        <f t="shared" si="1"/>
        <v>0</v>
      </c>
      <c r="L16" s="21">
        <f t="shared" ca="1" si="1"/>
        <v>0</v>
      </c>
      <c r="M16" s="21">
        <f t="shared" si="1"/>
        <v>0</v>
      </c>
      <c r="N16" s="21">
        <f t="shared" ca="1" si="1"/>
        <v>165.79698040452621</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0.19553012802823119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1032.7570812640233</v>
      </c>
      <c r="C20" s="23">
        <f t="shared" ref="C20:P20" ca="1" si="2">C16*C18</f>
        <v>8.0969747899159685</v>
      </c>
      <c r="D20" s="23">
        <f t="shared" ca="1" si="2"/>
        <v>819.10484759299277</v>
      </c>
      <c r="E20" s="23">
        <f t="shared" si="2"/>
        <v>3.3262739232939986</v>
      </c>
      <c r="F20" s="23">
        <f t="shared" ca="1" si="2"/>
        <v>191.94165085732374</v>
      </c>
      <c r="G20" s="23">
        <f t="shared" si="2"/>
        <v>0</v>
      </c>
      <c r="H20" s="23">
        <f t="shared" si="2"/>
        <v>0</v>
      </c>
      <c r="I20" s="23">
        <f t="shared" si="2"/>
        <v>0</v>
      </c>
      <c r="J20" s="23">
        <f t="shared" si="2"/>
        <v>1.5687741311379655E-3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996.66186533997302</v>
      </c>
      <c r="C26" s="39">
        <f>IF(ISERROR(B26*3.6/1000000/'E Balans VL '!Z12*100),0,B26*3.6/1000000/'E Balans VL '!Z12*100)</f>
        <v>2.81085038968346E-2</v>
      </c>
      <c r="D26" s="237" t="s">
        <v>702</v>
      </c>
      <c r="F26" s="6"/>
    </row>
    <row r="27" spans="1:18">
      <c r="A27" s="231" t="s">
        <v>52</v>
      </c>
      <c r="B27" s="33">
        <f>IF(ISERROR(TER_horeca_ele_kWh/1000),0,TER_horeca_ele_kWh/1000)</f>
        <v>966.31141098918101</v>
      </c>
      <c r="C27" s="39">
        <f>IF(ISERROR(B27*3.6/1000000/'E Balans VL '!Z9*100),0,B27*3.6/1000000/'E Balans VL '!Z9*100)</f>
        <v>7.1640120301059818E-2</v>
      </c>
      <c r="D27" s="237" t="s">
        <v>702</v>
      </c>
      <c r="F27" s="6"/>
    </row>
    <row r="28" spans="1:18">
      <c r="A28" s="171" t="s">
        <v>51</v>
      </c>
      <c r="B28" s="33">
        <f>IF(ISERROR(TER_handel_ele_kWh/1000),0,TER_handel_ele_kWh/1000)</f>
        <v>2272.7929667707999</v>
      </c>
      <c r="C28" s="39">
        <f>IF(ISERROR(B28*3.6/1000000/'E Balans VL '!Z13*100),0,B28*3.6/1000000/'E Balans VL '!Z13*100)</f>
        <v>6.8087473517420713E-2</v>
      </c>
      <c r="D28" s="237" t="s">
        <v>702</v>
      </c>
      <c r="F28" s="6"/>
    </row>
    <row r="29" spans="1:18">
      <c r="A29" s="231" t="s">
        <v>50</v>
      </c>
      <c r="B29" s="33">
        <f>IF(ISERROR(TER_gezond_ele_kWh/1000),0,TER_gezond_ele_kWh/1000)</f>
        <v>526.95811583468503</v>
      </c>
      <c r="C29" s="39">
        <f>IF(ISERROR(B29*3.6/1000000/'E Balans VL '!Z10*100),0,B29*3.6/1000000/'E Balans VL '!Z10*100)</f>
        <v>5.2105825033972208E-2</v>
      </c>
      <c r="D29" s="237" t="s">
        <v>702</v>
      </c>
      <c r="F29" s="6"/>
    </row>
    <row r="30" spans="1:18">
      <c r="A30" s="231" t="s">
        <v>49</v>
      </c>
      <c r="B30" s="33">
        <f>IF(ISERROR(TER_ander_ele_kWh/1000),0,TER_ander_ele_kWh/1000)</f>
        <v>448.72884420074598</v>
      </c>
      <c r="C30" s="39">
        <f>IF(ISERROR(B30*3.6/1000000/'E Balans VL '!Z14*100),0,B30*3.6/1000000/'E Balans VL '!Z14*100)</f>
        <v>1.8149755667703656E-2</v>
      </c>
      <c r="D30" s="237" t="s">
        <v>702</v>
      </c>
      <c r="F30" s="6"/>
    </row>
    <row r="31" spans="1:18">
      <c r="A31" s="231" t="s">
        <v>54</v>
      </c>
      <c r="B31" s="33">
        <f>IF(ISERROR(TER_onderwijs_ele_kWh/1000),0,TER_onderwijs_ele_kWh/1000)</f>
        <v>46.527743729802005</v>
      </c>
      <c r="C31" s="39">
        <f>IF(ISERROR(B31*3.6/1000000/'E Balans VL '!Z11*100),0,B31*3.6/1000000/'E Balans VL '!Z11*100)</f>
        <v>1.2783206076514324E-2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5271.6972313245615</v>
      </c>
      <c r="C5" s="17">
        <f>IF(ISERROR('Eigen informatie GS &amp; warmtenet'!B61),0,'Eigen informatie GS &amp; warmtenet'!B61)</f>
        <v>0</v>
      </c>
      <c r="D5" s="30">
        <f>SUM(D6:D15)</f>
        <v>6389.3460590776658</v>
      </c>
      <c r="E5" s="17">
        <f>SUM(E6:E15)</f>
        <v>17.303283327216825</v>
      </c>
      <c r="F5" s="17">
        <f>SUM(F6:F15)</f>
        <v>2637.6289945283761</v>
      </c>
      <c r="G5" s="18"/>
      <c r="H5" s="17"/>
      <c r="I5" s="17"/>
      <c r="J5" s="17">
        <f>SUM(J6:J15)</f>
        <v>0.56741730106775357</v>
      </c>
      <c r="K5" s="17"/>
      <c r="L5" s="17"/>
      <c r="M5" s="17"/>
      <c r="N5" s="17">
        <f>SUM(N6:N15)</f>
        <v>202.59971510502558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628.80833289834902</v>
      </c>
      <c r="C8" s="33"/>
      <c r="D8" s="37">
        <f>IF( ISERROR(IND_metaal_Gas_kWH/1000),0,IND_metaal_Gas_kWH/1000)*0.903</f>
        <v>94.910242614846339</v>
      </c>
      <c r="E8" s="33">
        <f>C30*'E Balans VL '!I18/100/3.6*1000000</f>
        <v>3.1705613285274628</v>
      </c>
      <c r="F8" s="33">
        <f>C30*'E Balans VL '!L18/100/3.6*1000000+C30*'E Balans VL '!N18/100/3.6*1000000</f>
        <v>42.961470242649</v>
      </c>
      <c r="G8" s="34"/>
      <c r="H8" s="33"/>
      <c r="I8" s="33"/>
      <c r="J8" s="40">
        <f>C30*'E Balans VL '!D18/100/3.6*1000000+C30*'E Balans VL '!E18/100/3.6*1000000</f>
        <v>0.55749222515617347</v>
      </c>
      <c r="K8" s="33"/>
      <c r="L8" s="33"/>
      <c r="M8" s="33"/>
      <c r="N8" s="33">
        <f>C30*'E Balans VL '!Y18/100/3.6*1000000</f>
        <v>8.3568664758992703</v>
      </c>
      <c r="O8" s="33"/>
      <c r="P8" s="33"/>
      <c r="R8" s="32"/>
    </row>
    <row r="9" spans="1:18">
      <c r="A9" s="6" t="s">
        <v>32</v>
      </c>
      <c r="B9" s="37">
        <f t="shared" si="0"/>
        <v>4225.8621124863803</v>
      </c>
      <c r="C9" s="33"/>
      <c r="D9" s="37">
        <f>IF( ISERROR(IND_andere_gas_kWh/1000),0,IND_andere_gas_kWh/1000)*0.903</f>
        <v>6216.4661455645455</v>
      </c>
      <c r="E9" s="33">
        <f>C31*'E Balans VL '!I19/100/3.6*1000000</f>
        <v>13.320916132777416</v>
      </c>
      <c r="F9" s="33">
        <f>C31*'E Balans VL '!L19/100/3.6*1000000+C31*'E Balans VL '!N19/100/3.6*1000000</f>
        <v>2586.8950509491337</v>
      </c>
      <c r="G9" s="34"/>
      <c r="H9" s="33"/>
      <c r="I9" s="33"/>
      <c r="J9" s="40">
        <f>C31*'E Balans VL '!D19/100/3.6*1000000+C31*'E Balans VL '!E19/100/3.6*1000000</f>
        <v>0</v>
      </c>
      <c r="K9" s="33"/>
      <c r="L9" s="33"/>
      <c r="M9" s="33"/>
      <c r="N9" s="33">
        <f>C31*'E Balans VL '!Y19/100/3.6*1000000</f>
        <v>177.19613634029662</v>
      </c>
      <c r="O9" s="33"/>
      <c r="P9" s="33"/>
      <c r="R9" s="32"/>
    </row>
    <row r="10" spans="1:18">
      <c r="A10" s="6" t="s">
        <v>40</v>
      </c>
      <c r="B10" s="37">
        <f t="shared" si="0"/>
        <v>301.15073132362102</v>
      </c>
      <c r="C10" s="33"/>
      <c r="D10" s="37">
        <f>IF( ISERROR(IND_voed_gas_kWh/1000),0,IND_voed_gas_kWh/1000)*0.903</f>
        <v>0</v>
      </c>
      <c r="E10" s="33">
        <f>C32*'E Balans VL '!I20/100/3.6*1000000</f>
        <v>0.47994968959306111</v>
      </c>
      <c r="F10" s="33">
        <f>C32*'E Balans VL '!L20/100/3.6*1000000+C32*'E Balans VL '!N20/100/3.6*1000000</f>
        <v>4.8929678059550703</v>
      </c>
      <c r="G10" s="34"/>
      <c r="H10" s="33"/>
      <c r="I10" s="33"/>
      <c r="J10" s="40">
        <f>C32*'E Balans VL '!D20/100/3.6*1000000+C32*'E Balans VL '!E20/100/3.6*1000000</f>
        <v>0</v>
      </c>
      <c r="K10" s="33"/>
      <c r="L10" s="33"/>
      <c r="M10" s="33"/>
      <c r="N10" s="33">
        <f>C32*'E Balans VL '!Y20/100/3.6*1000000</f>
        <v>9.5118441539565737</v>
      </c>
      <c r="O10" s="33"/>
      <c r="P10" s="33"/>
      <c r="R10" s="32"/>
    </row>
    <row r="11" spans="1:18">
      <c r="A11" s="6" t="s">
        <v>39</v>
      </c>
      <c r="B11" s="37">
        <f t="shared" si="0"/>
        <v>94.238320402504399</v>
      </c>
      <c r="C11" s="33"/>
      <c r="D11" s="37">
        <f>IF( ISERROR(IND_textiel_gas_kWh/1000),0,IND_textiel_gas_kWh/1000)*0.903</f>
        <v>0</v>
      </c>
      <c r="E11" s="33">
        <f>C33*'E Balans VL '!I21/100/3.6*1000000</f>
        <v>0.136722582863605</v>
      </c>
      <c r="F11" s="33">
        <f>C33*'E Balans VL '!L21/100/3.6*1000000+C33*'E Balans VL '!N21/100/3.6*1000000</f>
        <v>1.844304480015158</v>
      </c>
      <c r="G11" s="34"/>
      <c r="H11" s="33"/>
      <c r="I11" s="33"/>
      <c r="J11" s="40">
        <f>C33*'E Balans VL '!D21/100/3.6*1000000+C33*'E Balans VL '!E21/100/3.6*1000000</f>
        <v>0</v>
      </c>
      <c r="K11" s="33"/>
      <c r="L11" s="33"/>
      <c r="M11" s="33"/>
      <c r="N11" s="33">
        <f>C33*'E Balans VL '!Y21/100/3.6*1000000</f>
        <v>4.5910770920847064</v>
      </c>
      <c r="O11" s="33"/>
      <c r="P11" s="33"/>
      <c r="R11" s="32"/>
    </row>
    <row r="12" spans="1:18">
      <c r="A12" s="6" t="s">
        <v>36</v>
      </c>
      <c r="B12" s="37">
        <f t="shared" si="0"/>
        <v>16.776217117283398</v>
      </c>
      <c r="C12" s="33"/>
      <c r="D12" s="37">
        <f>IF( ISERROR(IND_min_gas_kWh/1000),0,IND_min_gas_kWh/1000)*0.903</f>
        <v>0</v>
      </c>
      <c r="E12" s="33">
        <f>C34*'E Balans VL '!I22/100/3.6*1000000</f>
        <v>7.2595234201807537E-2</v>
      </c>
      <c r="F12" s="33">
        <f>C34*'E Balans VL '!L22/100/3.6*1000000+C34*'E Balans VL '!N22/100/3.6*1000000</f>
        <v>0.64053667859262209</v>
      </c>
      <c r="G12" s="34"/>
      <c r="H12" s="33"/>
      <c r="I12" s="33"/>
      <c r="J12" s="40">
        <f>C34*'E Balans VL '!D22/100/3.6*1000000+C34*'E Balans VL '!E22/100/3.6*1000000</f>
        <v>0</v>
      </c>
      <c r="K12" s="33"/>
      <c r="L12" s="33"/>
      <c r="M12" s="33"/>
      <c r="N12" s="33">
        <f>C34*'E Balans VL '!Y22/100/3.6*1000000</f>
        <v>2.861644731994931</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4.8615170964230003</v>
      </c>
      <c r="C15" s="33"/>
      <c r="D15" s="37">
        <f>IF( ISERROR(IND_rest_gas_kWh/1000),0,IND_rest_gas_kWh/1000)*0.903</f>
        <v>77.969670898274032</v>
      </c>
      <c r="E15" s="33">
        <f>C37*'E Balans VL '!I15/100/3.6*1000000</f>
        <v>0.12253835925347435</v>
      </c>
      <c r="F15" s="33">
        <f>C37*'E Balans VL '!L15/100/3.6*1000000+C37*'E Balans VL '!N15/100/3.6*1000000</f>
        <v>0.39466437203121707</v>
      </c>
      <c r="G15" s="34"/>
      <c r="H15" s="33"/>
      <c r="I15" s="33"/>
      <c r="J15" s="40">
        <f>C37*'E Balans VL '!D15/100/3.6*1000000+C37*'E Balans VL '!E15/100/3.6*1000000</f>
        <v>9.9250759115801172E-3</v>
      </c>
      <c r="K15" s="33"/>
      <c r="L15" s="33"/>
      <c r="M15" s="33"/>
      <c r="N15" s="33">
        <f>C37*'E Balans VL '!Y15/100/3.6*1000000</f>
        <v>8.214631079345501E-2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5271.6972313245615</v>
      </c>
      <c r="C18" s="21">
        <f>C5+C16</f>
        <v>0</v>
      </c>
      <c r="D18" s="21">
        <f>MAX((D5+D16),0)</f>
        <v>6389.3460590776658</v>
      </c>
      <c r="E18" s="21">
        <f>MAX((E5+E16),0)</f>
        <v>17.303283327216825</v>
      </c>
      <c r="F18" s="21">
        <f>MAX((F5+F16),0)</f>
        <v>2637.6289945283761</v>
      </c>
      <c r="G18" s="21"/>
      <c r="H18" s="21"/>
      <c r="I18" s="21"/>
      <c r="J18" s="21">
        <f>MAX((J5+J16),0)</f>
        <v>0.56741730106775357</v>
      </c>
      <c r="K18" s="21"/>
      <c r="L18" s="21">
        <f>MAX((L5+L16),0)</f>
        <v>0</v>
      </c>
      <c r="M18" s="21"/>
      <c r="N18" s="21">
        <f>MAX((N5+N16),0)</f>
        <v>202.59971510502558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0.19553012802823119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1030.7756345669634</v>
      </c>
      <c r="C22" s="23">
        <f ca="1">C18*C20</f>
        <v>0</v>
      </c>
      <c r="D22" s="23">
        <f>D18*D20</f>
        <v>1290.6479039336887</v>
      </c>
      <c r="E22" s="23">
        <f>E18*E20</f>
        <v>3.9278453152782191</v>
      </c>
      <c r="F22" s="23">
        <f>F18*F20</f>
        <v>704.24694153907649</v>
      </c>
      <c r="G22" s="23"/>
      <c r="H22" s="23"/>
      <c r="I22" s="23"/>
      <c r="J22" s="23">
        <f>J18*J20</f>
        <v>0.20086572457798474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628.80833289834902</v>
      </c>
      <c r="C30" s="39">
        <f>IF(ISERROR(B30*3.6/1000000/'E Balans VL '!Z18*100),0,B30*3.6/1000000/'E Balans VL '!Z18*100)</f>
        <v>3.1212628469085832E-2</v>
      </c>
      <c r="D30" s="237" t="s">
        <v>702</v>
      </c>
    </row>
    <row r="31" spans="1:18">
      <c r="A31" s="6" t="s">
        <v>32</v>
      </c>
      <c r="B31" s="37">
        <f>IF( ISERROR(IND_ander_ele_kWh/1000),0,IND_ander_ele_kWh/1000)</f>
        <v>4225.8621124863803</v>
      </c>
      <c r="C31" s="39">
        <f>IF(ISERROR(B31*3.6/1000000/'E Balans VL '!Z19*100),0,B31*3.6/1000000/'E Balans VL '!Z19*100)</f>
        <v>0.14260119163906859</v>
      </c>
      <c r="D31" s="237" t="s">
        <v>702</v>
      </c>
    </row>
    <row r="32" spans="1:18">
      <c r="A32" s="171" t="s">
        <v>40</v>
      </c>
      <c r="B32" s="37">
        <f>IF( ISERROR(IND_voed_ele_kWh/1000),0,IND_voed_ele_kWh/1000)</f>
        <v>301.15073132362102</v>
      </c>
      <c r="C32" s="39">
        <f>IF(ISERROR(B32*3.6/1000000/'E Balans VL '!Z20*100),0,B32*3.6/1000000/'E Balans VL '!Z20*100)</f>
        <v>7.0723180587610613E-3</v>
      </c>
      <c r="D32" s="237" t="s">
        <v>702</v>
      </c>
    </row>
    <row r="33" spans="1:5">
      <c r="A33" s="171" t="s">
        <v>39</v>
      </c>
      <c r="B33" s="37">
        <f>IF( ISERROR(IND_textiel_ele_kWh/1000),0,IND_textiel_ele_kWh/1000)</f>
        <v>94.238320402504399</v>
      </c>
      <c r="C33" s="39">
        <f>IF(ISERROR(B33*3.6/1000000/'E Balans VL '!Z21*100),0,B33*3.6/1000000/'E Balans VL '!Z21*100)</f>
        <v>1.0342536211577599E-2</v>
      </c>
      <c r="D33" s="237" t="s">
        <v>702</v>
      </c>
    </row>
    <row r="34" spans="1:5">
      <c r="A34" s="171" t="s">
        <v>36</v>
      </c>
      <c r="B34" s="37">
        <f>IF( ISERROR(IND_min_ele_kWh/1000),0,IND_min_ele_kWh/1000)</f>
        <v>16.776217117283398</v>
      </c>
      <c r="C34" s="39">
        <f>IF(ISERROR(B34*3.6/1000000/'E Balans VL '!Z22*100),0,B34*3.6/1000000/'E Balans VL '!Z22*100)</f>
        <v>2.3800546480111707E-3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4.8615170964230003</v>
      </c>
      <c r="C37" s="39">
        <f>IF(ISERROR(B37*3.6/1000000/'E Balans VL '!Z15*100),0,B37*3.6/1000000/'E Balans VL '!Z15*100)</f>
        <v>1.8218677288218301E-5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433.51721608858202</v>
      </c>
      <c r="C5" s="17">
        <f>'Eigen informatie GS &amp; warmtenet'!B62</f>
        <v>0</v>
      </c>
      <c r="D5" s="30">
        <f>IF(ISERROR(SUM(LB_lb_gas_kWh,LB_rest_gas_kWh)/1000),0,SUM(LB_lb_gas_kWh,LB_rest_gas_kWh)/1000)*0.903</f>
        <v>43.593431279652101</v>
      </c>
      <c r="E5" s="17">
        <f>B17*'E Balans VL '!I25/3.6*1000000/100</f>
        <v>16.167183022513527</v>
      </c>
      <c r="F5" s="17">
        <f>B17*('E Balans VL '!L25/3.6*1000000+'E Balans VL '!N25/3.6*1000000)/100</f>
        <v>1406.4973666376641</v>
      </c>
      <c r="G5" s="18"/>
      <c r="H5" s="17"/>
      <c r="I5" s="17"/>
      <c r="J5" s="17">
        <f>('E Balans VL '!D25+'E Balans VL '!E25)/3.6*1000000*landbouw!B17/100</f>
        <v>113.80040945748941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433.51721608858202</v>
      </c>
      <c r="C8" s="21">
        <f>C5+C6</f>
        <v>0</v>
      </c>
      <c r="D8" s="21">
        <f>MAX((D5+D6),0)</f>
        <v>43.593431279652101</v>
      </c>
      <c r="E8" s="21">
        <f>MAX((E5+E6),0)</f>
        <v>16.167183022513527</v>
      </c>
      <c r="F8" s="21">
        <f>MAX((F5+F6),0)</f>
        <v>1406.4973666376641</v>
      </c>
      <c r="G8" s="21"/>
      <c r="H8" s="21"/>
      <c r="I8" s="21"/>
      <c r="J8" s="21">
        <f>MAX((J5+J6),0)</f>
        <v>113.80040945748941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0.19553012802823119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84.765676764242812</v>
      </c>
      <c r="C12" s="23">
        <f ca="1">C8*C10</f>
        <v>0</v>
      </c>
      <c r="D12" s="23">
        <f>D8*D10</f>
        <v>8.8058731184897248</v>
      </c>
      <c r="E12" s="23">
        <f>E8*E10</f>
        <v>3.6699505461105706</v>
      </c>
      <c r="F12" s="23">
        <f>F8*F10</f>
        <v>375.53479689225634</v>
      </c>
      <c r="G12" s="23"/>
      <c r="H12" s="23"/>
      <c r="I12" s="23"/>
      <c r="J12" s="23">
        <f>J8*J10</f>
        <v>40.285344947951245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5.9542458358634538E-2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131.38214241405223</v>
      </c>
      <c r="C26" s="247">
        <f>B26*'GWP N2O_CH4'!B5</f>
        <v>2759.0249906950967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42.379275019229837</v>
      </c>
      <c r="C27" s="247">
        <f>B27*'GWP N2O_CH4'!B5</f>
        <v>889.96477540382659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1.6497245137561785</v>
      </c>
      <c r="C28" s="247">
        <f>B28*'GWP N2O_CH4'!B4</f>
        <v>511.4145992644153</v>
      </c>
      <c r="D28" s="50"/>
    </row>
    <row r="29" spans="1:4">
      <c r="A29" s="41" t="s">
        <v>276</v>
      </c>
      <c r="B29" s="247">
        <f>B34*'ha_N2O bodem landbouw'!B4</f>
        <v>10.282828561304839</v>
      </c>
      <c r="C29" s="247">
        <f>B29*'GWP N2O_CH4'!B4</f>
        <v>3187.6768540045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2.3434859949452991E-3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1.2462581280402846E-4</v>
      </c>
      <c r="C5" s="440" t="s">
        <v>210</v>
      </c>
      <c r="D5" s="425">
        <f>SUM(D6:D11)</f>
        <v>4.9468489268469614E-4</v>
      </c>
      <c r="E5" s="425">
        <f>SUM(E6:E11)</f>
        <v>2.6591042316241587E-4</v>
      </c>
      <c r="F5" s="438" t="s">
        <v>210</v>
      </c>
      <c r="G5" s="425">
        <f>SUM(G6:G11)</f>
        <v>0.13121605960134303</v>
      </c>
      <c r="H5" s="425">
        <f>SUM(H6:H11)</f>
        <v>3.1558073754126968E-2</v>
      </c>
      <c r="I5" s="440" t="s">
        <v>210</v>
      </c>
      <c r="J5" s="440" t="s">
        <v>210</v>
      </c>
      <c r="K5" s="440" t="s">
        <v>210</v>
      </c>
      <c r="L5" s="440" t="s">
        <v>210</v>
      </c>
      <c r="M5" s="425">
        <f>SUM(M6:M11)</f>
        <v>9.5814504374721419E-3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1.068696227153621E-4</v>
      </c>
      <c r="C6" s="426"/>
      <c r="D6" s="893">
        <f>vkm_GW_PW*SUMIFS(TableVerdeelsleutelVkm[CNG],TableVerdeelsleutelVkm[Voertuigtype],"Lichte voertuigen")*SUMIFS(TableECFTransport[EnergieConsumptieFactor (PJ per km)],TableECFTransport[Index],CONCATENATE($A6,"_CNG_CNG"))</f>
        <v>3.8598046385858524E-4</v>
      </c>
      <c r="E6" s="893">
        <f>vkm_GW_PW*SUMIFS(TableVerdeelsleutelVkm[LPG],TableVerdeelsleutelVkm[Voertuigtype],"Lichte voertuigen")*SUMIFS(TableECFTransport[EnergieConsumptieFactor (PJ per km)],TableECFTransport[Index],CONCATENATE($A6,"_LPG_LPG"))</f>
        <v>2.0977047449883548E-4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6.5279279196337678E-2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2.4705586084145029E-2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5.3927785297196084E-3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4.71859093686956E-2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4.9675169232778539E-7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2.6566406065848696E-3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1.7756190088666349E-5</v>
      </c>
      <c r="C8" s="426"/>
      <c r="D8" s="428">
        <f>vkm_NGW_PW*SUMIFS(TableVerdeelsleutelVkm[CNG],TableVerdeelsleutelVkm[Voertuigtype],"Lichte voertuigen")*SUMIFS(TableECFTransport[EnergieConsumptieFactor (PJ per km)],TableECFTransport[Index],CONCATENATE($A8,"_CNG_CNG"))</f>
        <v>1.0870442882611093E-4</v>
      </c>
      <c r="E8" s="428">
        <f>vkm_NGW_PW*SUMIFS(TableVerdeelsleutelVkm[LPG],TableVerdeelsleutelVkm[Voertuigtype],"Lichte voertuigen")*SUMIFS(TableECFTransport[EnergieConsumptieFactor (PJ per km)],TableECFTransport[Index],CONCATENATE($A8,"_LPG_LPG"))</f>
        <v>5.6139948663580396E-5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1.625814298886645E-2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6.8519528025073537E-3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1.3916859822104765E-3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2.492728047443285E-3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3.8115782259880639E-8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1.4034531895718713E-4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34.618281334452348</v>
      </c>
      <c r="C14" s="21"/>
      <c r="D14" s="21">
        <f t="shared" ref="D14:M14" si="0">((D5)*10^9/3600)+D12</f>
        <v>137.41247019019337</v>
      </c>
      <c r="E14" s="21">
        <f t="shared" si="0"/>
        <v>73.864006434004409</v>
      </c>
      <c r="F14" s="21"/>
      <c r="G14" s="21">
        <f t="shared" si="0"/>
        <v>36448.905444817508</v>
      </c>
      <c r="H14" s="21">
        <f t="shared" si="0"/>
        <v>8766.1315983686036</v>
      </c>
      <c r="I14" s="21"/>
      <c r="J14" s="21"/>
      <c r="K14" s="21"/>
      <c r="L14" s="21"/>
      <c r="M14" s="21">
        <f t="shared" si="0"/>
        <v>2661.5140104089282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0.19553012802823119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6.7689169814427936</v>
      </c>
      <c r="C18" s="23"/>
      <c r="D18" s="23">
        <f t="shared" ref="D18:M18" si="1">D14*D16</f>
        <v>27.757318978419065</v>
      </c>
      <c r="E18" s="23">
        <f t="shared" si="1"/>
        <v>16.767129460519001</v>
      </c>
      <c r="F18" s="23"/>
      <c r="G18" s="23">
        <f t="shared" si="1"/>
        <v>9731.857753766275</v>
      </c>
      <c r="H18" s="23">
        <f t="shared" si="1"/>
        <v>2182.7667679937822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7.2738157165400715E-4</v>
      </c>
      <c r="H50" s="321">
        <f t="shared" si="2"/>
        <v>0</v>
      </c>
      <c r="I50" s="321">
        <f t="shared" si="2"/>
        <v>0</v>
      </c>
      <c r="J50" s="321">
        <f t="shared" si="2"/>
        <v>0</v>
      </c>
      <c r="K50" s="321">
        <f t="shared" si="2"/>
        <v>0</v>
      </c>
      <c r="L50" s="321">
        <f t="shared" si="2"/>
        <v>0</v>
      </c>
      <c r="M50" s="321">
        <f t="shared" si="2"/>
        <v>3.9471866943952291E-5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7.2738157165400715E-4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3.9471866943952291E-5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202.05043657055757</v>
      </c>
      <c r="H54" s="21">
        <f t="shared" si="3"/>
        <v>0</v>
      </c>
      <c r="I54" s="21">
        <f t="shared" si="3"/>
        <v>0</v>
      </c>
      <c r="J54" s="21">
        <f t="shared" si="3"/>
        <v>0</v>
      </c>
      <c r="K54" s="21">
        <f t="shared" si="3"/>
        <v>0</v>
      </c>
      <c r="L54" s="21">
        <f t="shared" si="3"/>
        <v>0</v>
      </c>
      <c r="M54" s="21">
        <f t="shared" si="3"/>
        <v>10.964407484431192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0.19553012802823119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53.947466564338875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5770.348946865186</v>
      </c>
      <c r="D10" s="689">
        <f ca="1">tertiair!C16</f>
        <v>34.071428571428577</v>
      </c>
      <c r="E10" s="689">
        <f ca="1">tertiair!D16</f>
        <v>4054.9744930346174</v>
      </c>
      <c r="F10" s="689">
        <f>tertiair!E16</f>
        <v>14.653189089400875</v>
      </c>
      <c r="G10" s="689">
        <f ca="1">tertiair!F16</f>
        <v>718.88258748061321</v>
      </c>
      <c r="H10" s="689">
        <f>tertiair!G16</f>
        <v>0</v>
      </c>
      <c r="I10" s="689">
        <f>tertiair!H16</f>
        <v>0</v>
      </c>
      <c r="J10" s="689">
        <f>tertiair!I16</f>
        <v>0</v>
      </c>
      <c r="K10" s="689">
        <f>tertiair!J16</f>
        <v>4.4315653421976428E-3</v>
      </c>
      <c r="L10" s="689">
        <f>tertiair!K16</f>
        <v>0</v>
      </c>
      <c r="M10" s="689">
        <f ca="1">tertiair!L16</f>
        <v>0</v>
      </c>
      <c r="N10" s="689">
        <f>tertiair!M16</f>
        <v>0</v>
      </c>
      <c r="O10" s="689">
        <f ca="1">tertiair!N16</f>
        <v>165.79698040452621</v>
      </c>
      <c r="P10" s="689">
        <f>tertiair!O16</f>
        <v>9.7945215316823084</v>
      </c>
      <c r="Q10" s="690">
        <f>tertiair!P16</f>
        <v>157.61741491948504</v>
      </c>
      <c r="R10" s="692">
        <f ca="1">SUM(C10:Q10)</f>
        <v>10926.143993462281</v>
      </c>
      <c r="S10" s="67"/>
    </row>
    <row r="11" spans="1:19" s="451" customFormat="1">
      <c r="A11" s="811" t="s">
        <v>224</v>
      </c>
      <c r="B11" s="816"/>
      <c r="C11" s="689">
        <f>huishoudens!B8</f>
        <v>14083.987916019709</v>
      </c>
      <c r="D11" s="689">
        <f>huishoudens!C8</f>
        <v>0</v>
      </c>
      <c r="E11" s="689">
        <f>huishoudens!D8</f>
        <v>17994.761672691831</v>
      </c>
      <c r="F11" s="689">
        <f>huishoudens!E8</f>
        <v>4367.9156623756389</v>
      </c>
      <c r="G11" s="689">
        <f>huishoudens!F8</f>
        <v>15299.98204815648</v>
      </c>
      <c r="H11" s="689">
        <f>huishoudens!G8</f>
        <v>0</v>
      </c>
      <c r="I11" s="689">
        <f>huishoudens!H8</f>
        <v>0</v>
      </c>
      <c r="J11" s="689">
        <f>huishoudens!I8</f>
        <v>0</v>
      </c>
      <c r="K11" s="689">
        <f>huishoudens!J8</f>
        <v>0</v>
      </c>
      <c r="L11" s="689">
        <f>huishoudens!K8</f>
        <v>0</v>
      </c>
      <c r="M11" s="689">
        <f>huishoudens!L8</f>
        <v>0</v>
      </c>
      <c r="N11" s="689">
        <f>huishoudens!M8</f>
        <v>0</v>
      </c>
      <c r="O11" s="689">
        <f>huishoudens!N8</f>
        <v>7399.7935008550194</v>
      </c>
      <c r="P11" s="689">
        <f>huishoudens!O8</f>
        <v>269.81831783663637</v>
      </c>
      <c r="Q11" s="690">
        <f>huishoudens!P8</f>
        <v>368.6885757689758</v>
      </c>
      <c r="R11" s="692">
        <f>SUM(C11:Q11)</f>
        <v>59784.947693704293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5271.6972313245615</v>
      </c>
      <c r="D13" s="689">
        <f>industrie!C18</f>
        <v>0</v>
      </c>
      <c r="E13" s="689">
        <f>industrie!D18</f>
        <v>6389.3460590776658</v>
      </c>
      <c r="F13" s="689">
        <f>industrie!E18</f>
        <v>17.303283327216825</v>
      </c>
      <c r="G13" s="689">
        <f>industrie!F18</f>
        <v>2637.6289945283761</v>
      </c>
      <c r="H13" s="689">
        <f>industrie!G18</f>
        <v>0</v>
      </c>
      <c r="I13" s="689">
        <f>industrie!H18</f>
        <v>0</v>
      </c>
      <c r="J13" s="689">
        <f>industrie!I18</f>
        <v>0</v>
      </c>
      <c r="K13" s="689">
        <f>industrie!J18</f>
        <v>0.56741730106775357</v>
      </c>
      <c r="L13" s="689">
        <f>industrie!K18</f>
        <v>0</v>
      </c>
      <c r="M13" s="689">
        <f>industrie!L18</f>
        <v>0</v>
      </c>
      <c r="N13" s="689">
        <f>industrie!M18</f>
        <v>0</v>
      </c>
      <c r="O13" s="689">
        <f>industrie!N18</f>
        <v>202.59971510502558</v>
      </c>
      <c r="P13" s="689">
        <f>industrie!O18</f>
        <v>0</v>
      </c>
      <c r="Q13" s="690">
        <f>industrie!P18</f>
        <v>0</v>
      </c>
      <c r="R13" s="692">
        <f>SUM(C13:Q13)</f>
        <v>14519.142700663915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25126.034094209455</v>
      </c>
      <c r="D16" s="725">
        <f t="shared" ref="D16:R16" ca="1" si="0">SUM(D9:D15)</f>
        <v>34.071428571428577</v>
      </c>
      <c r="E16" s="725">
        <f t="shared" ca="1" si="0"/>
        <v>28439.082224804115</v>
      </c>
      <c r="F16" s="725">
        <f t="shared" si="0"/>
        <v>4399.8721347922565</v>
      </c>
      <c r="G16" s="725">
        <f t="shared" ca="1" si="0"/>
        <v>18656.493630165471</v>
      </c>
      <c r="H16" s="725">
        <f t="shared" si="0"/>
        <v>0</v>
      </c>
      <c r="I16" s="725">
        <f t="shared" si="0"/>
        <v>0</v>
      </c>
      <c r="J16" s="725">
        <f t="shared" si="0"/>
        <v>0</v>
      </c>
      <c r="K16" s="725">
        <f t="shared" si="0"/>
        <v>0.57184886640995125</v>
      </c>
      <c r="L16" s="725">
        <f t="shared" si="0"/>
        <v>0</v>
      </c>
      <c r="M16" s="725">
        <f t="shared" ca="1" si="0"/>
        <v>0</v>
      </c>
      <c r="N16" s="725">
        <f t="shared" si="0"/>
        <v>0</v>
      </c>
      <c r="O16" s="725">
        <f t="shared" ca="1" si="0"/>
        <v>7768.1901963645714</v>
      </c>
      <c r="P16" s="725">
        <f t="shared" si="0"/>
        <v>279.6128393683187</v>
      </c>
      <c r="Q16" s="725">
        <f t="shared" si="0"/>
        <v>526.30599068846084</v>
      </c>
      <c r="R16" s="725">
        <f t="shared" ca="1" si="0"/>
        <v>85230.234387830482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202.05043657055757</v>
      </c>
      <c r="I19" s="689">
        <f>transport!H54</f>
        <v>0</v>
      </c>
      <c r="J19" s="689">
        <f>transport!I54</f>
        <v>0</v>
      </c>
      <c r="K19" s="689">
        <f>transport!J54</f>
        <v>0</v>
      </c>
      <c r="L19" s="689">
        <f>transport!K54</f>
        <v>0</v>
      </c>
      <c r="M19" s="689">
        <f>transport!L54</f>
        <v>0</v>
      </c>
      <c r="N19" s="689">
        <f>transport!M54</f>
        <v>10.964407484431192</v>
      </c>
      <c r="O19" s="689">
        <f>transport!N54</f>
        <v>0</v>
      </c>
      <c r="P19" s="689">
        <f>transport!O54</f>
        <v>0</v>
      </c>
      <c r="Q19" s="690">
        <f>transport!P54</f>
        <v>0</v>
      </c>
      <c r="R19" s="692">
        <f>SUM(C19:Q19)</f>
        <v>213.01484405498877</v>
      </c>
      <c r="S19" s="67"/>
    </row>
    <row r="20" spans="1:19" s="451" customFormat="1">
      <c r="A20" s="811" t="s">
        <v>306</v>
      </c>
      <c r="B20" s="816"/>
      <c r="C20" s="689">
        <f>transport!B14</f>
        <v>34.618281334452348</v>
      </c>
      <c r="D20" s="689">
        <f>transport!C14</f>
        <v>0</v>
      </c>
      <c r="E20" s="689">
        <f>transport!D14</f>
        <v>137.41247019019337</v>
      </c>
      <c r="F20" s="689">
        <f>transport!E14</f>
        <v>73.864006434004409</v>
      </c>
      <c r="G20" s="689">
        <f>transport!F14</f>
        <v>0</v>
      </c>
      <c r="H20" s="689">
        <f>transport!G14</f>
        <v>36448.905444817508</v>
      </c>
      <c r="I20" s="689">
        <f>transport!H14</f>
        <v>8766.1315983686036</v>
      </c>
      <c r="J20" s="689">
        <f>transport!I14</f>
        <v>0</v>
      </c>
      <c r="K20" s="689">
        <f>transport!J14</f>
        <v>0</v>
      </c>
      <c r="L20" s="689">
        <f>transport!K14</f>
        <v>0</v>
      </c>
      <c r="M20" s="689">
        <f>transport!L14</f>
        <v>0</v>
      </c>
      <c r="N20" s="689">
        <f>transport!M14</f>
        <v>2661.5140104089282</v>
      </c>
      <c r="O20" s="689">
        <f>transport!N14</f>
        <v>0</v>
      </c>
      <c r="P20" s="689">
        <f>transport!O14</f>
        <v>0</v>
      </c>
      <c r="Q20" s="690">
        <f>transport!P14</f>
        <v>0</v>
      </c>
      <c r="R20" s="692">
        <f>SUM(C20:Q20)</f>
        <v>48122.445811553691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34.618281334452348</v>
      </c>
      <c r="D22" s="814">
        <f t="shared" ref="D22:R22" si="1">SUM(D18:D21)</f>
        <v>0</v>
      </c>
      <c r="E22" s="814">
        <f t="shared" si="1"/>
        <v>137.41247019019337</v>
      </c>
      <c r="F22" s="814">
        <f t="shared" si="1"/>
        <v>73.864006434004409</v>
      </c>
      <c r="G22" s="814">
        <f t="shared" si="1"/>
        <v>0</v>
      </c>
      <c r="H22" s="814">
        <f t="shared" si="1"/>
        <v>36650.955881388065</v>
      </c>
      <c r="I22" s="814">
        <f t="shared" si="1"/>
        <v>8766.1315983686036</v>
      </c>
      <c r="J22" s="814">
        <f t="shared" si="1"/>
        <v>0</v>
      </c>
      <c r="K22" s="814">
        <f t="shared" si="1"/>
        <v>0</v>
      </c>
      <c r="L22" s="814">
        <f t="shared" si="1"/>
        <v>0</v>
      </c>
      <c r="M22" s="814">
        <f t="shared" si="1"/>
        <v>0</v>
      </c>
      <c r="N22" s="814">
        <f t="shared" si="1"/>
        <v>2672.4784178933596</v>
      </c>
      <c r="O22" s="814">
        <f t="shared" si="1"/>
        <v>0</v>
      </c>
      <c r="P22" s="814">
        <f t="shared" si="1"/>
        <v>0</v>
      </c>
      <c r="Q22" s="814">
        <f t="shared" si="1"/>
        <v>0</v>
      </c>
      <c r="R22" s="814">
        <f t="shared" si="1"/>
        <v>48335.46065560868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433.51721608858202</v>
      </c>
      <c r="D24" s="689">
        <f>+landbouw!C8</f>
        <v>0</v>
      </c>
      <c r="E24" s="689">
        <f>+landbouw!D8</f>
        <v>43.593431279652101</v>
      </c>
      <c r="F24" s="689">
        <f>+landbouw!E8</f>
        <v>16.167183022513527</v>
      </c>
      <c r="G24" s="689">
        <f>+landbouw!F8</f>
        <v>1406.4973666376641</v>
      </c>
      <c r="H24" s="689">
        <f>+landbouw!G8</f>
        <v>0</v>
      </c>
      <c r="I24" s="689">
        <f>+landbouw!H8</f>
        <v>0</v>
      </c>
      <c r="J24" s="689">
        <f>+landbouw!I8</f>
        <v>0</v>
      </c>
      <c r="K24" s="689">
        <f>+landbouw!J8</f>
        <v>113.80040945748941</v>
      </c>
      <c r="L24" s="689">
        <f>+landbouw!K8</f>
        <v>0</v>
      </c>
      <c r="M24" s="689">
        <f>+landbouw!L8</f>
        <v>0</v>
      </c>
      <c r="N24" s="689">
        <f>+landbouw!M8</f>
        <v>0</v>
      </c>
      <c r="O24" s="689">
        <f>+landbouw!N8</f>
        <v>0</v>
      </c>
      <c r="P24" s="689">
        <f>+landbouw!O8</f>
        <v>0</v>
      </c>
      <c r="Q24" s="690">
        <f>+landbouw!P8</f>
        <v>0</v>
      </c>
      <c r="R24" s="692">
        <f>SUM(C24:Q24)</f>
        <v>2013.5756064859011</v>
      </c>
      <c r="S24" s="67"/>
    </row>
    <row r="25" spans="1:19" s="451" customFormat="1" ht="15" thickBot="1">
      <c r="A25" s="833" t="s">
        <v>714</v>
      </c>
      <c r="B25" s="947"/>
      <c r="C25" s="948">
        <f>IF(Onbekend_ele_kWh="---",0,Onbekend_ele_kWh)/1000+IF(REST_rest_ele_kWh="---",0,REST_rest_ele_kWh)/1000</f>
        <v>355.64321404747898</v>
      </c>
      <c r="D25" s="948"/>
      <c r="E25" s="948">
        <f>IF(onbekend_gas_kWh="---",0,onbekend_gas_kWh)/1000+IF(REST_rest_gas_kWh="---",0,REST_rest_gas_kWh)/1000</f>
        <v>303.986337245333</v>
      </c>
      <c r="F25" s="948"/>
      <c r="G25" s="948"/>
      <c r="H25" s="948"/>
      <c r="I25" s="948"/>
      <c r="J25" s="948"/>
      <c r="K25" s="948"/>
      <c r="L25" s="948"/>
      <c r="M25" s="948"/>
      <c r="N25" s="948"/>
      <c r="O25" s="948"/>
      <c r="P25" s="948"/>
      <c r="Q25" s="949"/>
      <c r="R25" s="692">
        <f>SUM(C25:Q25)</f>
        <v>659.62955129281204</v>
      </c>
      <c r="S25" s="67"/>
    </row>
    <row r="26" spans="1:19" s="451" customFormat="1" ht="15.75" thickBot="1">
      <c r="A26" s="697" t="s">
        <v>715</v>
      </c>
      <c r="B26" s="819"/>
      <c r="C26" s="814">
        <f>SUM(C24:C25)</f>
        <v>789.160430136061</v>
      </c>
      <c r="D26" s="814">
        <f t="shared" ref="D26:R26" si="2">SUM(D24:D25)</f>
        <v>0</v>
      </c>
      <c r="E26" s="814">
        <f t="shared" si="2"/>
        <v>347.57976852498513</v>
      </c>
      <c r="F26" s="814">
        <f t="shared" si="2"/>
        <v>16.167183022513527</v>
      </c>
      <c r="G26" s="814">
        <f t="shared" si="2"/>
        <v>1406.4973666376641</v>
      </c>
      <c r="H26" s="814">
        <f t="shared" si="2"/>
        <v>0</v>
      </c>
      <c r="I26" s="814">
        <f t="shared" si="2"/>
        <v>0</v>
      </c>
      <c r="J26" s="814">
        <f t="shared" si="2"/>
        <v>0</v>
      </c>
      <c r="K26" s="814">
        <f t="shared" si="2"/>
        <v>113.80040945748941</v>
      </c>
      <c r="L26" s="814">
        <f t="shared" si="2"/>
        <v>0</v>
      </c>
      <c r="M26" s="814">
        <f t="shared" si="2"/>
        <v>0</v>
      </c>
      <c r="N26" s="814">
        <f t="shared" si="2"/>
        <v>0</v>
      </c>
      <c r="O26" s="814">
        <f t="shared" si="2"/>
        <v>0</v>
      </c>
      <c r="P26" s="814">
        <f t="shared" si="2"/>
        <v>0</v>
      </c>
      <c r="Q26" s="814">
        <f t="shared" si="2"/>
        <v>0</v>
      </c>
      <c r="R26" s="814">
        <f t="shared" si="2"/>
        <v>2673.2051577787133</v>
      </c>
      <c r="S26" s="67"/>
    </row>
    <row r="27" spans="1:19" s="451" customFormat="1" ht="17.25" thickTop="1" thickBot="1">
      <c r="A27" s="698" t="s">
        <v>115</v>
      </c>
      <c r="B27" s="806"/>
      <c r="C27" s="699">
        <f ca="1">C22+C16+C26</f>
        <v>25949.812805679969</v>
      </c>
      <c r="D27" s="699">
        <f t="shared" ref="D27:R27" ca="1" si="3">D22+D16+D26</f>
        <v>34.071428571428577</v>
      </c>
      <c r="E27" s="699">
        <f t="shared" ca="1" si="3"/>
        <v>28924.074463519293</v>
      </c>
      <c r="F27" s="699">
        <f t="shared" si="3"/>
        <v>4489.903324248774</v>
      </c>
      <c r="G27" s="699">
        <f t="shared" ca="1" si="3"/>
        <v>20062.990996803135</v>
      </c>
      <c r="H27" s="699">
        <f t="shared" si="3"/>
        <v>36650.955881388065</v>
      </c>
      <c r="I27" s="699">
        <f t="shared" si="3"/>
        <v>8766.1315983686036</v>
      </c>
      <c r="J27" s="699">
        <f t="shared" si="3"/>
        <v>0</v>
      </c>
      <c r="K27" s="699">
        <f t="shared" si="3"/>
        <v>114.37225832389936</v>
      </c>
      <c r="L27" s="699">
        <f t="shared" si="3"/>
        <v>0</v>
      </c>
      <c r="M27" s="699">
        <f t="shared" ca="1" si="3"/>
        <v>0</v>
      </c>
      <c r="N27" s="699">
        <f t="shared" si="3"/>
        <v>2672.4784178933596</v>
      </c>
      <c r="O27" s="699">
        <f t="shared" ca="1" si="3"/>
        <v>7768.1901963645714</v>
      </c>
      <c r="P27" s="699">
        <f t="shared" si="3"/>
        <v>279.6128393683187</v>
      </c>
      <c r="Q27" s="699">
        <f t="shared" si="3"/>
        <v>526.30599068846084</v>
      </c>
      <c r="R27" s="699">
        <f t="shared" ca="1" si="3"/>
        <v>136238.90020121788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1128.2770683481187</v>
      </c>
      <c r="D40" s="689">
        <f ca="1">tertiair!C20</f>
        <v>8.0969747899159685</v>
      </c>
      <c r="E40" s="689">
        <f ca="1">tertiair!D20</f>
        <v>819.10484759299277</v>
      </c>
      <c r="F40" s="689">
        <f>tertiair!E20</f>
        <v>3.3262739232939986</v>
      </c>
      <c r="G40" s="689">
        <f ca="1">tertiair!F20</f>
        <v>191.94165085732374</v>
      </c>
      <c r="H40" s="689">
        <f>tertiair!G20</f>
        <v>0</v>
      </c>
      <c r="I40" s="689">
        <f>tertiair!H20</f>
        <v>0</v>
      </c>
      <c r="J40" s="689">
        <f>tertiair!I20</f>
        <v>0</v>
      </c>
      <c r="K40" s="689">
        <f>tertiair!J20</f>
        <v>1.5687741311379655E-3</v>
      </c>
      <c r="L40" s="689">
        <f>tertiair!K20</f>
        <v>0</v>
      </c>
      <c r="M40" s="689">
        <f ca="1">tertiair!L20</f>
        <v>0</v>
      </c>
      <c r="N40" s="689">
        <f>tertiair!M20</f>
        <v>0</v>
      </c>
      <c r="O40" s="689">
        <f ca="1">tertiair!N20</f>
        <v>0</v>
      </c>
      <c r="P40" s="689">
        <f>tertiair!O20</f>
        <v>0</v>
      </c>
      <c r="Q40" s="772">
        <f>tertiair!P20</f>
        <v>0</v>
      </c>
      <c r="R40" s="852">
        <f t="shared" ca="1" si="4"/>
        <v>2150.7483842857764</v>
      </c>
    </row>
    <row r="41" spans="1:18">
      <c r="A41" s="824" t="s">
        <v>224</v>
      </c>
      <c r="B41" s="831"/>
      <c r="C41" s="689">
        <f ca="1">huishoudens!B12</f>
        <v>2753.8439603673946</v>
      </c>
      <c r="D41" s="689">
        <f ca="1">huishoudens!C12</f>
        <v>0</v>
      </c>
      <c r="E41" s="689">
        <f>huishoudens!D12</f>
        <v>3634.9418578837503</v>
      </c>
      <c r="F41" s="689">
        <f>huishoudens!E12</f>
        <v>991.51685535927004</v>
      </c>
      <c r="G41" s="689">
        <f>huishoudens!F12</f>
        <v>4085.0952068577803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11465.397880468196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1030.7756345669634</v>
      </c>
      <c r="D43" s="689">
        <f ca="1">industrie!C22</f>
        <v>0</v>
      </c>
      <c r="E43" s="689">
        <f>industrie!D22</f>
        <v>1290.6479039336887</v>
      </c>
      <c r="F43" s="689">
        <f>industrie!E22</f>
        <v>3.9278453152782191</v>
      </c>
      <c r="G43" s="689">
        <f>industrie!F22</f>
        <v>704.24694153907649</v>
      </c>
      <c r="H43" s="689">
        <f>industrie!G22</f>
        <v>0</v>
      </c>
      <c r="I43" s="689">
        <f>industrie!H22</f>
        <v>0</v>
      </c>
      <c r="J43" s="689">
        <f>industrie!I22</f>
        <v>0</v>
      </c>
      <c r="K43" s="689">
        <f>industrie!J22</f>
        <v>0.20086572457798474</v>
      </c>
      <c r="L43" s="689">
        <f>industrie!K22</f>
        <v>0</v>
      </c>
      <c r="M43" s="689">
        <f>industrie!L22</f>
        <v>0</v>
      </c>
      <c r="N43" s="689">
        <f>industrie!M22</f>
        <v>0</v>
      </c>
      <c r="O43" s="689">
        <f>industrie!N22</f>
        <v>0</v>
      </c>
      <c r="P43" s="689">
        <f>industrie!O22</f>
        <v>0</v>
      </c>
      <c r="Q43" s="772">
        <f>industrie!P22</f>
        <v>0</v>
      </c>
      <c r="R43" s="851">
        <f t="shared" ca="1" si="4"/>
        <v>3029.7991910795849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4912.8966632824768</v>
      </c>
      <c r="D46" s="725">
        <f t="shared" ref="D46:Q46" ca="1" si="5">SUM(D39:D45)</f>
        <v>8.0969747899159685</v>
      </c>
      <c r="E46" s="725">
        <f t="shared" ca="1" si="5"/>
        <v>5744.6946094104314</v>
      </c>
      <c r="F46" s="725">
        <f t="shared" si="5"/>
        <v>998.77097459784227</v>
      </c>
      <c r="G46" s="725">
        <f t="shared" ca="1" si="5"/>
        <v>4981.2837992541808</v>
      </c>
      <c r="H46" s="725">
        <f t="shared" si="5"/>
        <v>0</v>
      </c>
      <c r="I46" s="725">
        <f t="shared" si="5"/>
        <v>0</v>
      </c>
      <c r="J46" s="725">
        <f t="shared" si="5"/>
        <v>0</v>
      </c>
      <c r="K46" s="725">
        <f t="shared" si="5"/>
        <v>0.2024344987091227</v>
      </c>
      <c r="L46" s="725">
        <f t="shared" si="5"/>
        <v>0</v>
      </c>
      <c r="M46" s="725">
        <f t="shared" ca="1" si="5"/>
        <v>0</v>
      </c>
      <c r="N46" s="725">
        <f t="shared" si="5"/>
        <v>0</v>
      </c>
      <c r="O46" s="725">
        <f t="shared" ca="1" si="5"/>
        <v>0</v>
      </c>
      <c r="P46" s="725">
        <f t="shared" si="5"/>
        <v>0</v>
      </c>
      <c r="Q46" s="725">
        <f t="shared" si="5"/>
        <v>0</v>
      </c>
      <c r="R46" s="725">
        <f ca="1">SUM(R39:R45)</f>
        <v>16645.945455833556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53.947466564338875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53.947466564338875</v>
      </c>
    </row>
    <row r="50" spans="1:18">
      <c r="A50" s="827" t="s">
        <v>306</v>
      </c>
      <c r="B50" s="837"/>
      <c r="C50" s="695">
        <f ca="1">transport!B18</f>
        <v>6.7689169814427936</v>
      </c>
      <c r="D50" s="695">
        <f>transport!C18</f>
        <v>0</v>
      </c>
      <c r="E50" s="695">
        <f>transport!D18</f>
        <v>27.757318978419065</v>
      </c>
      <c r="F50" s="695">
        <f>transport!E18</f>
        <v>16.767129460519001</v>
      </c>
      <c r="G50" s="695">
        <f>transport!F18</f>
        <v>0</v>
      </c>
      <c r="H50" s="695">
        <f>transport!G18</f>
        <v>9731.857753766275</v>
      </c>
      <c r="I50" s="695">
        <f>transport!H18</f>
        <v>2182.7667679937822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11965.917887180438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6.7689169814427936</v>
      </c>
      <c r="D52" s="725">
        <f t="shared" ref="D52:Q52" ca="1" si="6">SUM(D48:D51)</f>
        <v>0</v>
      </c>
      <c r="E52" s="725">
        <f t="shared" si="6"/>
        <v>27.757318978419065</v>
      </c>
      <c r="F52" s="725">
        <f t="shared" si="6"/>
        <v>16.767129460519001</v>
      </c>
      <c r="G52" s="725">
        <f t="shared" si="6"/>
        <v>0</v>
      </c>
      <c r="H52" s="725">
        <f t="shared" si="6"/>
        <v>9785.8052203306142</v>
      </c>
      <c r="I52" s="725">
        <f t="shared" si="6"/>
        <v>2182.7667679937822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12019.865353744777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84.765676764242812</v>
      </c>
      <c r="D54" s="695">
        <f ca="1">+landbouw!C12</f>
        <v>0</v>
      </c>
      <c r="E54" s="695">
        <f>+landbouw!D12</f>
        <v>8.8058731184897248</v>
      </c>
      <c r="F54" s="695">
        <f>+landbouw!E12</f>
        <v>3.6699505461105706</v>
      </c>
      <c r="G54" s="695">
        <f>+landbouw!F12</f>
        <v>375.53479689225634</v>
      </c>
      <c r="H54" s="695">
        <f>+landbouw!G12</f>
        <v>0</v>
      </c>
      <c r="I54" s="695">
        <f>+landbouw!H12</f>
        <v>0</v>
      </c>
      <c r="J54" s="695">
        <f>+landbouw!I12</f>
        <v>0</v>
      </c>
      <c r="K54" s="695">
        <f>+landbouw!J12</f>
        <v>40.285344947951245</v>
      </c>
      <c r="L54" s="695">
        <f>+landbouw!K12</f>
        <v>0</v>
      </c>
      <c r="M54" s="695">
        <f>+landbouw!L12</f>
        <v>0</v>
      </c>
      <c r="N54" s="695">
        <f>+landbouw!M12</f>
        <v>0</v>
      </c>
      <c r="O54" s="695">
        <f>+landbouw!N12</f>
        <v>0</v>
      </c>
      <c r="P54" s="695">
        <f>+landbouw!O12</f>
        <v>0</v>
      </c>
      <c r="Q54" s="696">
        <f>+landbouw!P12</f>
        <v>0</v>
      </c>
      <c r="R54" s="724">
        <f ca="1">SUM(C54:Q54)</f>
        <v>513.06164226905071</v>
      </c>
    </row>
    <row r="55" spans="1:18" ht="15" thickBot="1">
      <c r="A55" s="827" t="s">
        <v>714</v>
      </c>
      <c r="B55" s="837"/>
      <c r="C55" s="695">
        <f ca="1">C25*'EF ele_warmte'!B12</f>
        <v>69.538963175075196</v>
      </c>
      <c r="D55" s="695"/>
      <c r="E55" s="695">
        <f>E25*EF_CO2_aardgas</f>
        <v>61.40524012355727</v>
      </c>
      <c r="F55" s="695"/>
      <c r="G55" s="695"/>
      <c r="H55" s="695"/>
      <c r="I55" s="695"/>
      <c r="J55" s="695"/>
      <c r="K55" s="695"/>
      <c r="L55" s="695"/>
      <c r="M55" s="695"/>
      <c r="N55" s="695"/>
      <c r="O55" s="695"/>
      <c r="P55" s="695"/>
      <c r="Q55" s="696"/>
      <c r="R55" s="724">
        <f ca="1">SUM(C55:Q55)</f>
        <v>130.94420329863246</v>
      </c>
    </row>
    <row r="56" spans="1:18" ht="15.75" thickBot="1">
      <c r="A56" s="825" t="s">
        <v>715</v>
      </c>
      <c r="B56" s="838"/>
      <c r="C56" s="725">
        <f ca="1">SUM(C54:C55)</f>
        <v>154.30463993931801</v>
      </c>
      <c r="D56" s="725">
        <f t="shared" ref="D56:Q56" ca="1" si="7">SUM(D54:D55)</f>
        <v>0</v>
      </c>
      <c r="E56" s="725">
        <f t="shared" si="7"/>
        <v>70.211113242046991</v>
      </c>
      <c r="F56" s="725">
        <f t="shared" si="7"/>
        <v>3.6699505461105706</v>
      </c>
      <c r="G56" s="725">
        <f t="shared" si="7"/>
        <v>375.53479689225634</v>
      </c>
      <c r="H56" s="725">
        <f t="shared" si="7"/>
        <v>0</v>
      </c>
      <c r="I56" s="725">
        <f t="shared" si="7"/>
        <v>0</v>
      </c>
      <c r="J56" s="725">
        <f t="shared" si="7"/>
        <v>0</v>
      </c>
      <c r="K56" s="725">
        <f t="shared" si="7"/>
        <v>40.285344947951245</v>
      </c>
      <c r="L56" s="725">
        <f t="shared" si="7"/>
        <v>0</v>
      </c>
      <c r="M56" s="725">
        <f t="shared" si="7"/>
        <v>0</v>
      </c>
      <c r="N56" s="725">
        <f t="shared" si="7"/>
        <v>0</v>
      </c>
      <c r="O56" s="725">
        <f t="shared" si="7"/>
        <v>0</v>
      </c>
      <c r="P56" s="725">
        <f t="shared" si="7"/>
        <v>0</v>
      </c>
      <c r="Q56" s="726">
        <f t="shared" si="7"/>
        <v>0</v>
      </c>
      <c r="R56" s="727">
        <f ca="1">SUM(R54:R55)</f>
        <v>644.0058455676832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5073.9702202032377</v>
      </c>
      <c r="D61" s="733">
        <f t="shared" ref="D61:Q61" ca="1" si="8">D46+D52+D56</f>
        <v>8.0969747899159685</v>
      </c>
      <c r="E61" s="733">
        <f t="shared" ca="1" si="8"/>
        <v>5842.6630416308972</v>
      </c>
      <c r="F61" s="733">
        <f t="shared" si="8"/>
        <v>1019.2080546044718</v>
      </c>
      <c r="G61" s="733">
        <f t="shared" ca="1" si="8"/>
        <v>5356.8185961464369</v>
      </c>
      <c r="H61" s="733">
        <f t="shared" si="8"/>
        <v>9785.8052203306142</v>
      </c>
      <c r="I61" s="733">
        <f t="shared" si="8"/>
        <v>2182.7667679937822</v>
      </c>
      <c r="J61" s="733">
        <f t="shared" si="8"/>
        <v>0</v>
      </c>
      <c r="K61" s="733">
        <f t="shared" si="8"/>
        <v>40.487779446660369</v>
      </c>
      <c r="L61" s="733">
        <f t="shared" si="8"/>
        <v>0</v>
      </c>
      <c r="M61" s="733">
        <f t="shared" ca="1" si="8"/>
        <v>0</v>
      </c>
      <c r="N61" s="733">
        <f t="shared" si="8"/>
        <v>0</v>
      </c>
      <c r="O61" s="733">
        <f t="shared" ca="1" si="8"/>
        <v>0</v>
      </c>
      <c r="P61" s="733">
        <f t="shared" si="8"/>
        <v>0</v>
      </c>
      <c r="Q61" s="733">
        <f t="shared" si="8"/>
        <v>0</v>
      </c>
      <c r="R61" s="733">
        <f ca="1">R46+R52+R56</f>
        <v>29309.816655146016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0.19553012802823119</v>
      </c>
      <c r="D63" s="779">
        <f t="shared" ca="1" si="9"/>
        <v>0.23764705882352943</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2992.4680642759099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23.85</v>
      </c>
      <c r="D76" s="956">
        <f>'lokale energieproductie'!C8</f>
        <v>28.058823529411768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5.6678823529411773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2992.4680642759099</v>
      </c>
      <c r="C78" s="751">
        <f>SUM(C72:C77)</f>
        <v>23.85</v>
      </c>
      <c r="D78" s="752">
        <f t="shared" ref="D78:H78" si="10">SUM(D76:D77)</f>
        <v>28.058823529411768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5.6678823529411773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34.071428571428577</v>
      </c>
      <c r="D87" s="775">
        <f>'lokale energieproductie'!C17</f>
        <v>40.084033613445385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8.0969747899159685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34.071428571428577</v>
      </c>
      <c r="D90" s="751">
        <f t="shared" ref="D90:H90" si="12">SUM(D87:D89)</f>
        <v>40.084033613445385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8.0969747899159685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2992.4680642759099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23.85</v>
      </c>
      <c r="C8" s="551">
        <f>B48</f>
        <v>28.058823529411768</v>
      </c>
      <c r="D8" s="552"/>
      <c r="E8" s="552">
        <f>E48</f>
        <v>0</v>
      </c>
      <c r="F8" s="553"/>
      <c r="G8" s="554"/>
      <c r="H8" s="552">
        <f>I48</f>
        <v>0</v>
      </c>
      <c r="I8" s="552">
        <f>G48+F48</f>
        <v>0</v>
      </c>
      <c r="J8" s="552">
        <f>H48+D48+C48</f>
        <v>0</v>
      </c>
      <c r="K8" s="552"/>
      <c r="L8" s="552"/>
      <c r="M8" s="552"/>
      <c r="N8" s="555"/>
      <c r="O8" s="556">
        <f>C8*$C$12+D8*$D$12+E8*$E$12+F8*$F$12+G8*$G$12+H8*$H$12+I8*$I$12+J8*$J$12</f>
        <v>5.6678823529411773</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3016.3180642759098</v>
      </c>
      <c r="C10" s="566">
        <f t="shared" ref="C10:L10" si="0">SUM(C8:C9)</f>
        <v>28.058823529411768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5.6678823529411773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34.071428571428577</v>
      </c>
      <c r="C17" s="582">
        <f>B49</f>
        <v>40.084033613445385</v>
      </c>
      <c r="D17" s="583"/>
      <c r="E17" s="583">
        <f>E49</f>
        <v>0</v>
      </c>
      <c r="F17" s="584"/>
      <c r="G17" s="585"/>
      <c r="H17" s="582">
        <f>I49</f>
        <v>0</v>
      </c>
      <c r="I17" s="583">
        <f>G49+F49</f>
        <v>0</v>
      </c>
      <c r="J17" s="583">
        <f>H49+D49+C49</f>
        <v>0</v>
      </c>
      <c r="K17" s="583"/>
      <c r="L17" s="583"/>
      <c r="M17" s="583"/>
      <c r="N17" s="970"/>
      <c r="O17" s="586">
        <f>C17*$C$22+E17*$E$22+H17*$H$22+I17*$I$22+J17*$J$22+D17*$D$22+F17*$F$22+G17*$G$22+K17*$K$22+L17*$L$22</f>
        <v>8.0969747899159685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34.071428571428577</v>
      </c>
      <c r="C20" s="565">
        <f>SUM(C17:C19)</f>
        <v>40.084033613445385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8.0969747899159685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45057</v>
      </c>
      <c r="C28" s="794">
        <v>9750</v>
      </c>
      <c r="D28" s="643" t="s">
        <v>865</v>
      </c>
      <c r="E28" s="642" t="s">
        <v>866</v>
      </c>
      <c r="F28" s="642" t="s">
        <v>867</v>
      </c>
      <c r="G28" s="642" t="s">
        <v>868</v>
      </c>
      <c r="H28" s="642" t="s">
        <v>869</v>
      </c>
      <c r="I28" s="642" t="s">
        <v>866</v>
      </c>
      <c r="J28" s="793">
        <v>39036</v>
      </c>
      <c r="K28" s="793">
        <v>40299</v>
      </c>
      <c r="L28" s="642" t="s">
        <v>870</v>
      </c>
      <c r="M28" s="642">
        <v>5.3</v>
      </c>
      <c r="N28" s="642">
        <v>23.85</v>
      </c>
      <c r="O28" s="642">
        <v>34.071428571428577</v>
      </c>
      <c r="P28" s="642">
        <v>68.142857142857153</v>
      </c>
      <c r="Q28" s="642">
        <v>0</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5.3</v>
      </c>
      <c r="N29" s="600">
        <f>SUM(N28:N28)</f>
        <v>23.85</v>
      </c>
      <c r="O29" s="600">
        <f>SUM(O28:O28)</f>
        <v>34.071428571428577</v>
      </c>
      <c r="P29" s="600">
        <f>SUM(P28:P28)</f>
        <v>68.142857142857153</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5.3</v>
      </c>
      <c r="N31" s="600">
        <f ca="1">SUMIF($Z$28:AD28,"tertiair",N28:N28)</f>
        <v>23.85</v>
      </c>
      <c r="O31" s="600">
        <f ca="1">SUMIF($Z$28:AE28,"tertiair",O28:O28)</f>
        <v>34.071428571428577</v>
      </c>
      <c r="P31" s="600">
        <f ca="1">SUMIF($Z$28:AF28,"tertiair",P28:P28)</f>
        <v>68.142857142857153</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28.058823529411768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40.084033613445385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14083.987916019709</v>
      </c>
      <c r="C4" s="455">
        <f>huishoudens!C8</f>
        <v>0</v>
      </c>
      <c r="D4" s="455">
        <f>huishoudens!D8</f>
        <v>17994.761672691831</v>
      </c>
      <c r="E4" s="455">
        <f>huishoudens!E8</f>
        <v>4367.9156623756389</v>
      </c>
      <c r="F4" s="455">
        <f>huishoudens!F8</f>
        <v>15299.98204815648</v>
      </c>
      <c r="G4" s="455">
        <f>huishoudens!G8</f>
        <v>0</v>
      </c>
      <c r="H4" s="455">
        <f>huishoudens!H8</f>
        <v>0</v>
      </c>
      <c r="I4" s="455">
        <f>huishoudens!I8</f>
        <v>0</v>
      </c>
      <c r="J4" s="455">
        <f>huishoudens!J8</f>
        <v>0</v>
      </c>
      <c r="K4" s="455">
        <f>huishoudens!K8</f>
        <v>0</v>
      </c>
      <c r="L4" s="455">
        <f>huishoudens!L8</f>
        <v>0</v>
      </c>
      <c r="M4" s="455">
        <f>huishoudens!M8</f>
        <v>0</v>
      </c>
      <c r="N4" s="455">
        <f>huishoudens!N8</f>
        <v>7399.7935008550194</v>
      </c>
      <c r="O4" s="455">
        <f>huishoudens!O8</f>
        <v>269.81831783663637</v>
      </c>
      <c r="P4" s="456">
        <f>huishoudens!P8</f>
        <v>368.6885757689758</v>
      </c>
      <c r="Q4" s="457">
        <f>SUM(B4:P4)</f>
        <v>59784.947693704293</v>
      </c>
    </row>
    <row r="5" spans="1:17">
      <c r="A5" s="454" t="s">
        <v>155</v>
      </c>
      <c r="B5" s="455">
        <f ca="1">tertiair!B16</f>
        <v>5281.830946865186</v>
      </c>
      <c r="C5" s="455">
        <f ca="1">tertiair!C16</f>
        <v>34.071428571428577</v>
      </c>
      <c r="D5" s="455">
        <f ca="1">tertiair!D16</f>
        <v>4054.9744930346174</v>
      </c>
      <c r="E5" s="455">
        <f>tertiair!E16</f>
        <v>14.653189089400875</v>
      </c>
      <c r="F5" s="455">
        <f ca="1">tertiair!F16</f>
        <v>718.88258748061321</v>
      </c>
      <c r="G5" s="455">
        <f>tertiair!G16</f>
        <v>0</v>
      </c>
      <c r="H5" s="455">
        <f>tertiair!H16</f>
        <v>0</v>
      </c>
      <c r="I5" s="455">
        <f>tertiair!I16</f>
        <v>0</v>
      </c>
      <c r="J5" s="455">
        <f>tertiair!J16</f>
        <v>4.4315653421976428E-3</v>
      </c>
      <c r="K5" s="455">
        <f>tertiair!K16</f>
        <v>0</v>
      </c>
      <c r="L5" s="455">
        <f ca="1">tertiair!L16</f>
        <v>0</v>
      </c>
      <c r="M5" s="455">
        <f>tertiair!M16</f>
        <v>0</v>
      </c>
      <c r="N5" s="455">
        <f ca="1">tertiair!N16</f>
        <v>165.79698040452621</v>
      </c>
      <c r="O5" s="455">
        <f>tertiair!O16</f>
        <v>9.7945215316823084</v>
      </c>
      <c r="P5" s="456">
        <f>tertiair!P16</f>
        <v>157.61741491948504</v>
      </c>
      <c r="Q5" s="454">
        <f t="shared" ref="Q5:Q14" ca="1" si="0">SUM(B5:P5)</f>
        <v>10437.625993462281</v>
      </c>
    </row>
    <row r="6" spans="1:17">
      <c r="A6" s="454" t="s">
        <v>193</v>
      </c>
      <c r="B6" s="455">
        <f>'openbare verlichting'!B8</f>
        <v>488.51799999999997</v>
      </c>
      <c r="C6" s="455"/>
      <c r="D6" s="455"/>
      <c r="E6" s="455"/>
      <c r="F6" s="455"/>
      <c r="G6" s="455"/>
      <c r="H6" s="455"/>
      <c r="I6" s="455"/>
      <c r="J6" s="455"/>
      <c r="K6" s="455"/>
      <c r="L6" s="455"/>
      <c r="M6" s="455"/>
      <c r="N6" s="455"/>
      <c r="O6" s="455"/>
      <c r="P6" s="456"/>
      <c r="Q6" s="454">
        <f t="shared" si="0"/>
        <v>488.51799999999997</v>
      </c>
    </row>
    <row r="7" spans="1:17">
      <c r="A7" s="454" t="s">
        <v>111</v>
      </c>
      <c r="B7" s="455">
        <f>landbouw!B8</f>
        <v>433.51721608858202</v>
      </c>
      <c r="C7" s="455">
        <f>landbouw!C8</f>
        <v>0</v>
      </c>
      <c r="D7" s="455">
        <f>landbouw!D8</f>
        <v>43.593431279652101</v>
      </c>
      <c r="E7" s="455">
        <f>landbouw!E8</f>
        <v>16.167183022513527</v>
      </c>
      <c r="F7" s="455">
        <f>landbouw!F8</f>
        <v>1406.4973666376641</v>
      </c>
      <c r="G7" s="455">
        <f>landbouw!G8</f>
        <v>0</v>
      </c>
      <c r="H7" s="455">
        <f>landbouw!H8</f>
        <v>0</v>
      </c>
      <c r="I7" s="455">
        <f>landbouw!I8</f>
        <v>0</v>
      </c>
      <c r="J7" s="455">
        <f>landbouw!J8</f>
        <v>113.80040945748941</v>
      </c>
      <c r="K7" s="455">
        <f>landbouw!K8</f>
        <v>0</v>
      </c>
      <c r="L7" s="455">
        <f>landbouw!L8</f>
        <v>0</v>
      </c>
      <c r="M7" s="455">
        <f>landbouw!M8</f>
        <v>0</v>
      </c>
      <c r="N7" s="455">
        <f>landbouw!N8</f>
        <v>0</v>
      </c>
      <c r="O7" s="455">
        <f>landbouw!O8</f>
        <v>0</v>
      </c>
      <c r="P7" s="456">
        <f>landbouw!P8</f>
        <v>0</v>
      </c>
      <c r="Q7" s="454">
        <f t="shared" si="0"/>
        <v>2013.5756064859011</v>
      </c>
    </row>
    <row r="8" spans="1:17">
      <c r="A8" s="454" t="s">
        <v>626</v>
      </c>
      <c r="B8" s="455">
        <f>industrie!B18</f>
        <v>5271.6972313245615</v>
      </c>
      <c r="C8" s="455">
        <f>industrie!C18</f>
        <v>0</v>
      </c>
      <c r="D8" s="455">
        <f>industrie!D18</f>
        <v>6389.3460590776658</v>
      </c>
      <c r="E8" s="455">
        <f>industrie!E18</f>
        <v>17.303283327216825</v>
      </c>
      <c r="F8" s="455">
        <f>industrie!F18</f>
        <v>2637.6289945283761</v>
      </c>
      <c r="G8" s="455">
        <f>industrie!G18</f>
        <v>0</v>
      </c>
      <c r="H8" s="455">
        <f>industrie!H18</f>
        <v>0</v>
      </c>
      <c r="I8" s="455">
        <f>industrie!I18</f>
        <v>0</v>
      </c>
      <c r="J8" s="455">
        <f>industrie!J18</f>
        <v>0.56741730106775357</v>
      </c>
      <c r="K8" s="455">
        <f>industrie!K18</f>
        <v>0</v>
      </c>
      <c r="L8" s="455">
        <f>industrie!L18</f>
        <v>0</v>
      </c>
      <c r="M8" s="455">
        <f>industrie!M18</f>
        <v>0</v>
      </c>
      <c r="N8" s="455">
        <f>industrie!N18</f>
        <v>202.59971510502558</v>
      </c>
      <c r="O8" s="455">
        <f>industrie!O18</f>
        <v>0</v>
      </c>
      <c r="P8" s="456">
        <f>industrie!P18</f>
        <v>0</v>
      </c>
      <c r="Q8" s="454">
        <f t="shared" si="0"/>
        <v>14519.142700663915</v>
      </c>
    </row>
    <row r="9" spans="1:17" s="460" customFormat="1">
      <c r="A9" s="458" t="s">
        <v>552</v>
      </c>
      <c r="B9" s="459">
        <f>transport!B14</f>
        <v>34.618281334452348</v>
      </c>
      <c r="C9" s="459">
        <f>transport!C14</f>
        <v>0</v>
      </c>
      <c r="D9" s="459">
        <f>transport!D14</f>
        <v>137.41247019019337</v>
      </c>
      <c r="E9" s="459">
        <f>transport!E14</f>
        <v>73.864006434004409</v>
      </c>
      <c r="F9" s="459">
        <f>transport!F14</f>
        <v>0</v>
      </c>
      <c r="G9" s="459">
        <f>transport!G14</f>
        <v>36448.905444817508</v>
      </c>
      <c r="H9" s="459">
        <f>transport!H14</f>
        <v>8766.1315983686036</v>
      </c>
      <c r="I9" s="459">
        <f>transport!I14</f>
        <v>0</v>
      </c>
      <c r="J9" s="459">
        <f>transport!J14</f>
        <v>0</v>
      </c>
      <c r="K9" s="459">
        <f>transport!K14</f>
        <v>0</v>
      </c>
      <c r="L9" s="459">
        <f>transport!L14</f>
        <v>0</v>
      </c>
      <c r="M9" s="459">
        <f>transport!M14</f>
        <v>2661.5140104089282</v>
      </c>
      <c r="N9" s="459">
        <f>transport!N14</f>
        <v>0</v>
      </c>
      <c r="O9" s="459">
        <f>transport!O14</f>
        <v>0</v>
      </c>
      <c r="P9" s="459">
        <f>transport!P14</f>
        <v>0</v>
      </c>
      <c r="Q9" s="458">
        <f>SUM(B9:P9)</f>
        <v>48122.445811553691</v>
      </c>
    </row>
    <row r="10" spans="1:17">
      <c r="A10" s="454" t="s">
        <v>542</v>
      </c>
      <c r="B10" s="455">
        <f>transport!B54</f>
        <v>0</v>
      </c>
      <c r="C10" s="455">
        <f>transport!C54</f>
        <v>0</v>
      </c>
      <c r="D10" s="455">
        <f>transport!D54</f>
        <v>0</v>
      </c>
      <c r="E10" s="455">
        <f>transport!E54</f>
        <v>0</v>
      </c>
      <c r="F10" s="455">
        <f>transport!F54</f>
        <v>0</v>
      </c>
      <c r="G10" s="455">
        <f>transport!G54</f>
        <v>202.05043657055757</v>
      </c>
      <c r="H10" s="455">
        <f>transport!H54</f>
        <v>0</v>
      </c>
      <c r="I10" s="455">
        <f>transport!I54</f>
        <v>0</v>
      </c>
      <c r="J10" s="455">
        <f>transport!J54</f>
        <v>0</v>
      </c>
      <c r="K10" s="455">
        <f>transport!K54</f>
        <v>0</v>
      </c>
      <c r="L10" s="455">
        <f>transport!L54</f>
        <v>0</v>
      </c>
      <c r="M10" s="455">
        <f>transport!M54</f>
        <v>10.964407484431192</v>
      </c>
      <c r="N10" s="455">
        <f>transport!N54</f>
        <v>0</v>
      </c>
      <c r="O10" s="455">
        <f>transport!O54</f>
        <v>0</v>
      </c>
      <c r="P10" s="456">
        <f>transport!P54</f>
        <v>0</v>
      </c>
      <c r="Q10" s="454">
        <f t="shared" si="0"/>
        <v>213.01484405498877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355.64321404747898</v>
      </c>
      <c r="C14" s="462"/>
      <c r="D14" s="462">
        <f>'SEAP template'!E25</f>
        <v>303.986337245333</v>
      </c>
      <c r="E14" s="462"/>
      <c r="F14" s="462"/>
      <c r="G14" s="462"/>
      <c r="H14" s="462"/>
      <c r="I14" s="462"/>
      <c r="J14" s="462"/>
      <c r="K14" s="462"/>
      <c r="L14" s="462"/>
      <c r="M14" s="462"/>
      <c r="N14" s="462"/>
      <c r="O14" s="462"/>
      <c r="P14" s="463"/>
      <c r="Q14" s="454">
        <f t="shared" si="0"/>
        <v>659.62955129281204</v>
      </c>
    </row>
    <row r="15" spans="1:17" s="466" customFormat="1">
      <c r="A15" s="464" t="s">
        <v>546</v>
      </c>
      <c r="B15" s="465">
        <f ca="1">SUM(B4:B14)</f>
        <v>25949.812805679969</v>
      </c>
      <c r="C15" s="465">
        <f t="shared" ref="C15:Q15" ca="1" si="1">SUM(C4:C14)</f>
        <v>34.071428571428577</v>
      </c>
      <c r="D15" s="465">
        <f t="shared" ca="1" si="1"/>
        <v>28924.074463519293</v>
      </c>
      <c r="E15" s="465">
        <f t="shared" si="1"/>
        <v>4489.903324248774</v>
      </c>
      <c r="F15" s="465">
        <f t="shared" ca="1" si="1"/>
        <v>20062.990996803132</v>
      </c>
      <c r="G15" s="465">
        <f t="shared" si="1"/>
        <v>36650.955881388065</v>
      </c>
      <c r="H15" s="465">
        <f t="shared" si="1"/>
        <v>8766.1315983686036</v>
      </c>
      <c r="I15" s="465">
        <f t="shared" si="1"/>
        <v>0</v>
      </c>
      <c r="J15" s="465">
        <f t="shared" si="1"/>
        <v>114.37225832389936</v>
      </c>
      <c r="K15" s="465">
        <f t="shared" si="1"/>
        <v>0</v>
      </c>
      <c r="L15" s="465">
        <f t="shared" ca="1" si="1"/>
        <v>0</v>
      </c>
      <c r="M15" s="465">
        <f t="shared" si="1"/>
        <v>2672.4784178933596</v>
      </c>
      <c r="N15" s="465">
        <f t="shared" ca="1" si="1"/>
        <v>7768.1901963645714</v>
      </c>
      <c r="O15" s="465">
        <f t="shared" si="1"/>
        <v>279.6128393683187</v>
      </c>
      <c r="P15" s="465">
        <f t="shared" si="1"/>
        <v>526.30599068846084</v>
      </c>
      <c r="Q15" s="465">
        <f t="shared" ca="1" si="1"/>
        <v>136238.90020121788</v>
      </c>
    </row>
    <row r="17" spans="1:17">
      <c r="A17" s="467" t="s">
        <v>547</v>
      </c>
      <c r="B17" s="784">
        <f ca="1">huishoudens!B10</f>
        <v>0.19553012802823119</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2753.8439603673946</v>
      </c>
      <c r="C22" s="455">
        <f t="shared" ref="C22:C32" ca="1" si="3">C4*$C$17</f>
        <v>0</v>
      </c>
      <c r="D22" s="455">
        <f t="shared" ref="D22:D32" si="4">D4*$D$17</f>
        <v>3634.9418578837503</v>
      </c>
      <c r="E22" s="455">
        <f t="shared" ref="E22:E32" si="5">E4*$E$17</f>
        <v>991.51685535927004</v>
      </c>
      <c r="F22" s="455">
        <f t="shared" ref="F22:F32" si="6">F4*$F$17</f>
        <v>4085.0952068577803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11465.397880468196</v>
      </c>
    </row>
    <row r="23" spans="1:17">
      <c r="A23" s="454" t="s">
        <v>155</v>
      </c>
      <c r="B23" s="455">
        <f t="shared" ca="1" si="2"/>
        <v>1032.7570812640233</v>
      </c>
      <c r="C23" s="455">
        <f t="shared" ca="1" si="3"/>
        <v>8.0969747899159685</v>
      </c>
      <c r="D23" s="455">
        <f t="shared" ca="1" si="4"/>
        <v>819.10484759299277</v>
      </c>
      <c r="E23" s="455">
        <f t="shared" si="5"/>
        <v>3.3262739232939986</v>
      </c>
      <c r="F23" s="455">
        <f t="shared" ca="1" si="6"/>
        <v>191.94165085732374</v>
      </c>
      <c r="G23" s="455">
        <f t="shared" si="7"/>
        <v>0</v>
      </c>
      <c r="H23" s="455">
        <f t="shared" si="8"/>
        <v>0</v>
      </c>
      <c r="I23" s="455">
        <f t="shared" si="9"/>
        <v>0</v>
      </c>
      <c r="J23" s="455">
        <f t="shared" si="10"/>
        <v>1.5687741311379655E-3</v>
      </c>
      <c r="K23" s="455">
        <f t="shared" si="11"/>
        <v>0</v>
      </c>
      <c r="L23" s="455">
        <f t="shared" ca="1" si="12"/>
        <v>0</v>
      </c>
      <c r="M23" s="455">
        <f t="shared" si="13"/>
        <v>0</v>
      </c>
      <c r="N23" s="455">
        <f t="shared" ca="1" si="14"/>
        <v>0</v>
      </c>
      <c r="O23" s="455">
        <f t="shared" si="15"/>
        <v>0</v>
      </c>
      <c r="P23" s="456">
        <f t="shared" si="16"/>
        <v>0</v>
      </c>
      <c r="Q23" s="454">
        <f t="shared" ref="Q23:Q31" ca="1" si="17">SUM(B23:P23)</f>
        <v>2055.2283972016808</v>
      </c>
    </row>
    <row r="24" spans="1:17">
      <c r="A24" s="454" t="s">
        <v>193</v>
      </c>
      <c r="B24" s="455">
        <f t="shared" ca="1" si="2"/>
        <v>95.519987084095433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95.519987084095433</v>
      </c>
    </row>
    <row r="25" spans="1:17">
      <c r="A25" s="454" t="s">
        <v>111</v>
      </c>
      <c r="B25" s="455">
        <f t="shared" ca="1" si="2"/>
        <v>84.765676764242812</v>
      </c>
      <c r="C25" s="455">
        <f t="shared" ca="1" si="3"/>
        <v>0</v>
      </c>
      <c r="D25" s="455">
        <f t="shared" si="4"/>
        <v>8.8058731184897248</v>
      </c>
      <c r="E25" s="455">
        <f t="shared" si="5"/>
        <v>3.6699505461105706</v>
      </c>
      <c r="F25" s="455">
        <f t="shared" si="6"/>
        <v>375.53479689225634</v>
      </c>
      <c r="G25" s="455">
        <f t="shared" si="7"/>
        <v>0</v>
      </c>
      <c r="H25" s="455">
        <f t="shared" si="8"/>
        <v>0</v>
      </c>
      <c r="I25" s="455">
        <f t="shared" si="9"/>
        <v>0</v>
      </c>
      <c r="J25" s="455">
        <f t="shared" si="10"/>
        <v>40.285344947951245</v>
      </c>
      <c r="K25" s="455">
        <f t="shared" si="11"/>
        <v>0</v>
      </c>
      <c r="L25" s="455">
        <f t="shared" si="12"/>
        <v>0</v>
      </c>
      <c r="M25" s="455">
        <f t="shared" si="13"/>
        <v>0</v>
      </c>
      <c r="N25" s="455">
        <f t="shared" si="14"/>
        <v>0</v>
      </c>
      <c r="O25" s="455">
        <f t="shared" si="15"/>
        <v>0</v>
      </c>
      <c r="P25" s="456">
        <f t="shared" si="16"/>
        <v>0</v>
      </c>
      <c r="Q25" s="454">
        <f t="shared" ca="1" si="17"/>
        <v>513.06164226905071</v>
      </c>
    </row>
    <row r="26" spans="1:17">
      <c r="A26" s="454" t="s">
        <v>626</v>
      </c>
      <c r="B26" s="455">
        <f t="shared" ca="1" si="2"/>
        <v>1030.7756345669634</v>
      </c>
      <c r="C26" s="455">
        <f t="shared" ca="1" si="3"/>
        <v>0</v>
      </c>
      <c r="D26" s="455">
        <f t="shared" si="4"/>
        <v>1290.6479039336887</v>
      </c>
      <c r="E26" s="455">
        <f t="shared" si="5"/>
        <v>3.9278453152782191</v>
      </c>
      <c r="F26" s="455">
        <f t="shared" si="6"/>
        <v>704.24694153907649</v>
      </c>
      <c r="G26" s="455">
        <f t="shared" si="7"/>
        <v>0</v>
      </c>
      <c r="H26" s="455">
        <f t="shared" si="8"/>
        <v>0</v>
      </c>
      <c r="I26" s="455">
        <f t="shared" si="9"/>
        <v>0</v>
      </c>
      <c r="J26" s="455">
        <f t="shared" si="10"/>
        <v>0.20086572457798474</v>
      </c>
      <c r="K26" s="455">
        <f t="shared" si="11"/>
        <v>0</v>
      </c>
      <c r="L26" s="455">
        <f t="shared" si="12"/>
        <v>0</v>
      </c>
      <c r="M26" s="455">
        <f t="shared" si="13"/>
        <v>0</v>
      </c>
      <c r="N26" s="455">
        <f t="shared" si="14"/>
        <v>0</v>
      </c>
      <c r="O26" s="455">
        <f t="shared" si="15"/>
        <v>0</v>
      </c>
      <c r="P26" s="456">
        <f t="shared" si="16"/>
        <v>0</v>
      </c>
      <c r="Q26" s="454">
        <f t="shared" ca="1" si="17"/>
        <v>3029.7991910795849</v>
      </c>
    </row>
    <row r="27" spans="1:17" s="460" customFormat="1">
      <c r="A27" s="458" t="s">
        <v>552</v>
      </c>
      <c r="B27" s="778">
        <f t="shared" ca="1" si="2"/>
        <v>6.7689169814427936</v>
      </c>
      <c r="C27" s="459">
        <f t="shared" ca="1" si="3"/>
        <v>0</v>
      </c>
      <c r="D27" s="459">
        <f t="shared" si="4"/>
        <v>27.757318978419065</v>
      </c>
      <c r="E27" s="459">
        <f t="shared" si="5"/>
        <v>16.767129460519001</v>
      </c>
      <c r="F27" s="459">
        <f t="shared" si="6"/>
        <v>0</v>
      </c>
      <c r="G27" s="459">
        <f t="shared" si="7"/>
        <v>9731.857753766275</v>
      </c>
      <c r="H27" s="459">
        <f t="shared" si="8"/>
        <v>2182.7667679937822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11965.917887180438</v>
      </c>
    </row>
    <row r="28" spans="1:17" ht="16.5" customHeight="1">
      <c r="A28" s="454" t="s">
        <v>542</v>
      </c>
      <c r="B28" s="455">
        <f t="shared" ca="1" si="2"/>
        <v>0</v>
      </c>
      <c r="C28" s="455">
        <f t="shared" ca="1" si="3"/>
        <v>0</v>
      </c>
      <c r="D28" s="455">
        <f t="shared" si="4"/>
        <v>0</v>
      </c>
      <c r="E28" s="455">
        <f t="shared" si="5"/>
        <v>0</v>
      </c>
      <c r="F28" s="455">
        <f t="shared" si="6"/>
        <v>0</v>
      </c>
      <c r="G28" s="455">
        <f t="shared" si="7"/>
        <v>53.947466564338875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53.947466564338875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69.538963175075196</v>
      </c>
      <c r="C32" s="455">
        <f t="shared" ca="1" si="3"/>
        <v>0</v>
      </c>
      <c r="D32" s="455">
        <f t="shared" si="4"/>
        <v>61.40524012355727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130.94420329863246</v>
      </c>
    </row>
    <row r="33" spans="1:17" s="466" customFormat="1">
      <c r="A33" s="464" t="s">
        <v>546</v>
      </c>
      <c r="B33" s="465">
        <f ca="1">SUM(B22:B32)</f>
        <v>5073.9702202032377</v>
      </c>
      <c r="C33" s="465">
        <f t="shared" ref="C33:Q33" ca="1" si="19">SUM(C22:C32)</f>
        <v>8.0969747899159685</v>
      </c>
      <c r="D33" s="465">
        <f t="shared" ca="1" si="19"/>
        <v>5842.6630416308981</v>
      </c>
      <c r="E33" s="465">
        <f t="shared" si="19"/>
        <v>1019.2080546044718</v>
      </c>
      <c r="F33" s="465">
        <f t="shared" ca="1" si="19"/>
        <v>5356.8185961464369</v>
      </c>
      <c r="G33" s="465">
        <f t="shared" si="19"/>
        <v>9785.8052203306142</v>
      </c>
      <c r="H33" s="465">
        <f t="shared" si="19"/>
        <v>2182.7667679937822</v>
      </c>
      <c r="I33" s="465">
        <f t="shared" si="19"/>
        <v>0</v>
      </c>
      <c r="J33" s="465">
        <f t="shared" si="19"/>
        <v>40.487779446660369</v>
      </c>
      <c r="K33" s="465">
        <f t="shared" si="19"/>
        <v>0</v>
      </c>
      <c r="L33" s="465">
        <f t="shared" ca="1" si="19"/>
        <v>0</v>
      </c>
      <c r="M33" s="465">
        <f t="shared" si="19"/>
        <v>0</v>
      </c>
      <c r="N33" s="465">
        <f t="shared" ca="1" si="19"/>
        <v>0</v>
      </c>
      <c r="O33" s="465">
        <f t="shared" si="19"/>
        <v>0</v>
      </c>
      <c r="P33" s="465">
        <f t="shared" si="19"/>
        <v>0</v>
      </c>
      <c r="Q33" s="465">
        <f t="shared" ca="1" si="19"/>
        <v>29309.81665514602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2992.4680642759099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23.85</v>
      </c>
      <c r="D8" s="1026">
        <f>'SEAP template'!D76</f>
        <v>28.058823529411768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5.6678823529411773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2992.4680642759099</v>
      </c>
      <c r="C10" s="1028">
        <f>SUM(C4:C9)</f>
        <v>23.85</v>
      </c>
      <c r="D10" s="1028">
        <f t="shared" ref="D10:H10" si="0">SUM(D8:D9)</f>
        <v>28.058823529411768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5.6678823529411773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0.19553012802823119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34.071428571428577</v>
      </c>
      <c r="D17" s="1027">
        <f>'SEAP template'!D87</f>
        <v>40.084033613445385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8.0969747899159685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34.071428571428577</v>
      </c>
      <c r="D20" s="1028">
        <f t="shared" ref="D20:H20" si="2">SUM(D17:D19)</f>
        <v>40.084033613445385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8.0969747899159685</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0.19553012802823119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2020-06-20T15:25:21Z</dcterms:modified>
</cp:coreProperties>
</file>