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S34" i="18"/>
  <c r="R34" i="18"/>
  <c r="Q34" i="18"/>
  <c r="P34" i="18"/>
  <c r="D6" i="17" s="1"/>
  <c r="O34" i="18"/>
  <c r="N34" i="18"/>
  <c r="M34" i="18"/>
  <c r="W33" i="18"/>
  <c r="V33" i="18"/>
  <c r="U33" i="18"/>
  <c r="T33" i="18"/>
  <c r="S33" i="18"/>
  <c r="R33" i="18"/>
  <c r="Q33" i="18"/>
  <c r="P33" i="18"/>
  <c r="O33" i="18"/>
  <c r="C13" i="15" s="1"/>
  <c r="N33" i="18"/>
  <c r="B13" i="15" s="1"/>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J15" i="16"/>
  <c r="I9" i="18"/>
  <c r="I77" i="14" s="1"/>
  <c r="I9" i="59" s="1"/>
  <c r="D16" i="16"/>
  <c r="G20" i="59"/>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20" i="16"/>
  <c r="C22" i="16" s="1"/>
  <c r="D43" i="14" s="1"/>
  <c r="C10" i="17"/>
  <c r="C12" i="17" s="1"/>
  <c r="D54" i="14" s="1"/>
  <c r="D56" i="14" s="1"/>
  <c r="C17" i="49"/>
  <c r="C10" i="13"/>
  <c r="C12" i="13" s="1"/>
  <c r="D41" i="14" s="1"/>
  <c r="D46" i="14" s="1"/>
  <c r="D61" i="14" s="1"/>
  <c r="D63" i="14" s="1"/>
  <c r="C22" i="59"/>
  <c r="C56" i="22"/>
  <c r="C58" i="22" s="1"/>
  <c r="D49" i="14" s="1"/>
  <c r="D52" i="14" s="1"/>
  <c r="C29" i="20"/>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<sst xmlns="http://schemas.openxmlformats.org/spreadsheetml/2006/main" count="2392" uniqueCount="882">
  <si>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</si>
  <si>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</si>
  <si>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</si>
  <si>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</si>
  <si>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</si>
  <si>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</si>
  <si>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</si>
  <si>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</si>
  <si>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</si>
  <si>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</si>
  <si>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</si>
  <si>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</si>
  <si>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</si>
  <si>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</si>
  <si>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</si>
  <si>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</si>
  <si>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</si>
  <si>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</si>
  <si>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</si>
  <si>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</si>
  <si>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</si>
  <si>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</si>
  <si>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</si>
  <si>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</si>
  <si>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</si>
  <si>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</si>
  <si>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</si>
  <si>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</si>
  <si>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</si>
  <si>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</si>
  <si>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</si>
  <si>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</si>
  <si>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</si>
  <si>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</si>
  <si>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</si>
  <si>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</si>
  <si>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</si>
  <si>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</si>
  <si>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</si>
  <si>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</si>
  <si>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</si>
  <si>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</si>
  <si>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</si>
  <si>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</si>
  <si>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</si>
  <si>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</si>
  <si>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</si>
  <si>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</si>
  <si>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</si>
  <si>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</si>
  <si>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</si>
  <si>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</si>
  <si>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</si>
  <si>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</si>
  <si>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</si>
  <si>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</si>
  <si>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</si>
  <si>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</si>
  <si>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</si>
  <si>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</si>
  <si>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</si>
  <si>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</si>
  <si>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</si>
  <si>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</si>
  <si>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</si>
  <si>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</si>
  <si>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</si>
  <si>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</si>
  <si>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</si>
  <si>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</si>
  <si>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</si>
  <si>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</si>
  <si>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</si>
  <si>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</si>
  <si>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</si>
  <si>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</si>
  <si>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</si>
  <si>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</si>
  <si>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</si>
  <si>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</si>
  <si>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</si>
  <si>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</si>
  <si>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</si>
  <si>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</si>
  <si>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</si>
  <si>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</si>
  <si>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</si>
  <si>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</si>
  <si>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</si>
  <si>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</si>
  <si>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</si>
  <si>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</si>
  <si>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</si>
  <si>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</si>
  <si>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</si>
  <si>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</si>
  <si>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</si>
  <si>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</si>
  <si>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</si>
  <si>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</si>
  <si>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</si>
  <si>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</si>
  <si>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</si>
  <si>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</si>
  <si>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</si>
  <si>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</si>
  <si>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</si>
  <si>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</si>
  <si>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</si>
  <si>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</si>
  <si>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</si>
  <si>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</si>
  <si>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</si>
  <si>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</si>
  <si>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</si>
  <si>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</si>
  <si>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</si>
  <si>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</si>
  <si>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</si>
  <si>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</si>
  <si>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</si>
  <si>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</si>
  <si>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</si>
  <si>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</si>
  <si>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</si>
  <si>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</si>
  <si>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</si>
  <si>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</si>
  <si>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</si>
  <si>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</si>
  <si>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</si>
  <si>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</si>
  <si>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</si>
  <si>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</si>
  <si>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</si>
  <si>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</si>
  <si>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</si>
  <si>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</si>
  <si>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</si>
  <si>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</si>
  <si>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</si>
  <si>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</si>
  <si>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</si>
  <si>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</si>
  <si>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</si>
  <si>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</si>
  <si>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</si>
  <si>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</si>
  <si>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</si>
  <si>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</si>
  <si>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</si>
  <si>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</si>
  <si>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</si>
  <si>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</si>
  <si>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</si>
  <si>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</si>
  <si>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</si>
  <si>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</si>
  <si>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</si>
  <si>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</si>
  <si>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</si>
  <si>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</si>
  <si>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</si>
  <si>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</si>
  <si>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</si>
  <si>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</si>
  <si>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</si>
  <si>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</si>
  <si>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</si>
  <si>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</si>
  <si>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</si>
  <si>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</si>
  <si>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</si>
  <si>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</si>
  <si>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</si>
  <si>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</si>
  <si>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</si>
  <si>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</si>
  <si>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</si>
  <si>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</si>
  <si>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</si>
  <si>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</si>
  <si>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</si>
  <si>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</si>
  <si>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</si>
  <si>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</si>
  <si>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</si>
  <si>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</si>
  <si>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</si>
  <si>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</si>
  <si>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</si>
  <si>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</si>
  <si>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</si>
  <si>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</si>
  <si>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</si>
  <si>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</si>
  <si>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</si>
  <si>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</si>
  <si>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</si>
  <si>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</si>
  <si>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</si>
  <si>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</si>
  <si>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</si>
  <si>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</si>
  <si>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</si>
  <si>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</si>
  <si>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</si>
  <si>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</si>
  <si>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</si>
  <si>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</si>
  <si>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</si>
  <si>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</si>
  <si>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</si>
  <si>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</si>
  <si>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</si>
  <si>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</si>
  <si>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</si>
  <si>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</si>
  <si>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</si>
  <si>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</si>
  <si>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</si>
  <si>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</si>
  <si>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</si>
  <si>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</si>
  <si>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</si>
  <si>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</si>
  <si>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</si>
  <si>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</si>
  <si>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</si>
  <si>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</si>
  <si>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</si>
  <si>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</si>
  <si>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</si>
  <si>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</si>
  <si>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</si>
  <si>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</si>
  <si>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</si>
  <si>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</si>
  <si>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</si>
  <si>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</si>
  <si>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</si>
  <si>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</si>
  <si>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</si>
  <si>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</si>
  <si>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</si>
  <si>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</si>
  <si>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</si>
  <si>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</si>
  <si>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</si>
  <si>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</si>
  <si>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</si>
  <si>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</si>
  <si>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</si>
  <si>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</si>
  <si>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</si>
  <si>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</si>
  <si>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</si>
  <si>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</si>
  <si>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</si>
  <si>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</si>
  <si>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</si>
  <si>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</si>
  <si>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</si>
  <si>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</si>
  <si>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</si>
  <si>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</si>
  <si>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</si>
  <si>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</si>
  <si>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</si>
  <si>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</si>
  <si>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</si>
  <si>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</si>
  <si>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</si>
  <si>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</si>
  <si>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</si>
  <si>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</si>
  <si>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</si>
  <si>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</si>
  <si>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</si>
  <si>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</si>
  <si>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</si>
  <si>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</si>
  <si>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</si>
  <si>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</si>
  <si>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</si>
  <si>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</si>
  <si>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</si>
  <si>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</si>
  <si>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</si>
  <si>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</si>
  <si>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</si>
  <si>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</si>
  <si>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</si>
  <si>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</si>
  <si>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</si>
  <si>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</si>
  <si>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</si>
  <si>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</si>
  <si>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</si>
  <si>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</si>
  <si>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</si>
  <si>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</si>
  <si>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</si>
  <si>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</si>
  <si>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</si>
  <si>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</si>
  <si>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</si>
  <si>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</si>
  <si>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</si>
  <si>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</si>
  <si>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</si>
  <si>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</si>
  <si>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</si>
  <si>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</si>
  <si>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</si>
  <si>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</si>
  <si>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</si>
  <si>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</si>
  <si>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</si>
  <si>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</si>
  <si>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</si>
  <si>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</si>
  <si>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</si>
  <si>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</si>
  <si>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</si>
  <si>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</si>
  <si>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</si>
  <si>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</si>
  <si>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</si>
  <si>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</si>
  <si>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</si>
  <si>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</si>
  <si>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</si>
  <si>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</si>
  <si>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</si>
  <si>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</si>
  <si>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</si>
  <si>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</si>
  <si>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</si>
  <si>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</si>
  <si>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</si>
  <si>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</si>
  <si>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</si>
  <si>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</si>
  <si>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</si>
  <si>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</si>
  <si>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</si>
  <si>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</si>
  <si>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</si>
  <si>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</si>
  <si>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</si>
  <si>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</si>
  <si>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</si>
  <si>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</si>
  <si>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</si>
  <si>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</si>
  <si>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</si>
  <si>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</si>
  <si>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</si>
  <si>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</si>
  <si>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</si>
  <si>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</si>
  <si>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</si>
  <si>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</si>
  <si>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</si>
  <si>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</si>
  <si>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</si>
  <si>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</si>
  <si>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</si>
  <si>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</si>
  <si>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</si>
  <si>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</si>
  <si>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</si>
  <si>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</si>
  <si>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</si>
  <si>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</si>
  <si>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</si>
  <si>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</si>
  <si>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</si>
  <si>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</si>
  <si>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</si>
  <si>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</si>
  <si>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</si>
  <si>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</si>
  <si>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</si>
  <si>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</si>
  <si>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</si>
  <si>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</si>
  <si>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</si>
  <si>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</si>
  <si>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</si>
  <si>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</si>
  <si>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</si>
  <si>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</si>
  <si>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</si>
  <si>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</si>
  <si>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</si>
  <si>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</si>
  <si>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</si>
  <si>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</si>
  <si>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</si>
  <si>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</si>
  <si>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</si>
  <si>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</si>
  <si>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</si>
  <si>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</si>
  <si>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</si>
  <si>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</si>
  <si>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</si>
  <si>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</si>
  <si>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</si>
  <si>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</si>
  <si>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</si>
  <si>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</si>
  <si>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</si>
  <si>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</si>
  <si>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</si>
  <si>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</si>
  <si>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</si>
  <si>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</si>
  <si>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</si>
  <si>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</si>
  <si>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</si>
  <si>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</si>
  <si>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</si>
  <si>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</si>
  <si>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</si>
  <si>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</si>
  <si>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</si>
  <si>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</si>
  <si>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</si>
  <si>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</si>
  <si>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</si>
  <si>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</si>
  <si>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</si>
  <si>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</si>
  <si>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</si>
  <si>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</si>
  <si>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</si>
  <si>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</si>
  <si>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</si>
  <si>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</si>
  <si>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</si>
  <si>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</si>
  <si>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</si>
  <si>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</si>
  <si>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</si>
  <si>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</si>
  <si>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</si>
  <si>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</si>
  <si>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</si>
  <si>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</si>
  <si>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</si>
  <si>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</si>
  <si>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</si>
  <si>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</si>
  <si>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</si>
  <si>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</si>
  <si>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</si>
  <si>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</si>
  <si>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</si>
  <si>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</si>
  <si>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</si>
  <si>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</si>
  <si>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</si>
  <si>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</si>
  <si>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</si>
  <si>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</si>
  <si>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</si>
  <si>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</si>
  <si>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</si>
  <si>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</si>
  <si>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</si>
  <si>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</si>
  <si>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</si>
  <si>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</si>
  <si>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</si>
  <si>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</si>
  <si>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</si>
  <si>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</si>
  <si>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</si>
  <si>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</si>
  <si>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</si>
  <si>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</si>
  <si>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</si>
  <si>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</si>
  <si>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</si>
  <si>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</si>
  <si>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</si>
  <si>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</si>
  <si>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</si>
  <si>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</si>
  <si>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</si>
  <si>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</si>
  <si>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</si>
  <si>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</si>
  <si>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</si>
  <si>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</si>
  <si>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</si>
  <si>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</si>
  <si>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</si>
  <si>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</si>
  <si>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</si>
  <si>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</si>
  <si>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</si>
  <si>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</si>
  <si>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</si>
  <si>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</si>
  <si>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</si>
  <si>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</si>
  <si>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</si>
  <si>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</si>
  <si>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</si>
  <si>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</si>
  <si>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</si>
  <si>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</si>
  <si>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</si>
  <si>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</si>
  <si>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</si>
  <si>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</si>
  <si>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</si>
  <si>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</si>
  <si>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</si>
  <si>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</si>
  <si>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</si>
  <si>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</si>
  <si>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</si>
  <si>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</si>
  <si>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</si>
  <si>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</si>
  <si>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</si>
  <si>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</si>
  <si>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</si>
  <si>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</si>
  <si>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</si>
  <si>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</si>
  <si>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</si>
  <si>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</si>
  <si>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</si>
  <si>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</si>
  <si>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</si>
  <si>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</si>
  <si>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</si>
  <si>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</si>
  <si>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</si>
  <si>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</si>
  <si>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</si>
  <si>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</si>
  <si>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</si>
  <si>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</si>
  <si>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</si>
  <si>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</si>
  <si>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</si>
  <si>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</si>
  <si>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</si>
  <si>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</si>
  <si>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</si>
  <si>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</si>
  <si>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</si>
  <si>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</si>
  <si>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</si>
  <si>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</si>
  <si>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</si>
  <si>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</si>
  <si>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</si>
  <si>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</si>
  <si>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</si>
  <si>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</si>
  <si>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</si>
  <si>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</si>
  <si>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</si>
  <si>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</si>
  <si>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</si>
  <si>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</si>
  <si>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</si>
  <si>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</si>
  <si>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</si>
  <si>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</si>
  <si>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</si>
  <si>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</si>
  <si>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</si>
  <si>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</si>
  <si>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</si>
  <si>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</si>
  <si>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</si>
  <si>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</si>
  <si>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</si>
  <si>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</si>
  <si>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</si>
  <si>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</si>
  <si>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</si>
  <si>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</si>
  <si>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</si>
  <si>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</si>
  <si>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</si>
  <si>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</si>
  <si>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</si>
  <si>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</si>
  <si>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</si>
  <si>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</si>
  <si>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</si>
  <si>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</si>
  <si>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</si>
  <si>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</si>
  <si>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</si>
  <si>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</si>
  <si>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</si>
  <si>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</si>
  <si>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</si>
  <si>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</si>
  <si>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</si>
  <si>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</si>
  <si>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</si>
  <si>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</si>
  <si>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</si>
  <si>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</si>
  <si>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</si>
  <si>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</si>
  <si>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</si>
  <si>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</si>
  <si>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</si>
  <si>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</si>
  <si>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</si>
  <si>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</si>
  <si>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</si>
  <si>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</si>
  <si>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</si>
  <si>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</si>
  <si>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</si>
  <si>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</si>
  <si>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</si>
  <si>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</si>
  <si>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</si>
  <si>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</si>
  <si>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</si>
  <si>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</si>
  <si>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</si>
  <si>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</si>
  <si>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</si>
  <si>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</si>
  <si>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</si>
  <si>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</si>
  <si>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</si>
  <si>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</si>
  <si>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</si>
  <si>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</si>
  <si>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</si>
  <si>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</si>
  <si>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</si>
  <si>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</si>
  <si>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</si>
  <si>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</si>
  <si>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</si>
  <si>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</si>
  <si>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</si>
  <si>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</si>
  <si>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</si>
  <si>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</si>
  <si>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</si>
  <si>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</si>
  <si>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</si>
  <si>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</si>
  <si>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</si>
  <si>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</si>
  <si>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</si>
  <si>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</si>
  <si>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</si>
  <si>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</si>
  <si>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</si>
  <si>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</si>
  <si>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</si>
  <si>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</si>
  <si>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</si>
  <si>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</si>
  <si>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</si>
  <si>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</si>
  <si>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</si>
  <si>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</si>
  <si>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</si>
  <si>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</si>
  <si>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</si>
  <si>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</si>
  <si>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</si>
  <si>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</si>
  <si>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</si>
  <si>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</si>
  <si>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</si>
  <si>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</si>
  <si>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</si>
  <si>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</si>
  <si>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</si>
  <si>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</si>
  <si>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</si>
  <si>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</si>
  <si>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</si>
  <si>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</si>
  <si>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</si>
  <si>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</si>
  <si>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</si>
  <si>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</si>
  <si>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</si>
  <si>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</si>
  <si>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</si>
  <si>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</si>
  <si>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</si>
  <si>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</si>
  <si>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</si>
  <si>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</si>
  <si>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</si>
  <si>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</si>
  <si>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</si>
  <si>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</si>
  <si>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</si>
  <si>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</si>
  <si>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</si>
  <si>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</si>
  <si>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</si>
  <si>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</si>
  <si>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</si>
  <si>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</si>
  <si>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</si>
  <si>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</si>
  <si>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</si>
  <si>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</si>
  <si>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</si>
  <si>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</si>
  <si>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</si>
  <si>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</si>
  <si>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</si>
  <si>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</si>
  <si>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</si>
  <si>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</si>
  <si>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</si>
  <si>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</si>
  <si>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</si>
  <si>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</si>
  <si>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</si>
  <si>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</si>
  <si>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</si>
  <si>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</si>
  <si>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</si>
  <si>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</si>
  <si>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</si>
  <si>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</si>
  <si>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</si>
  <si>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</si>
  <si>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</si>
  <si>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</si>
  <si>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</si>
  <si>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</si>
  <si>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</si>
  <si>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</si>
  <si>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</si>
  <si>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</si>
  <si>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</si>
  <si>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</si>
  <si>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</si>
  <si>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</si>
  <si>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</si>
  <si>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</si>
  <si>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</si>
  <si>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</si>
  <si>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</si>
  <si>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</si>
  <si>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</si>
  <si>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</si>
  <si>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</si>
  <si>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</si>
  <si>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</si>
  <si>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</si>
  <si>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</si>
  <si>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</si>
  <si>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</si>
  <si>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</si>
  <si>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</si>
  <si>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</si>
  <si>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</si>
  <si>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</si>
  <si>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</si>
  <si>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</si>
  <si>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</si>
  <si>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</si>
  <si>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</si>
  <si>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</si>
  <si>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</si>
  <si>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</si>
  <si>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</si>
  <si>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</si>
  <si>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</si>
  <si>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</si>
  <si>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</si>
  <si>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</si>
  <si>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</si>
  <si>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</si>
  <si>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</si>
  <si>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</si>
  <si>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</si>
  <si>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</si>
  <si>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</si>
  <si>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</si>
  <si>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</si>
  <si>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</si>
  <si>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</si>
  <si>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</si>
  <si>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</si>
  <si>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</si>
  <si>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</si>
  <si>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</si>
  <si>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</si>
  <si>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</si>
  <si>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</si>
  <si>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</si>
  <si>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</si>
  <si>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</si>
  <si>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</si>
  <si>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</si>
  <si>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</si>
  <si>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</si>
  <si>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</si>
  <si>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</si>
  <si>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</si>
  <si>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</si>
  <si>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</si>
  <si>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</si>
  <si>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</si>
  <si>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</si>
  <si>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</si>
  <si>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</si>
  <si>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</si>
  <si>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</si>
  <si>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</si>
  <si>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</si>
  <si>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</si>
  <si>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</si>
  <si>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</si>
  <si>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</si>
  <si>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</si>
  <si>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</si>
  <si>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</si>
  <si>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</si>
  <si>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</si>
  <si>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</si>
  <si>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</si>
  <si>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</si>
  <si>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</si>
  <si>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</si>
  <si>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</si>
  <si>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</si>
  <si>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</si>
  <si>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</si>
  <si>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</si>
  <si>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</si>
  <si>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</si>
  <si>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</si>
  <si>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</si>
  <si>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</si>
  <si>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</si>
  <si>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</si>
  <si>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</si>
  <si>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</si>
  <si>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</si>
  <si>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</si>
  <si>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45041</t>
  </si>
  <si>
    <t>RONSE</t>
  </si>
  <si>
    <t>referentietaak LNE (2017); Jaarverslag De Lijn</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</si>
  <si>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</si>
  <si>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</si>
  <si>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</si>
  <si>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</si>
  <si>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</si>
  <si>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</si>
  <si>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</si>
  <si>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</si>
  <si>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</si>
  <si>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</si>
  <si>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</si>
  <si>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</si>
  <si>
    <t>Cartridge Power</t>
  </si>
  <si>
    <t>WKK-0783</t>
  </si>
  <si>
    <t>Interne verbrandingsmotor</t>
  </si>
  <si>
    <t>Klein Frankrijkstraat 11, 9600 Ronse, BE</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</si>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</sst>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183837.71707539374</c:v>
                </c:pt>
                <c:pt idx="1">
                  <c:v>90733.758454508439</c:v>
                </c:pt>
                <c:pt idx="2">
                  <c:v>1791.4929999999999</c:v>
                </c:pt>
                <c:pt idx="3">
                  <c:v>1736.4838494642238</c:v>
                </c:pt>
                <c:pt idx="4">
                  <c:v>154775.53846009489</c:v>
                </c:pt>
                <c:pt idx="5">
                  <c:v>107504.38191103438</c:v>
                </c:pt>
                <c:pt idx="6">
                  <c:v>742.1702449956307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183837.71707539374</c:v>
                </c:pt>
                <c:pt idx="1">
                  <c:v>90733.758454508439</c:v>
                </c:pt>
                <c:pt idx="2">
                  <c:v>1791.4929999999999</c:v>
                </c:pt>
                <c:pt idx="3">
                  <c:v>1736.4838494642238</c:v>
                </c:pt>
                <c:pt idx="4">
                  <c:v>154775.53846009489</c:v>
                </c:pt>
                <c:pt idx="5">
                  <c:v>107504.38191103438</c:v>
                </c:pt>
                <c:pt idx="6">
                  <c:v>742.1702449956307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32587.148596581206</c:v>
                </c:pt>
                <c:pt idx="1">
                  <c:v>18528.280081763511</c:v>
                </c:pt>
                <c:pt idx="2">
                  <c:v>371.38133954242136</c:v>
                </c:pt>
                <c:pt idx="3">
                  <c:v>442.28444551650216</c:v>
                </c:pt>
                <c:pt idx="4">
                  <c:v>31784.648518780559</c:v>
                </c:pt>
                <c:pt idx="5">
                  <c:v>26875.516636080149</c:v>
                </c:pt>
                <c:pt idx="6">
                  <c:v>187.9596919856595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32587.148596581206</c:v>
                </c:pt>
                <c:pt idx="1">
                  <c:v>18528.280081763511</c:v>
                </c:pt>
                <c:pt idx="2">
                  <c:v>371.38133954242136</c:v>
                </c:pt>
                <c:pt idx="3">
                  <c:v>442.28444551650216</c:v>
                </c:pt>
                <c:pt idx="4">
                  <c:v>31784.648518780559</c:v>
                </c:pt>
                <c:pt idx="5">
                  <c:v>26875.516636080149</c:v>
                </c:pt>
                <c:pt idx="6">
                  <c:v>187.9596919856595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45041</v>
      </c>
      <c r="B6" s="392"/>
      <c r="C6" s="393"/>
    </row>
    <row r="7" spans="1:7" s="390" customFormat="1" ht="15.75" customHeight="1">
      <c r="A7" s="394" t="str">
        <f>txtMunicipality</f>
        <v>RONSE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0.20730270201581663</v>
      </c>
      <c r="C17" s="504">
        <f ca="1">'EF ele_warmte'!B22</f>
        <v>0.23743589743589752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0.20730270201581663</v>
      </c>
      <c r="C29" s="505">
        <f ca="1">'EF ele_warmte'!B22</f>
        <v>0.23743589743589752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10822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1463.19</v>
      </c>
      <c r="C14" s="332"/>
      <c r="D14" s="332"/>
      <c r="E14" s="332"/>
      <c r="F14" s="332"/>
    </row>
    <row r="15" spans="1:6">
      <c r="A15" s="1310" t="s">
        <v>183</v>
      </c>
      <c r="B15" s="1311">
        <v>14</v>
      </c>
      <c r="C15" s="332"/>
      <c r="D15" s="332"/>
      <c r="E15" s="332"/>
      <c r="F15" s="332"/>
    </row>
    <row r="16" spans="1:6">
      <c r="A16" s="1310" t="s">
        <v>6</v>
      </c>
      <c r="B16" s="1311">
        <v>325</v>
      </c>
      <c r="C16" s="332"/>
      <c r="D16" s="332"/>
      <c r="E16" s="332"/>
      <c r="F16" s="332"/>
    </row>
    <row r="17" spans="1:6">
      <c r="A17" s="1310" t="s">
        <v>7</v>
      </c>
      <c r="B17" s="1311">
        <v>422</v>
      </c>
      <c r="C17" s="332"/>
      <c r="D17" s="332"/>
      <c r="E17" s="332"/>
      <c r="F17" s="332"/>
    </row>
    <row r="18" spans="1:6">
      <c r="A18" s="1310" t="s">
        <v>8</v>
      </c>
      <c r="B18" s="1311">
        <v>513</v>
      </c>
      <c r="C18" s="332"/>
      <c r="D18" s="332"/>
      <c r="E18" s="332"/>
      <c r="F18" s="332"/>
    </row>
    <row r="19" spans="1:6">
      <c r="A19" s="1310" t="s">
        <v>9</v>
      </c>
      <c r="B19" s="1311">
        <v>439</v>
      </c>
      <c r="C19" s="332"/>
      <c r="D19" s="332"/>
      <c r="E19" s="332"/>
      <c r="F19" s="332"/>
    </row>
    <row r="20" spans="1:6">
      <c r="A20" s="1310" t="s">
        <v>10</v>
      </c>
      <c r="B20" s="1311">
        <v>381</v>
      </c>
      <c r="C20" s="332"/>
      <c r="D20" s="332"/>
      <c r="E20" s="332"/>
      <c r="F20" s="332"/>
    </row>
    <row r="21" spans="1:6">
      <c r="A21" s="1310" t="s">
        <v>11</v>
      </c>
      <c r="B21" s="1311">
        <v>394</v>
      </c>
      <c r="C21" s="332"/>
      <c r="D21" s="332"/>
      <c r="E21" s="332"/>
      <c r="F21" s="332"/>
    </row>
    <row r="22" spans="1:6">
      <c r="A22" s="1310" t="s">
        <v>12</v>
      </c>
      <c r="B22" s="1311">
        <v>827</v>
      </c>
      <c r="C22" s="332"/>
      <c r="D22" s="332"/>
      <c r="E22" s="332"/>
      <c r="F22" s="332"/>
    </row>
    <row r="23" spans="1:6">
      <c r="A23" s="1310" t="s">
        <v>13</v>
      </c>
      <c r="B23" s="1311">
        <v>14</v>
      </c>
      <c r="C23" s="332"/>
      <c r="D23" s="332"/>
      <c r="E23" s="332"/>
      <c r="F23" s="332"/>
    </row>
    <row r="24" spans="1:6">
      <c r="A24" s="1310" t="s">
        <v>14</v>
      </c>
      <c r="B24" s="1311">
        <v>1</v>
      </c>
      <c r="C24" s="332"/>
      <c r="D24" s="332"/>
      <c r="E24" s="332"/>
      <c r="F24" s="332"/>
    </row>
    <row r="25" spans="1:6">
      <c r="A25" s="1310" t="s">
        <v>15</v>
      </c>
      <c r="B25" s="1311">
        <v>103</v>
      </c>
      <c r="C25" s="332"/>
      <c r="D25" s="332"/>
      <c r="E25" s="332"/>
      <c r="F25" s="332"/>
    </row>
    <row r="26" spans="1:6">
      <c r="A26" s="1310" t="s">
        <v>16</v>
      </c>
      <c r="B26" s="1311">
        <v>114</v>
      </c>
      <c r="C26" s="332"/>
      <c r="D26" s="332"/>
      <c r="E26" s="332"/>
      <c r="F26" s="332"/>
    </row>
    <row r="27" spans="1:6">
      <c r="A27" s="1310" t="s">
        <v>17</v>
      </c>
      <c r="B27" s="1311">
        <v>66</v>
      </c>
      <c r="C27" s="332"/>
      <c r="D27" s="332"/>
      <c r="E27" s="332"/>
      <c r="F27" s="332"/>
    </row>
    <row r="28" spans="1:6" s="43" customFormat="1">
      <c r="A28" s="1312" t="s">
        <v>18</v>
      </c>
      <c r="B28" s="1313">
        <v>6</v>
      </c>
      <c r="C28" s="338"/>
      <c r="D28" s="338"/>
      <c r="E28" s="338"/>
      <c r="F28" s="338"/>
    </row>
    <row r="29" spans="1:6">
      <c r="A29" s="1312" t="s">
        <v>699</v>
      </c>
      <c r="B29" s="1313">
        <v>73</v>
      </c>
      <c r="C29" s="338"/>
      <c r="D29" s="338"/>
      <c r="E29" s="338"/>
      <c r="F29" s="338"/>
    </row>
    <row r="30" spans="1:6">
      <c r="A30" s="1305" t="s">
        <v>700</v>
      </c>
      <c r="B30" s="1314">
        <v>17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3</v>
      </c>
      <c r="D36" s="1311">
        <v>915316.13356454705</v>
      </c>
      <c r="E36" s="1311">
        <v>4</v>
      </c>
      <c r="F36" s="1311">
        <v>10541.4575421058</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1270.1689786879999</v>
      </c>
    </row>
    <row r="39" spans="1:6">
      <c r="A39" s="1310" t="s">
        <v>29</v>
      </c>
      <c r="B39" s="1310" t="s">
        <v>30</v>
      </c>
      <c r="C39" s="1311">
        <v>8232</v>
      </c>
      <c r="D39" s="1311">
        <v>111697519.71920399</v>
      </c>
      <c r="E39" s="1311">
        <v>10816</v>
      </c>
      <c r="F39" s="1311">
        <v>33213558.090985201</v>
      </c>
    </row>
    <row r="40" spans="1:6">
      <c r="A40" s="1310" t="s">
        <v>29</v>
      </c>
      <c r="B40" s="1310" t="s">
        <v>28</v>
      </c>
      <c r="C40" s="1311">
        <v>0</v>
      </c>
      <c r="D40" s="1311">
        <v>0</v>
      </c>
      <c r="E40" s="1311">
        <v>0</v>
      </c>
      <c r="F40" s="1311">
        <v>0</v>
      </c>
    </row>
    <row r="41" spans="1:6">
      <c r="A41" s="1310" t="s">
        <v>31</v>
      </c>
      <c r="B41" s="1310" t="s">
        <v>32</v>
      </c>
      <c r="C41" s="1311">
        <v>117</v>
      </c>
      <c r="D41" s="1311">
        <v>4305654.8219503202</v>
      </c>
      <c r="E41" s="1311">
        <v>225</v>
      </c>
      <c r="F41" s="1311">
        <v>15719719.0191871</v>
      </c>
    </row>
    <row r="42" spans="1:6">
      <c r="A42" s="1310" t="s">
        <v>31</v>
      </c>
      <c r="B42" s="1310" t="s">
        <v>33</v>
      </c>
      <c r="C42" s="1311">
        <v>5</v>
      </c>
      <c r="D42" s="1311">
        <v>1121972.92465048</v>
      </c>
      <c r="E42" s="1311">
        <v>4</v>
      </c>
      <c r="F42" s="1311">
        <v>269743.90021182998</v>
      </c>
    </row>
    <row r="43" spans="1:6">
      <c r="A43" s="1310" t="s">
        <v>31</v>
      </c>
      <c r="B43" s="1310" t="s">
        <v>34</v>
      </c>
      <c r="C43" s="1311">
        <v>0</v>
      </c>
      <c r="D43" s="1311">
        <v>0</v>
      </c>
      <c r="E43" s="1311">
        <v>0</v>
      </c>
      <c r="F43" s="1311">
        <v>0</v>
      </c>
    </row>
    <row r="44" spans="1:6">
      <c r="A44" s="1310" t="s">
        <v>31</v>
      </c>
      <c r="B44" s="1310" t="s">
        <v>35</v>
      </c>
      <c r="C44" s="1311">
        <v>12</v>
      </c>
      <c r="D44" s="1311">
        <v>1542442.7758654</v>
      </c>
      <c r="E44" s="1311">
        <v>28</v>
      </c>
      <c r="F44" s="1311">
        <v>7071287.78887231</v>
      </c>
    </row>
    <row r="45" spans="1:6">
      <c r="A45" s="1310" t="s">
        <v>31</v>
      </c>
      <c r="B45" s="1310" t="s">
        <v>36</v>
      </c>
      <c r="C45" s="1311">
        <v>0</v>
      </c>
      <c r="D45" s="1311">
        <v>0</v>
      </c>
      <c r="E45" s="1311">
        <v>5</v>
      </c>
      <c r="F45" s="1311">
        <v>335415.49190273997</v>
      </c>
    </row>
    <row r="46" spans="1:6">
      <c r="A46" s="1310" t="s">
        <v>31</v>
      </c>
      <c r="B46" s="1310" t="s">
        <v>37</v>
      </c>
      <c r="C46" s="1311">
        <v>0</v>
      </c>
      <c r="D46" s="1311">
        <v>0</v>
      </c>
      <c r="E46" s="1311">
        <v>0</v>
      </c>
      <c r="F46" s="1311">
        <v>0</v>
      </c>
    </row>
    <row r="47" spans="1:6">
      <c r="A47" s="1310" t="s">
        <v>31</v>
      </c>
      <c r="B47" s="1310" t="s">
        <v>38</v>
      </c>
      <c r="C47" s="1311">
        <v>4</v>
      </c>
      <c r="D47" s="1311">
        <v>96139.755260574006</v>
      </c>
      <c r="E47" s="1311">
        <v>10</v>
      </c>
      <c r="F47" s="1311">
        <v>397313.04321763001</v>
      </c>
    </row>
    <row r="48" spans="1:6">
      <c r="A48" s="1310" t="s">
        <v>31</v>
      </c>
      <c r="B48" s="1310" t="s">
        <v>28</v>
      </c>
      <c r="C48" s="1311">
        <v>3</v>
      </c>
      <c r="D48" s="1311">
        <v>123979.876966985</v>
      </c>
      <c r="E48" s="1311">
        <v>1</v>
      </c>
      <c r="F48" s="1311">
        <v>3417</v>
      </c>
    </row>
    <row r="49" spans="1:6">
      <c r="A49" s="1310" t="s">
        <v>31</v>
      </c>
      <c r="B49" s="1310" t="s">
        <v>39</v>
      </c>
      <c r="C49" s="1311">
        <v>12</v>
      </c>
      <c r="D49" s="1311">
        <v>85728435.181164905</v>
      </c>
      <c r="E49" s="1311">
        <v>27</v>
      </c>
      <c r="F49" s="1311">
        <v>32167389.224266101</v>
      </c>
    </row>
    <row r="50" spans="1:6">
      <c r="A50" s="1310" t="s">
        <v>31</v>
      </c>
      <c r="B50" s="1310" t="s">
        <v>40</v>
      </c>
      <c r="C50" s="1311">
        <v>16</v>
      </c>
      <c r="D50" s="1311">
        <v>855636.11197600898</v>
      </c>
      <c r="E50" s="1311">
        <v>19</v>
      </c>
      <c r="F50" s="1311">
        <v>809450.29053342005</v>
      </c>
    </row>
    <row r="51" spans="1:6">
      <c r="A51" s="1310" t="s">
        <v>41</v>
      </c>
      <c r="B51" s="1310" t="s">
        <v>42</v>
      </c>
      <c r="C51" s="1311">
        <v>9</v>
      </c>
      <c r="D51" s="1311">
        <v>131211.783138648</v>
      </c>
      <c r="E51" s="1311">
        <v>41</v>
      </c>
      <c r="F51" s="1311">
        <v>356059.40758240002</v>
      </c>
    </row>
    <row r="52" spans="1:6">
      <c r="A52" s="1310" t="s">
        <v>41</v>
      </c>
      <c r="B52" s="1310" t="s">
        <v>28</v>
      </c>
      <c r="C52" s="1311">
        <v>0</v>
      </c>
      <c r="D52" s="1311">
        <v>0</v>
      </c>
      <c r="E52" s="1311">
        <v>0</v>
      </c>
      <c r="F52" s="1311">
        <v>0</v>
      </c>
    </row>
    <row r="53" spans="1:6">
      <c r="A53" s="1310" t="s">
        <v>43</v>
      </c>
      <c r="B53" s="1310" t="s">
        <v>44</v>
      </c>
      <c r="C53" s="1311">
        <v>239</v>
      </c>
      <c r="D53" s="1311">
        <v>3076950.69628947</v>
      </c>
      <c r="E53" s="1311">
        <v>469</v>
      </c>
      <c r="F53" s="1311">
        <v>1271691.6636711899</v>
      </c>
    </row>
    <row r="54" spans="1:6">
      <c r="A54" s="1310" t="s">
        <v>45</v>
      </c>
      <c r="B54" s="1310" t="s">
        <v>46</v>
      </c>
      <c r="C54" s="1311">
        <v>0</v>
      </c>
      <c r="D54" s="1311">
        <v>0</v>
      </c>
      <c r="E54" s="1311">
        <v>1</v>
      </c>
      <c r="F54" s="1311">
        <v>1791493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144</v>
      </c>
      <c r="D57" s="1311">
        <v>12760369.8906768</v>
      </c>
      <c r="E57" s="1311">
        <v>213</v>
      </c>
      <c r="F57" s="1311">
        <v>5495737.3570557404</v>
      </c>
    </row>
    <row r="58" spans="1:6">
      <c r="A58" s="1310" t="s">
        <v>48</v>
      </c>
      <c r="B58" s="1310" t="s">
        <v>50</v>
      </c>
      <c r="C58" s="1311">
        <v>70</v>
      </c>
      <c r="D58" s="1311">
        <v>8705275.8955880199</v>
      </c>
      <c r="E58" s="1311">
        <v>103</v>
      </c>
      <c r="F58" s="1311">
        <v>6514825.6611117804</v>
      </c>
    </row>
    <row r="59" spans="1:6">
      <c r="A59" s="1310" t="s">
        <v>48</v>
      </c>
      <c r="B59" s="1310" t="s">
        <v>51</v>
      </c>
      <c r="C59" s="1311">
        <v>232</v>
      </c>
      <c r="D59" s="1311">
        <v>8418713.4878207594</v>
      </c>
      <c r="E59" s="1311">
        <v>381</v>
      </c>
      <c r="F59" s="1311">
        <v>11749138.7759258</v>
      </c>
    </row>
    <row r="60" spans="1:6">
      <c r="A60" s="1310" t="s">
        <v>48</v>
      </c>
      <c r="B60" s="1310" t="s">
        <v>52</v>
      </c>
      <c r="C60" s="1311">
        <v>104</v>
      </c>
      <c r="D60" s="1311">
        <v>7465269.06900323</v>
      </c>
      <c r="E60" s="1311">
        <v>117</v>
      </c>
      <c r="F60" s="1311">
        <v>2607146.5719480701</v>
      </c>
    </row>
    <row r="61" spans="1:6">
      <c r="A61" s="1310" t="s">
        <v>48</v>
      </c>
      <c r="B61" s="1310" t="s">
        <v>53</v>
      </c>
      <c r="C61" s="1311">
        <v>318</v>
      </c>
      <c r="D61" s="1311">
        <v>14098340.197641</v>
      </c>
      <c r="E61" s="1311">
        <v>576</v>
      </c>
      <c r="F61" s="1311">
        <v>5344502.2392897103</v>
      </c>
    </row>
    <row r="62" spans="1:6">
      <c r="A62" s="1310" t="s">
        <v>48</v>
      </c>
      <c r="B62" s="1310" t="s">
        <v>54</v>
      </c>
      <c r="C62" s="1311">
        <v>21</v>
      </c>
      <c r="D62" s="1311">
        <v>3770428.4032709701</v>
      </c>
      <c r="E62" s="1311">
        <v>30</v>
      </c>
      <c r="F62" s="1311">
        <v>1296482.44595289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67553.283044531403</v>
      </c>
      <c r="E65" s="1311">
        <v>0</v>
      </c>
      <c r="F65" s="1311">
        <v>0</v>
      </c>
    </row>
    <row r="66" spans="1:6">
      <c r="A66" s="1310" t="s">
        <v>55</v>
      </c>
      <c r="B66" s="1310" t="s">
        <v>57</v>
      </c>
      <c r="C66" s="1311">
        <v>0</v>
      </c>
      <c r="D66" s="1311">
        <v>0</v>
      </c>
      <c r="E66" s="1311">
        <v>7</v>
      </c>
      <c r="F66" s="1311">
        <v>31667.823324009601</v>
      </c>
    </row>
    <row r="67" spans="1:6">
      <c r="A67" s="1312" t="s">
        <v>55</v>
      </c>
      <c r="B67" s="1312" t="s">
        <v>58</v>
      </c>
      <c r="C67" s="1311">
        <v>0</v>
      </c>
      <c r="D67" s="1311">
        <v>0</v>
      </c>
      <c r="E67" s="1311">
        <v>0</v>
      </c>
      <c r="F67" s="1311">
        <v>0</v>
      </c>
    </row>
    <row r="68" spans="1:6">
      <c r="A68" s="1305" t="s">
        <v>55</v>
      </c>
      <c r="B68" s="1305" t="s">
        <v>59</v>
      </c>
      <c r="C68" s="1314">
        <v>5</v>
      </c>
      <c r="D68" s="1314">
        <v>147256.21044197801</v>
      </c>
      <c r="E68" s="1314">
        <v>5</v>
      </c>
      <c r="F68" s="1314">
        <v>56065.901602398902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56021091</v>
      </c>
      <c r="E73" s="453"/>
      <c r="F73" s="332"/>
    </row>
    <row r="74" spans="1:6">
      <c r="A74" s="1310" t="s">
        <v>63</v>
      </c>
      <c r="B74" s="1310" t="s">
        <v>648</v>
      </c>
      <c r="C74" s="1324" t="s">
        <v>650</v>
      </c>
      <c r="D74" s="1325">
        <v>18082934.999707285</v>
      </c>
      <c r="E74" s="453"/>
      <c r="F74" s="332"/>
    </row>
    <row r="75" spans="1:6">
      <c r="A75" s="1310" t="s">
        <v>64</v>
      </c>
      <c r="B75" s="1310" t="s">
        <v>647</v>
      </c>
      <c r="C75" s="1324" t="s">
        <v>651</v>
      </c>
      <c r="D75" s="1325">
        <v>17232614</v>
      </c>
      <c r="E75" s="453"/>
      <c r="F75" s="332"/>
    </row>
    <row r="76" spans="1:6">
      <c r="A76" s="1310" t="s">
        <v>64</v>
      </c>
      <c r="B76" s="1310" t="s">
        <v>648</v>
      </c>
      <c r="C76" s="1324" t="s">
        <v>652</v>
      </c>
      <c r="D76" s="1325">
        <v>1957200.9997072865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205860.00058542701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2656.1447792236045</v>
      </c>
      <c r="C91" s="332"/>
      <c r="D91" s="332"/>
      <c r="E91" s="332"/>
      <c r="F91" s="332"/>
    </row>
    <row r="92" spans="1:6">
      <c r="A92" s="1305" t="s">
        <v>68</v>
      </c>
      <c r="B92" s="1306">
        <v>5440.4245203509445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5479</v>
      </c>
      <c r="C97" s="332"/>
      <c r="D97" s="332"/>
      <c r="E97" s="332"/>
      <c r="F97" s="332"/>
    </row>
    <row r="98" spans="1:6">
      <c r="A98" s="1310" t="s">
        <v>71</v>
      </c>
      <c r="B98" s="1311">
        <v>0</v>
      </c>
      <c r="C98" s="332"/>
      <c r="D98" s="332"/>
      <c r="E98" s="332"/>
      <c r="F98" s="332"/>
    </row>
    <row r="99" spans="1:6">
      <c r="A99" s="1310" t="s">
        <v>72</v>
      </c>
      <c r="B99" s="1311">
        <v>110</v>
      </c>
      <c r="C99" s="332"/>
      <c r="D99" s="332"/>
      <c r="E99" s="332"/>
      <c r="F99" s="332"/>
    </row>
    <row r="100" spans="1:6">
      <c r="A100" s="1310" t="s">
        <v>73</v>
      </c>
      <c r="B100" s="1311">
        <v>487</v>
      </c>
      <c r="C100" s="332"/>
      <c r="D100" s="332"/>
      <c r="E100" s="332"/>
      <c r="F100" s="332"/>
    </row>
    <row r="101" spans="1:6">
      <c r="A101" s="1310" t="s">
        <v>74</v>
      </c>
      <c r="B101" s="1311">
        <v>138</v>
      </c>
      <c r="C101" s="332"/>
      <c r="D101" s="332"/>
      <c r="E101" s="332"/>
      <c r="F101" s="332"/>
    </row>
    <row r="102" spans="1:6">
      <c r="A102" s="1310" t="s">
        <v>75</v>
      </c>
      <c r="B102" s="1311">
        <v>237</v>
      </c>
      <c r="C102" s="332"/>
      <c r="D102" s="332"/>
      <c r="E102" s="332"/>
      <c r="F102" s="332"/>
    </row>
    <row r="103" spans="1:6">
      <c r="A103" s="1310" t="s">
        <v>76</v>
      </c>
      <c r="B103" s="1311">
        <v>384</v>
      </c>
      <c r="C103" s="332"/>
      <c r="D103" s="332"/>
      <c r="E103" s="332"/>
      <c r="F103" s="332"/>
    </row>
    <row r="104" spans="1:6">
      <c r="A104" s="1310" t="s">
        <v>77</v>
      </c>
      <c r="B104" s="1311">
        <v>2766</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3</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16</v>
      </c>
      <c r="C123" s="1311">
        <v>20</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123</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15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129808.49959418958</v>
      </c>
      <c r="C3" s="43" t="s">
        <v>169</v>
      </c>
      <c r="D3" s="43"/>
      <c r="E3" s="154"/>
      <c r="F3" s="43"/>
      <c r="G3" s="43"/>
      <c r="H3" s="43"/>
      <c r="I3" s="43"/>
      <c r="J3" s="43"/>
      <c r="K3" s="96"/>
    </row>
    <row r="4" spans="1:11">
      <c r="A4" s="360" t="s">
        <v>170</v>
      </c>
      <c r="B4" s="49">
        <f>IF(ISERROR('SEAP template'!B78+'SEAP template'!C78),0,'SEAP template'!B78+'SEAP template'!C78)</f>
        <v>8785.0692995745485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163.47461538461539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0.20730270201581663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237.35109890109894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999.642857142857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0.23743589743589752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1791.4929999999999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1791.4929999999999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0.20730270201581663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371.38133954242136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33213.5580909852</v>
      </c>
      <c r="C5" s="17">
        <f>IF(ISERROR('Eigen informatie GS &amp; warmtenet'!B59),0,'Eigen informatie GS &amp; warmtenet'!B59)</f>
        <v>0</v>
      </c>
      <c r="D5" s="30">
        <f>(SUM(HH_hh_gas_kWh,HH_rest_gas_kWh)/1000)*0.903</f>
        <v>100862.8603064412</v>
      </c>
      <c r="E5" s="17">
        <f>B46*B57</f>
        <v>11630.295763139206</v>
      </c>
      <c r="F5" s="17">
        <f>B51*B62</f>
        <v>5979.3748467988462</v>
      </c>
      <c r="G5" s="18"/>
      <c r="H5" s="17"/>
      <c r="I5" s="17"/>
      <c r="J5" s="17">
        <f>B50*B61+C50*C61</f>
        <v>1526.5374769870432</v>
      </c>
      <c r="K5" s="17"/>
      <c r="L5" s="17"/>
      <c r="M5" s="17"/>
      <c r="N5" s="17">
        <f>B48*B59+C48*C59</f>
        <v>27348.153088600367</v>
      </c>
      <c r="O5" s="17">
        <f>B69*B70*B71</f>
        <v>283.70602537234555</v>
      </c>
      <c r="P5" s="17">
        <f>B77*B78*B79/1000-B77*B78*B79/1000/B80</f>
        <v>337.08669784592075</v>
      </c>
    </row>
    <row r="6" spans="1:16">
      <c r="A6" s="16" t="s">
        <v>612</v>
      </c>
      <c r="B6" s="786">
        <f>kWh_PV_kleiner_dan_10kW</f>
        <v>2656.1447792236045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35869.702870208806</v>
      </c>
      <c r="C8" s="21">
        <f>C5</f>
        <v>0</v>
      </c>
      <c r="D8" s="21">
        <f>D5</f>
        <v>100862.8603064412</v>
      </c>
      <c r="E8" s="21">
        <f>E5</f>
        <v>11630.295763139206</v>
      </c>
      <c r="F8" s="21">
        <f>F5</f>
        <v>5979.3748467988462</v>
      </c>
      <c r="G8" s="21"/>
      <c r="H8" s="21"/>
      <c r="I8" s="21"/>
      <c r="J8" s="21">
        <f>J5</f>
        <v>1526.5374769870432</v>
      </c>
      <c r="K8" s="21"/>
      <c r="L8" s="21">
        <f>L5</f>
        <v>0</v>
      </c>
      <c r="M8" s="21">
        <f>M5</f>
        <v>0</v>
      </c>
      <c r="N8" s="21">
        <f>N5</f>
        <v>27348.153088600367</v>
      </c>
      <c r="O8" s="21">
        <f>O5</f>
        <v>283.70602537234555</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0.20730270201581663</v>
      </c>
      <c r="C10" s="25">
        <f ca="1">'EF ele_warmte'!B22</f>
        <v>0.23743589743589752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7435.8863254987791</v>
      </c>
      <c r="C12" s="23">
        <f ca="1">C10*C8</f>
        <v>0</v>
      </c>
      <c r="D12" s="23">
        <f>D8*D10</f>
        <v>20374.297781901125</v>
      </c>
      <c r="E12" s="23">
        <f>E10*E8</f>
        <v>2640.0771382325997</v>
      </c>
      <c r="F12" s="23">
        <f>F10*F8</f>
        <v>1596.493084095292</v>
      </c>
      <c r="G12" s="23"/>
      <c r="H12" s="23"/>
      <c r="I12" s="23"/>
      <c r="J12" s="23">
        <f>J10*J8</f>
        <v>540.39426685341323</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5479</v>
      </c>
      <c r="C18" s="166" t="s">
        <v>110</v>
      </c>
      <c r="D18" s="228"/>
      <c r="E18" s="15"/>
    </row>
    <row r="19" spans="1:7">
      <c r="A19" s="171" t="s">
        <v>71</v>
      </c>
      <c r="B19" s="37">
        <f>aantalw2001_ander</f>
        <v>0</v>
      </c>
      <c r="C19" s="166" t="s">
        <v>110</v>
      </c>
      <c r="D19" s="229"/>
      <c r="E19" s="15"/>
    </row>
    <row r="20" spans="1:7">
      <c r="A20" s="171" t="s">
        <v>72</v>
      </c>
      <c r="B20" s="37">
        <f>aantalw2001_propaan</f>
        <v>110</v>
      </c>
      <c r="C20" s="167">
        <f>IF(ISERROR(B20/SUM($B$20,$B$21,$B$22)*100),0,B20/SUM($B$20,$B$21,$B$22)*100)</f>
        <v>14.965986394557824</v>
      </c>
      <c r="D20" s="229"/>
      <c r="E20" s="15"/>
    </row>
    <row r="21" spans="1:7">
      <c r="A21" s="171" t="s">
        <v>73</v>
      </c>
      <c r="B21" s="37">
        <f>aantalw2001_elektriciteit</f>
        <v>487</v>
      </c>
      <c r="C21" s="167">
        <f>IF(ISERROR(B21/SUM($B$20,$B$21,$B$22)*100),0,B21/SUM($B$20,$B$21,$B$22)*100)</f>
        <v>66.258503401360542</v>
      </c>
      <c r="D21" s="229"/>
      <c r="E21" s="15"/>
    </row>
    <row r="22" spans="1:7">
      <c r="A22" s="171" t="s">
        <v>74</v>
      </c>
      <c r="B22" s="37">
        <f>aantalw2001_hout</f>
        <v>138</v>
      </c>
      <c r="C22" s="167">
        <f>IF(ISERROR(B22/SUM($B$20,$B$21,$B$22)*100),0,B22/SUM($B$20,$B$21,$B$22)*100)</f>
        <v>18.775510204081634</v>
      </c>
      <c r="D22" s="229"/>
      <c r="E22" s="15"/>
    </row>
    <row r="23" spans="1:7">
      <c r="A23" s="171" t="s">
        <v>75</v>
      </c>
      <c r="B23" s="37">
        <f>aantalw2001_niet_gespec</f>
        <v>237</v>
      </c>
      <c r="C23" s="166" t="s">
        <v>110</v>
      </c>
      <c r="D23" s="228"/>
      <c r="E23" s="15"/>
    </row>
    <row r="24" spans="1:7">
      <c r="A24" s="171" t="s">
        <v>76</v>
      </c>
      <c r="B24" s="37">
        <f>aantalw2001_steenkool</f>
        <v>384</v>
      </c>
      <c r="C24" s="166" t="s">
        <v>110</v>
      </c>
      <c r="D24" s="229"/>
      <c r="E24" s="15"/>
    </row>
    <row r="25" spans="1:7">
      <c r="A25" s="171" t="s">
        <v>77</v>
      </c>
      <c r="B25" s="37">
        <f>aantalw2001_stookolie</f>
        <v>2766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10822</v>
      </c>
      <c r="C28" s="36"/>
      <c r="D28" s="228"/>
    </row>
    <row r="29" spans="1:7" s="15" customFormat="1">
      <c r="A29" s="230" t="s">
        <v>839</v>
      </c>
      <c r="B29" s="37">
        <f>SUM(HH_hh_gas_aantal,HH_rest_gas_aantal)</f>
        <v>8232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8232</v>
      </c>
      <c r="C32" s="167">
        <f>IF(ISERROR(B32/SUM($B$32,$B$34,$B$35,$B$36,$B$38,$B$39)*100),0,B32/SUM($B$32,$B$34,$B$35,$B$36,$B$38,$B$39)*100)</f>
        <v>76.292863762743281</v>
      </c>
      <c r="D32" s="233"/>
      <c r="G32" s="15"/>
    </row>
    <row r="33" spans="1:7">
      <c r="A33" s="171" t="s">
        <v>71</v>
      </c>
      <c r="B33" s="34" t="s">
        <v>110</v>
      </c>
      <c r="C33" s="167"/>
      <c r="D33" s="233"/>
      <c r="G33" s="15"/>
    </row>
    <row r="34" spans="1:7">
      <c r="A34" s="171" t="s">
        <v>72</v>
      </c>
      <c r="B34" s="33">
        <f>IF((($B$28-$B$32-$B$39-$B$77-$B$38)*C20/100)&lt;0,0,($B$28-$B$32-$B$39-$B$77-$B$38)*C20/100)</f>
        <v>323.41496598639463</v>
      </c>
      <c r="C34" s="167">
        <f>IF(ISERROR(B34/SUM($B$32,$B$34,$B$35,$B$36,$B$38,$B$39)*100),0,B34/SUM($B$32,$B$34,$B$35,$B$36,$B$38,$B$39)*100)</f>
        <v>2.9973583501982821</v>
      </c>
      <c r="D34" s="233"/>
      <c r="G34" s="15"/>
    </row>
    <row r="35" spans="1:7">
      <c r="A35" s="171" t="s">
        <v>73</v>
      </c>
      <c r="B35" s="33">
        <f>IF((($B$28-$B$32-$B$39-$B$77-$B$38)*C21/100)&lt;0,0,($B$28-$B$32-$B$39-$B$77-$B$38)*C21/100)</f>
        <v>1431.8462585034015</v>
      </c>
      <c r="C35" s="167">
        <f>IF(ISERROR(B35/SUM($B$32,$B$34,$B$35,$B$36,$B$38,$B$39)*100),0,B35/SUM($B$32,$B$34,$B$35,$B$36,$B$38,$B$39)*100)</f>
        <v>13.270122877696028</v>
      </c>
      <c r="D35" s="233"/>
      <c r="G35" s="15"/>
    </row>
    <row r="36" spans="1:7">
      <c r="A36" s="171" t="s">
        <v>74</v>
      </c>
      <c r="B36" s="33">
        <f>IF((($B$28-$B$32-$B$39-$B$77-$B$38)*C22/100)&lt;0,0,($B$28-$B$32-$B$39-$B$77-$B$38)*C22/100)</f>
        <v>405.73877551020422</v>
      </c>
      <c r="C36" s="167">
        <f>IF(ISERROR(B36/SUM($B$32,$B$34,$B$35,$B$36,$B$38,$B$39)*100),0,B36/SUM($B$32,$B$34,$B$35,$B$36,$B$38,$B$39)*100)</f>
        <v>3.7603222938851175</v>
      </c>
      <c r="D36" s="233"/>
      <c r="G36" s="15"/>
    </row>
    <row r="37" spans="1:7">
      <c r="A37" s="171" t="s">
        <v>75</v>
      </c>
      <c r="B37" s="34" t="s">
        <v>110</v>
      </c>
      <c r="C37" s="167"/>
      <c r="D37" s="173"/>
      <c r="G37" s="15"/>
    </row>
    <row r="38" spans="1:7">
      <c r="A38" s="171" t="s">
        <v>76</v>
      </c>
      <c r="B38" s="33">
        <f>IF((B24-(B29-B18)*0.1)&lt;0,0,B24-(B29-B18)*0.1)</f>
        <v>108.69999999999999</v>
      </c>
      <c r="C38" s="167">
        <f>IF(ISERROR(B38/SUM($B$32,$B$34,$B$35,$B$36,$B$38,$B$39)*100),0,B38/SUM($B$32,$B$34,$B$35,$B$36,$B$38,$B$39)*100)</f>
        <v>1.0074142724745134</v>
      </c>
      <c r="D38" s="234"/>
      <c r="G38" s="15"/>
    </row>
    <row r="39" spans="1:7">
      <c r="A39" s="171" t="s">
        <v>77</v>
      </c>
      <c r="B39" s="33">
        <f>IF((B25-(B29-B18))&lt;0,0,B25-(B29-B18)*0.9)</f>
        <v>288.29999999999973</v>
      </c>
      <c r="C39" s="167">
        <f>IF(ISERROR(B39/SUM($B$32,$B$34,$B$35,$B$36,$B$38,$B$39)*100),0,B39/SUM($B$32,$B$34,$B$35,$B$36,$B$38,$B$39)*100)</f>
        <v>2.6719184430027778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8232</v>
      </c>
      <c r="C44" s="34" t="s">
        <v>110</v>
      </c>
      <c r="D44" s="174"/>
    </row>
    <row r="45" spans="1:7">
      <c r="A45" s="171" t="s">
        <v>71</v>
      </c>
      <c r="B45" s="33" t="str">
        <f t="shared" si="0"/>
        <v>-</v>
      </c>
      <c r="C45" s="34" t="s">
        <v>110</v>
      </c>
      <c r="D45" s="174"/>
    </row>
    <row r="46" spans="1:7">
      <c r="A46" s="171" t="s">
        <v>72</v>
      </c>
      <c r="B46" s="33">
        <f t="shared" si="0"/>
        <v>323.41496598639463</v>
      </c>
      <c r="C46" s="34" t="s">
        <v>110</v>
      </c>
      <c r="D46" s="174"/>
    </row>
    <row r="47" spans="1:7">
      <c r="A47" s="171" t="s">
        <v>73</v>
      </c>
      <c r="B47" s="33">
        <f t="shared" si="0"/>
        <v>1431.8462585034015</v>
      </c>
      <c r="C47" s="34" t="s">
        <v>110</v>
      </c>
      <c r="D47" s="174"/>
    </row>
    <row r="48" spans="1:7">
      <c r="A48" s="171" t="s">
        <v>74</v>
      </c>
      <c r="B48" s="33">
        <f t="shared" si="0"/>
        <v>405.73877551020422</v>
      </c>
      <c r="C48" s="33">
        <f>B48*10</f>
        <v>4057.3877551020423</v>
      </c>
      <c r="D48" s="234"/>
    </row>
    <row r="49" spans="1:6">
      <c r="A49" s="171" t="s">
        <v>75</v>
      </c>
      <c r="B49" s="33" t="str">
        <f t="shared" si="0"/>
        <v>-</v>
      </c>
      <c r="C49" s="34" t="s">
        <v>110</v>
      </c>
      <c r="D49" s="234"/>
    </row>
    <row r="50" spans="1:6">
      <c r="A50" s="171" t="s">
        <v>76</v>
      </c>
      <c r="B50" s="33">
        <f t="shared" si="0"/>
        <v>108.69999999999999</v>
      </c>
      <c r="C50" s="33">
        <f>B50*2</f>
        <v>217.39999999999998</v>
      </c>
      <c r="D50" s="234"/>
    </row>
    <row r="51" spans="1:6">
      <c r="A51" s="171" t="s">
        <v>77</v>
      </c>
      <c r="B51" s="33">
        <f t="shared" si="0"/>
        <v>288.29999999999973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33007.833051283989</v>
      </c>
      <c r="C5" s="17">
        <f>IF(ISERROR('Eigen informatie GS &amp; warmtenet'!B60),0,'Eigen informatie GS &amp; warmtenet'!B60)</f>
        <v>0</v>
      </c>
      <c r="D5" s="30">
        <f>SUM(D6:D12)</f>
        <v>49862.212440432719</v>
      </c>
      <c r="E5" s="17">
        <f>SUM(E6:E12)</f>
        <v>121.28330657056347</v>
      </c>
      <c r="F5" s="17">
        <f>SUM(F6:F12)</f>
        <v>6017.5894034223929</v>
      </c>
      <c r="G5" s="18"/>
      <c r="H5" s="17"/>
      <c r="I5" s="17"/>
      <c r="J5" s="17">
        <f>SUM(J6:J12)</f>
        <v>5.4274913494202791E-2</v>
      </c>
      <c r="K5" s="17"/>
      <c r="L5" s="17"/>
      <c r="M5" s="17"/>
      <c r="N5" s="17">
        <f>SUM(N6:N12)</f>
        <v>2020.928835028164</v>
      </c>
      <c r="O5" s="17">
        <f>B38*B39*B40</f>
        <v>0</v>
      </c>
      <c r="P5" s="17">
        <f>B46*B47*B48/1000-B46*B47*B48/1000/B49</f>
        <v>0</v>
      </c>
      <c r="R5" s="32"/>
    </row>
    <row r="6" spans="1:18">
      <c r="A6" s="32" t="s">
        <v>53</v>
      </c>
      <c r="B6" s="37">
        <f>B26</f>
        <v>5344.5022392897099</v>
      </c>
      <c r="C6" s="33"/>
      <c r="D6" s="37">
        <f>IF(ISERROR(TER_kantoor_gas_kWh/1000),0,TER_kantoor_gas_kWh/1000)*0.903</f>
        <v>12730.801198469824</v>
      </c>
      <c r="E6" s="33">
        <f>$C$26*'E Balans VL '!I12/100/3.6*1000000</f>
        <v>1.2804156997516474</v>
      </c>
      <c r="F6" s="33">
        <f>$C$26*('E Balans VL '!L12+'E Balans VL '!N12)/100/3.6*1000000</f>
        <v>506.81287006627014</v>
      </c>
      <c r="G6" s="34"/>
      <c r="H6" s="33"/>
      <c r="I6" s="33"/>
      <c r="J6" s="33">
        <f>$C$26*('E Balans VL '!D12+'E Balans VL '!E12)/100/3.6*1000000</f>
        <v>0</v>
      </c>
      <c r="K6" s="33"/>
      <c r="L6" s="33"/>
      <c r="M6" s="33"/>
      <c r="N6" s="33">
        <f>$C$26*'E Balans VL '!Y12/100/3.6*1000000</f>
        <v>2.7147307001510099</v>
      </c>
      <c r="O6" s="33"/>
      <c r="P6" s="33"/>
      <c r="R6" s="32"/>
    </row>
    <row r="7" spans="1:18">
      <c r="A7" s="32" t="s">
        <v>52</v>
      </c>
      <c r="B7" s="37">
        <f t="shared" ref="B7:B12" si="0">B27</f>
        <v>2607.1465719480702</v>
      </c>
      <c r="C7" s="33"/>
      <c r="D7" s="37">
        <f>IF(ISERROR(TER_horeca_gas_kWh/1000),0,TER_horeca_gas_kWh/1000)*0.903</f>
        <v>6741.1379693099161</v>
      </c>
      <c r="E7" s="33">
        <f>$C$27*'E Balans VL '!I9/100/3.6*1000000</f>
        <v>0</v>
      </c>
      <c r="F7" s="33">
        <f>$C$27*('E Balans VL '!L9+'E Balans VL '!N9)/100/3.6*1000000</f>
        <v>213.7798903081958</v>
      </c>
      <c r="G7" s="34"/>
      <c r="H7" s="33"/>
      <c r="I7" s="33"/>
      <c r="J7" s="33">
        <f>$C$27*('E Balans VL '!D9+'E Balans VL '!E9)/100/3.6*1000000</f>
        <v>0</v>
      </c>
      <c r="K7" s="33"/>
      <c r="L7" s="33"/>
      <c r="M7" s="33"/>
      <c r="N7" s="33">
        <f>$C$27*'E Balans VL '!Y9/100/3.6*1000000</f>
        <v>0.79919517176982702</v>
      </c>
      <c r="O7" s="33"/>
      <c r="P7" s="33"/>
      <c r="R7" s="32"/>
    </row>
    <row r="8" spans="1:18">
      <c r="A8" s="6" t="s">
        <v>51</v>
      </c>
      <c r="B8" s="37">
        <f t="shared" si="0"/>
        <v>11749.1387759258</v>
      </c>
      <c r="C8" s="33"/>
      <c r="D8" s="37">
        <f>IF(ISERROR(TER_handel_gas_kWh/1000),0,TER_handel_gas_kWh/1000)*0.903</f>
        <v>7602.0982795021464</v>
      </c>
      <c r="E8" s="33">
        <f>$C$28*'E Balans VL '!I13/100/3.6*1000000</f>
        <v>41.291801269131327</v>
      </c>
      <c r="F8" s="33">
        <f>$C$28*('E Balans VL '!L13+'E Balans VL '!N13)/100/3.6*1000000</f>
        <v>1075.025098513107</v>
      </c>
      <c r="G8" s="34"/>
      <c r="H8" s="33"/>
      <c r="I8" s="33"/>
      <c r="J8" s="33">
        <f>$C$28*('E Balans VL '!D13+'E Balans VL '!E13)/100/3.6*1000000</f>
        <v>0</v>
      </c>
      <c r="K8" s="33"/>
      <c r="L8" s="33"/>
      <c r="M8" s="33"/>
      <c r="N8" s="33">
        <f>$C$28*'E Balans VL '!Y13/100/3.6*1000000</f>
        <v>4.2550322452859151</v>
      </c>
      <c r="O8" s="33"/>
      <c r="P8" s="33"/>
      <c r="R8" s="32"/>
    </row>
    <row r="9" spans="1:18">
      <c r="A9" s="32" t="s">
        <v>50</v>
      </c>
      <c r="B9" s="37">
        <f t="shared" si="0"/>
        <v>6514.8256611117804</v>
      </c>
      <c r="C9" s="33"/>
      <c r="D9" s="37">
        <f>IF(ISERROR(TER_gezond_gas_kWh/1000),0,TER_gezond_gas_kWh/1000)*0.903</f>
        <v>7860.8641337159825</v>
      </c>
      <c r="E9" s="33">
        <f>$C$29*'E Balans VL '!I10/100/3.6*1000000</f>
        <v>0</v>
      </c>
      <c r="F9" s="33">
        <f>$C$29*('E Balans VL '!L10+'E Balans VL '!N10)/100/3.6*1000000</f>
        <v>798.59799464563753</v>
      </c>
      <c r="G9" s="34"/>
      <c r="H9" s="33"/>
      <c r="I9" s="33"/>
      <c r="J9" s="33">
        <f>$C$29*('E Balans VL '!D10+'E Balans VL '!E10)/100/3.6*1000000</f>
        <v>0</v>
      </c>
      <c r="K9" s="33"/>
      <c r="L9" s="33"/>
      <c r="M9" s="33"/>
      <c r="N9" s="33">
        <f>$C$29*'E Balans VL '!Y10/100/3.6*1000000</f>
        <v>48.04229936293612</v>
      </c>
      <c r="O9" s="33"/>
      <c r="P9" s="33"/>
      <c r="R9" s="32"/>
    </row>
    <row r="10" spans="1:18">
      <c r="A10" s="32" t="s">
        <v>49</v>
      </c>
      <c r="B10" s="37">
        <f t="shared" si="0"/>
        <v>5495.7373570557402</v>
      </c>
      <c r="C10" s="33"/>
      <c r="D10" s="37">
        <f>IF(ISERROR(TER_ander_gas_kWh/1000),0,TER_ander_gas_kWh/1000)*0.903</f>
        <v>11522.614011281152</v>
      </c>
      <c r="E10" s="33">
        <f>$C$30*'E Balans VL '!I14/100/3.6*1000000</f>
        <v>78.711089601680499</v>
      </c>
      <c r="F10" s="33">
        <f>$C$30*('E Balans VL '!L14+'E Balans VL '!N14)/100/3.6*1000000</f>
        <v>3271.7993129091515</v>
      </c>
      <c r="G10" s="34"/>
      <c r="H10" s="33"/>
      <c r="I10" s="33"/>
      <c r="J10" s="33">
        <f>$C$30*('E Balans VL '!D14+'E Balans VL '!E14)/100/3.6*1000000</f>
        <v>5.4274913494202791E-2</v>
      </c>
      <c r="K10" s="33"/>
      <c r="L10" s="33"/>
      <c r="M10" s="33"/>
      <c r="N10" s="33">
        <f>$C$30*'E Balans VL '!Y14/100/3.6*1000000</f>
        <v>1961.4668318568754</v>
      </c>
      <c r="O10" s="33"/>
      <c r="P10" s="33"/>
      <c r="R10" s="32"/>
    </row>
    <row r="11" spans="1:18">
      <c r="A11" s="32" t="s">
        <v>54</v>
      </c>
      <c r="B11" s="37">
        <f t="shared" si="0"/>
        <v>1296.48244595289</v>
      </c>
      <c r="C11" s="33"/>
      <c r="D11" s="37">
        <f>IF(ISERROR(TER_onderwijs_gas_kWh/1000),0,TER_onderwijs_gas_kWh/1000)*0.903</f>
        <v>3404.696848153686</v>
      </c>
      <c r="E11" s="33">
        <f>$C$31*'E Balans VL '!I11/100/3.6*1000000</f>
        <v>0</v>
      </c>
      <c r="F11" s="33">
        <f>$C$31*('E Balans VL '!L11+'E Balans VL '!N11)/100/3.6*1000000</f>
        <v>151.57423698003211</v>
      </c>
      <c r="G11" s="34"/>
      <c r="H11" s="33"/>
      <c r="I11" s="33"/>
      <c r="J11" s="33">
        <f>$C$31*('E Balans VL '!D11+'E Balans VL '!E11)/100/3.6*1000000</f>
        <v>0</v>
      </c>
      <c r="K11" s="33"/>
      <c r="L11" s="33"/>
      <c r="M11" s="33"/>
      <c r="N11" s="33">
        <f>$C$31*'E Balans VL '!Y11/100/3.6*1000000</f>
        <v>3.6507456911458744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688.49999999999989</v>
      </c>
      <c r="C13" s="247">
        <f ca="1">'lokale energieproductie'!O40+'lokale energieproductie'!O33</f>
        <v>999.642857142857</v>
      </c>
      <c r="D13" s="310">
        <f ca="1">('lokale energieproductie'!P33+'lokale energieproductie'!P40)*(-1)</f>
        <v>-1984.2857142857142</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33696.333051283989</v>
      </c>
      <c r="C16" s="21">
        <f t="shared" ca="1" si="1"/>
        <v>999.642857142857</v>
      </c>
      <c r="D16" s="21">
        <f t="shared" ca="1" si="1"/>
        <v>47877.926726147001</v>
      </c>
      <c r="E16" s="21">
        <f t="shared" si="1"/>
        <v>121.28330657056347</v>
      </c>
      <c r="F16" s="21">
        <f t="shared" ca="1" si="1"/>
        <v>6017.5894034223929</v>
      </c>
      <c r="G16" s="21">
        <f t="shared" si="1"/>
        <v>0</v>
      </c>
      <c r="H16" s="21">
        <f t="shared" si="1"/>
        <v>0</v>
      </c>
      <c r="I16" s="21">
        <f t="shared" si="1"/>
        <v>0</v>
      </c>
      <c r="J16" s="21">
        <f t="shared" si="1"/>
        <v>5.4274913494202791E-2</v>
      </c>
      <c r="K16" s="21">
        <f t="shared" si="1"/>
        <v>0</v>
      </c>
      <c r="L16" s="21">
        <f t="shared" ca="1" si="1"/>
        <v>0</v>
      </c>
      <c r="M16" s="21">
        <f t="shared" si="1"/>
        <v>0</v>
      </c>
      <c r="N16" s="21">
        <f t="shared" ca="1" si="1"/>
        <v>2020.928835028164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0.20730270201581663</v>
      </c>
      <c r="C18" s="25">
        <f ca="1">'EF ele_warmte'!B22</f>
        <v>0.23743589743589752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6985.3408895560378</v>
      </c>
      <c r="C20" s="23">
        <f t="shared" ref="C20:P20" ca="1" si="2">C16*C18</f>
        <v>237.35109890109894</v>
      </c>
      <c r="D20" s="23">
        <f t="shared" ca="1" si="2"/>
        <v>9671.3411986816955</v>
      </c>
      <c r="E20" s="23">
        <f t="shared" si="2"/>
        <v>27.531310591517908</v>
      </c>
      <c r="F20" s="23">
        <f t="shared" ca="1" si="2"/>
        <v>1606.6963707137791</v>
      </c>
      <c r="G20" s="23">
        <f t="shared" si="2"/>
        <v>0</v>
      </c>
      <c r="H20" s="23">
        <f t="shared" si="2"/>
        <v>0</v>
      </c>
      <c r="I20" s="23">
        <f t="shared" si="2"/>
        <v>0</v>
      </c>
      <c r="J20" s="23">
        <f t="shared" si="2"/>
        <v>1.9213319376947788E-2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5344.5022392897099</v>
      </c>
      <c r="C26" s="39">
        <f>IF(ISERROR(B26*3.6/1000000/'E Balans VL '!Z12*100),0,B26*3.6/1000000/'E Balans VL '!Z12*100)</f>
        <v>0.15072911610646628</v>
      </c>
      <c r="D26" s="237" t="s">
        <v>702</v>
      </c>
      <c r="F26" s="6"/>
    </row>
    <row r="27" spans="1:18">
      <c r="A27" s="231" t="s">
        <v>52</v>
      </c>
      <c r="B27" s="33">
        <f>IF(ISERROR(TER_horeca_ele_kWh/1000),0,TER_horeca_ele_kWh/1000)</f>
        <v>2607.1465719480702</v>
      </c>
      <c r="C27" s="39">
        <f>IF(ISERROR(B27*3.6/1000000/'E Balans VL '!Z9*100),0,B27*3.6/1000000/'E Balans VL '!Z9*100)</f>
        <v>0.19328789035582089</v>
      </c>
      <c r="D27" s="237" t="s">
        <v>702</v>
      </c>
      <c r="F27" s="6"/>
    </row>
    <row r="28" spans="1:18">
      <c r="A28" s="171" t="s">
        <v>51</v>
      </c>
      <c r="B28" s="33">
        <f>IF(ISERROR(TER_handel_ele_kWh/1000),0,TER_handel_ele_kWh/1000)</f>
        <v>11749.1387759258</v>
      </c>
      <c r="C28" s="39">
        <f>IF(ISERROR(B28*3.6/1000000/'E Balans VL '!Z13*100),0,B28*3.6/1000000/'E Balans VL '!Z13*100)</f>
        <v>0.35197626310633573</v>
      </c>
      <c r="D28" s="237" t="s">
        <v>702</v>
      </c>
      <c r="F28" s="6"/>
    </row>
    <row r="29" spans="1:18">
      <c r="A29" s="231" t="s">
        <v>50</v>
      </c>
      <c r="B29" s="33">
        <f>IF(ISERROR(TER_gezond_ele_kWh/1000),0,TER_gezond_ele_kWh/1000)</f>
        <v>6514.8256611117804</v>
      </c>
      <c r="C29" s="39">
        <f>IF(ISERROR(B29*3.6/1000000/'E Balans VL '!Z10*100),0,B29*3.6/1000000/'E Balans VL '!Z10*100)</f>
        <v>0.64418851484435002</v>
      </c>
      <c r="D29" s="237" t="s">
        <v>702</v>
      </c>
      <c r="F29" s="6"/>
    </row>
    <row r="30" spans="1:18">
      <c r="A30" s="231" t="s">
        <v>49</v>
      </c>
      <c r="B30" s="33">
        <f>IF(ISERROR(TER_ander_ele_kWh/1000),0,TER_ander_ele_kWh/1000)</f>
        <v>5495.7373570557402</v>
      </c>
      <c r="C30" s="39">
        <f>IF(ISERROR(B30*3.6/1000000/'E Balans VL '!Z14*100),0,B30*3.6/1000000/'E Balans VL '!Z14*100)</f>
        <v>0.22228633512984078</v>
      </c>
      <c r="D30" s="237" t="s">
        <v>702</v>
      </c>
      <c r="F30" s="6"/>
    </row>
    <row r="31" spans="1:18">
      <c r="A31" s="231" t="s">
        <v>54</v>
      </c>
      <c r="B31" s="33">
        <f>IF(ISERROR(TER_onderwijs_ele_kWh/1000),0,TER_onderwijs_ele_kWh/1000)</f>
        <v>1296.48244595289</v>
      </c>
      <c r="C31" s="39">
        <f>IF(ISERROR(B31*3.6/1000000/'E Balans VL '!Z11*100),0,B31*3.6/1000000/'E Balans VL '!Z11*100)</f>
        <v>0.3562004290911629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56773.735758191142</v>
      </c>
      <c r="C5" s="17">
        <f>IF(ISERROR('Eigen informatie GS &amp; warmtenet'!B61),0,'Eigen informatie GS &amp; warmtenet'!B61)</f>
        <v>0</v>
      </c>
      <c r="D5" s="30">
        <f>SUM(D6:D15)</f>
        <v>84678.15808739471</v>
      </c>
      <c r="E5" s="17">
        <f>SUM(E6:E15)</f>
        <v>150.47902643505535</v>
      </c>
      <c r="F5" s="17">
        <f>SUM(F6:F15)</f>
        <v>10763.772819229918</v>
      </c>
      <c r="G5" s="18"/>
      <c r="H5" s="17"/>
      <c r="I5" s="17"/>
      <c r="J5" s="17">
        <f>SUM(J6:J15)</f>
        <v>6.2872236911442592</v>
      </c>
      <c r="K5" s="17"/>
      <c r="L5" s="17"/>
      <c r="M5" s="17"/>
      <c r="N5" s="17">
        <f>SUM(N6:N15)</f>
        <v>2403.1055451529169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7071.2877888723096</v>
      </c>
      <c r="C8" s="33"/>
      <c r="D8" s="37">
        <f>IF( ISERROR(IND_metaal_Gas_kWH/1000),0,IND_metaal_Gas_kWH/1000)*0.903</f>
        <v>1392.8258266064561</v>
      </c>
      <c r="E8" s="33">
        <f>C30*'E Balans VL '!I18/100/3.6*1000000</f>
        <v>35.654666825020193</v>
      </c>
      <c r="F8" s="33">
        <f>C30*'E Balans VL '!L18/100/3.6*1000000+C30*'E Balans VL '!N18/100/3.6*1000000</f>
        <v>483.12483156605225</v>
      </c>
      <c r="G8" s="34"/>
      <c r="H8" s="33"/>
      <c r="I8" s="33"/>
      <c r="J8" s="40">
        <f>C30*'E Balans VL '!D18/100/3.6*1000000+C30*'E Balans VL '!E18/100/3.6*1000000</f>
        <v>6.269299813454257</v>
      </c>
      <c r="K8" s="33"/>
      <c r="L8" s="33"/>
      <c r="M8" s="33"/>
      <c r="N8" s="33">
        <f>C30*'E Balans VL '!Y18/100/3.6*1000000</f>
        <v>93.977456678863362</v>
      </c>
      <c r="O8" s="33"/>
      <c r="P8" s="33"/>
      <c r="R8" s="32"/>
    </row>
    <row r="9" spans="1:18">
      <c r="A9" s="6" t="s">
        <v>32</v>
      </c>
      <c r="B9" s="37">
        <f t="shared" si="0"/>
        <v>15719.7190191871</v>
      </c>
      <c r="C9" s="33"/>
      <c r="D9" s="37">
        <f>IF( ISERROR(IND_andere_gas_kWh/1000),0,IND_andere_gas_kWh/1000)*0.903</f>
        <v>3888.0063042211391</v>
      </c>
      <c r="E9" s="33">
        <f>C31*'E Balans VL '!I19/100/3.6*1000000</f>
        <v>49.552269598832602</v>
      </c>
      <c r="F9" s="33">
        <f>C31*'E Balans VL '!L19/100/3.6*1000000+C31*'E Balans VL '!N19/100/3.6*1000000</f>
        <v>9622.9508324207382</v>
      </c>
      <c r="G9" s="34"/>
      <c r="H9" s="33"/>
      <c r="I9" s="33"/>
      <c r="J9" s="40">
        <f>C31*'E Balans VL '!D19/100/3.6*1000000+C31*'E Balans VL '!E19/100/3.6*1000000</f>
        <v>0</v>
      </c>
      <c r="K9" s="33"/>
      <c r="L9" s="33"/>
      <c r="M9" s="33"/>
      <c r="N9" s="33">
        <f>C31*'E Balans VL '!Y19/100/3.6*1000000</f>
        <v>659.14916303696805</v>
      </c>
      <c r="O9" s="33"/>
      <c r="P9" s="33"/>
      <c r="R9" s="32"/>
    </row>
    <row r="10" spans="1:18">
      <c r="A10" s="6" t="s">
        <v>40</v>
      </c>
      <c r="B10" s="37">
        <f t="shared" si="0"/>
        <v>809.45029053342</v>
      </c>
      <c r="C10" s="33"/>
      <c r="D10" s="37">
        <f>IF( ISERROR(IND_voed_gas_kWh/1000),0,IND_voed_gas_kWh/1000)*0.903</f>
        <v>772.63940911433622</v>
      </c>
      <c r="E10" s="33">
        <f>C32*'E Balans VL '!I20/100/3.6*1000000</f>
        <v>1.2900364344958049</v>
      </c>
      <c r="F10" s="33">
        <f>C32*'E Balans VL '!L20/100/3.6*1000000+C32*'E Balans VL '!N20/100/3.6*1000000</f>
        <v>13.151600843515364</v>
      </c>
      <c r="G10" s="34"/>
      <c r="H10" s="33"/>
      <c r="I10" s="33"/>
      <c r="J10" s="40">
        <f>C32*'E Balans VL '!D20/100/3.6*1000000+C32*'E Balans VL '!E20/100/3.6*1000000</f>
        <v>0</v>
      </c>
      <c r="K10" s="33"/>
      <c r="L10" s="33"/>
      <c r="M10" s="33"/>
      <c r="N10" s="33">
        <f>C32*'E Balans VL '!Y20/100/3.6*1000000</f>
        <v>25.566482870848198</v>
      </c>
      <c r="O10" s="33"/>
      <c r="P10" s="33"/>
      <c r="R10" s="32"/>
    </row>
    <row r="11" spans="1:18">
      <c r="A11" s="6" t="s">
        <v>39</v>
      </c>
      <c r="B11" s="37">
        <f t="shared" si="0"/>
        <v>32167.389224266102</v>
      </c>
      <c r="C11" s="33"/>
      <c r="D11" s="37">
        <f>IF( ISERROR(IND_textiel_gas_kWh/1000),0,IND_textiel_gas_kWh/1000)*0.903</f>
        <v>77412.776968591919</v>
      </c>
      <c r="E11" s="33">
        <f>C33*'E Balans VL '!I21/100/3.6*1000000</f>
        <v>46.669003861020407</v>
      </c>
      <c r="F11" s="33">
        <f>C33*'E Balans VL '!L21/100/3.6*1000000+C33*'E Balans VL '!N21/100/3.6*1000000</f>
        <v>629.53647521851076</v>
      </c>
      <c r="G11" s="34"/>
      <c r="H11" s="33"/>
      <c r="I11" s="33"/>
      <c r="J11" s="40">
        <f>C33*'E Balans VL '!D21/100/3.6*1000000+C33*'E Balans VL '!E21/100/3.6*1000000</f>
        <v>0</v>
      </c>
      <c r="K11" s="33"/>
      <c r="L11" s="33"/>
      <c r="M11" s="33"/>
      <c r="N11" s="33">
        <f>C33*'E Balans VL '!Y21/100/3.6*1000000</f>
        <v>1567.1221977315272</v>
      </c>
      <c r="O11" s="33"/>
      <c r="P11" s="33"/>
      <c r="R11" s="32"/>
    </row>
    <row r="12" spans="1:18">
      <c r="A12" s="6" t="s">
        <v>36</v>
      </c>
      <c r="B12" s="37">
        <f t="shared" si="0"/>
        <v>335.41549190273997</v>
      </c>
      <c r="C12" s="33"/>
      <c r="D12" s="37">
        <f>IF( ISERROR(IND_min_gas_kWh/1000),0,IND_min_gas_kWh/1000)*0.903</f>
        <v>0</v>
      </c>
      <c r="E12" s="33">
        <f>C34*'E Balans VL '!I22/100/3.6*1000000</f>
        <v>1.4514336586946159</v>
      </c>
      <c r="F12" s="33">
        <f>C34*'E Balans VL '!L22/100/3.6*1000000+C34*'E Balans VL '!N22/100/3.6*1000000</f>
        <v>12.806577527573266</v>
      </c>
      <c r="G12" s="34"/>
      <c r="H12" s="33"/>
      <c r="I12" s="33"/>
      <c r="J12" s="40">
        <f>C34*'E Balans VL '!D22/100/3.6*1000000+C34*'E Balans VL '!E22/100/3.6*1000000</f>
        <v>0</v>
      </c>
      <c r="K12" s="33"/>
      <c r="L12" s="33"/>
      <c r="M12" s="33"/>
      <c r="N12" s="33">
        <f>C34*'E Balans VL '!Y22/100/3.6*1000000</f>
        <v>57.214327206346546</v>
      </c>
      <c r="O12" s="33"/>
      <c r="P12" s="33"/>
      <c r="R12" s="32"/>
    </row>
    <row r="13" spans="1:18">
      <c r="A13" s="6" t="s">
        <v>38</v>
      </c>
      <c r="B13" s="37">
        <f t="shared" si="0"/>
        <v>397.31304321763002</v>
      </c>
      <c r="C13" s="33"/>
      <c r="D13" s="37">
        <f>IF( ISERROR(IND_papier_gas_kWh/1000),0,IND_papier_gas_kWh/1000)*0.903</f>
        <v>86.814199000298331</v>
      </c>
      <c r="E13" s="33">
        <f>C35*'E Balans VL '!I23/100/3.6*1000000</f>
        <v>0</v>
      </c>
      <c r="F13" s="33">
        <f>C35*'E Balans VL '!L23/100/3.6*1000000+C35*'E Balans VL '!N23/100/3.6*1000000</f>
        <v>1.7213448490105619E-2</v>
      </c>
      <c r="G13" s="34"/>
      <c r="H13" s="33"/>
      <c r="I13" s="33"/>
      <c r="J13" s="40">
        <f>C35*'E Balans VL '!D23/100/3.6*1000000+C35*'E Balans VL '!E23/100/3.6*1000000</f>
        <v>1.0947869230663121E-2</v>
      </c>
      <c r="K13" s="33"/>
      <c r="L13" s="33"/>
      <c r="M13" s="33"/>
      <c r="N13" s="33">
        <f>C35*'E Balans VL '!Y23/100/3.6*1000000</f>
        <v>0</v>
      </c>
      <c r="O13" s="33"/>
      <c r="P13" s="33"/>
      <c r="R13" s="32"/>
    </row>
    <row r="14" spans="1:18">
      <c r="A14" s="6" t="s">
        <v>33</v>
      </c>
      <c r="B14" s="37">
        <f t="shared" si="0"/>
        <v>269.74390021183001</v>
      </c>
      <c r="C14" s="33"/>
      <c r="D14" s="37">
        <f>IF( ISERROR(IND_chemie_gas_kWh/1000),0,IND_chemie_gas_kWh/1000)*0.903</f>
        <v>1013.1415509593835</v>
      </c>
      <c r="E14" s="33">
        <f>C36*'E Balans VL '!I24/100/3.6*1000000</f>
        <v>15.775487886450621</v>
      </c>
      <c r="F14" s="33">
        <f>C36*'E Balans VL '!L24/100/3.6*1000000+C36*'E Balans VL '!N24/100/3.6*1000000</f>
        <v>1.9078916367484888</v>
      </c>
      <c r="G14" s="34"/>
      <c r="H14" s="33"/>
      <c r="I14" s="33"/>
      <c r="J14" s="40">
        <f>C36*'E Balans VL '!D24/100/3.6*1000000+C36*'E Balans VL '!E24/100/3.6*1000000</f>
        <v>0</v>
      </c>
      <c r="K14" s="33"/>
      <c r="L14" s="33"/>
      <c r="M14" s="33"/>
      <c r="N14" s="33">
        <f>C36*'E Balans VL '!Y24/100/3.6*1000000</f>
        <v>1.8179696270113725E-2</v>
      </c>
      <c r="O14" s="33"/>
      <c r="P14" s="33"/>
      <c r="R14" s="32"/>
    </row>
    <row r="15" spans="1:18">
      <c r="A15" s="6" t="s">
        <v>269</v>
      </c>
      <c r="B15" s="37">
        <f t="shared" si="0"/>
        <v>3.4169999999999998</v>
      </c>
      <c r="C15" s="33"/>
      <c r="D15" s="37">
        <f>IF( ISERROR(IND_rest_gas_kWh/1000),0,IND_rest_gas_kWh/1000)*0.903</f>
        <v>111.95382890118746</v>
      </c>
      <c r="E15" s="33">
        <f>C37*'E Balans VL '!I15/100/3.6*1000000</f>
        <v>8.6128170541085292E-2</v>
      </c>
      <c r="F15" s="33">
        <f>C37*'E Balans VL '!L15/100/3.6*1000000+C37*'E Balans VL '!N15/100/3.6*1000000</f>
        <v>0.27739656828995135</v>
      </c>
      <c r="G15" s="34"/>
      <c r="H15" s="33"/>
      <c r="I15" s="33"/>
      <c r="J15" s="40">
        <f>C37*'E Balans VL '!D15/100/3.6*1000000+C37*'E Balans VL '!E15/100/3.6*1000000</f>
        <v>6.9760084593392564E-3</v>
      </c>
      <c r="K15" s="33"/>
      <c r="L15" s="33"/>
      <c r="M15" s="33"/>
      <c r="N15" s="33">
        <f>C37*'E Balans VL '!Y15/100/3.6*1000000</f>
        <v>5.7737932092795562E-2</v>
      </c>
      <c r="O15" s="33"/>
      <c r="P15" s="33"/>
      <c r="R15" s="32"/>
    </row>
    <row r="16" spans="1:18">
      <c r="A16" s="16" t="s">
        <v>479</v>
      </c>
      <c r="B16" s="247">
        <f>'lokale energieproductie'!N39+'lokale energieproductie'!N32</f>
        <v>0</v>
      </c>
      <c r="C16" s="247">
        <f>'lokale energieproductie'!O39+'lokale energieproductie'!O32</f>
        <v>0</v>
      </c>
      <c r="D16" s="310">
        <f>('lokale energieproductie'!P32+'lokale energieproductie'!P39)*(-1)</f>
        <v>0</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56773.735758191142</v>
      </c>
      <c r="C18" s="21">
        <f>C5+C16</f>
        <v>0</v>
      </c>
      <c r="D18" s="21">
        <f>MAX((D5+D16),0)</f>
        <v>84678.15808739471</v>
      </c>
      <c r="E18" s="21">
        <f>MAX((E5+E16),0)</f>
        <v>150.47902643505535</v>
      </c>
      <c r="F18" s="21">
        <f>MAX((F5+F16),0)</f>
        <v>10763.772819229918</v>
      </c>
      <c r="G18" s="21"/>
      <c r="H18" s="21"/>
      <c r="I18" s="21"/>
      <c r="J18" s="21">
        <f>MAX((J5+J16),0)</f>
        <v>6.2872236911442592</v>
      </c>
      <c r="K18" s="21"/>
      <c r="L18" s="21">
        <f>MAX((L5+L16),0)</f>
        <v>0</v>
      </c>
      <c r="M18" s="21"/>
      <c r="N18" s="21">
        <f>MAX((N5+N16),0)</f>
        <v>2403.1055451529169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0.20730270201581663</v>
      </c>
      <c r="C20" s="25">
        <f ca="1">'EF ele_warmte'!B22</f>
        <v>0.23743589743589752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11769.348826205012</v>
      </c>
      <c r="C22" s="23">
        <f ca="1">C18*C20</f>
        <v>0</v>
      </c>
      <c r="D22" s="23">
        <f>D18*D20</f>
        <v>17104.987933653734</v>
      </c>
      <c r="E22" s="23">
        <f>E18*E20</f>
        <v>34.158739000757564</v>
      </c>
      <c r="F22" s="23">
        <f>F18*F20</f>
        <v>2873.9273427343883</v>
      </c>
      <c r="G22" s="23"/>
      <c r="H22" s="23"/>
      <c r="I22" s="23"/>
      <c r="J22" s="23">
        <f>J18*J20</f>
        <v>2.2256771866650675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7071.2877888723096</v>
      </c>
      <c r="C30" s="39">
        <f>IF(ISERROR(B30*3.6/1000000/'E Balans VL '!Z18*100),0,B30*3.6/1000000/'E Balans VL '!Z18*100)</f>
        <v>0.35100278893367437</v>
      </c>
      <c r="D30" s="237" t="s">
        <v>702</v>
      </c>
    </row>
    <row r="31" spans="1:18">
      <c r="A31" s="6" t="s">
        <v>32</v>
      </c>
      <c r="B31" s="37">
        <f>IF( ISERROR(IND_ander_ele_kWh/1000),0,IND_ander_ele_kWh/1000)</f>
        <v>15719.7190191871</v>
      </c>
      <c r="C31" s="39">
        <f>IF(ISERROR(B31*3.6/1000000/'E Balans VL '!Z19*100),0,B31*3.6/1000000/'E Balans VL '!Z19*100)</f>
        <v>0.5304599640731027</v>
      </c>
      <c r="D31" s="237" t="s">
        <v>702</v>
      </c>
    </row>
    <row r="32" spans="1:18">
      <c r="A32" s="171" t="s">
        <v>40</v>
      </c>
      <c r="B32" s="37">
        <f>IF( ISERROR(IND_voed_ele_kWh/1000),0,IND_voed_ele_kWh/1000)</f>
        <v>809.45029053342</v>
      </c>
      <c r="C32" s="39">
        <f>IF(ISERROR(B32*3.6/1000000/'E Balans VL '!Z20*100),0,B32*3.6/1000000/'E Balans VL '!Z20*100)</f>
        <v>1.9009384045815446E-2</v>
      </c>
      <c r="D32" s="237" t="s">
        <v>702</v>
      </c>
    </row>
    <row r="33" spans="1:5">
      <c r="A33" s="171" t="s">
        <v>39</v>
      </c>
      <c r="B33" s="37">
        <f>IF( ISERROR(IND_textiel_ele_kWh/1000),0,IND_textiel_ele_kWh/1000)</f>
        <v>32167.389224266102</v>
      </c>
      <c r="C33" s="39">
        <f>IF(ISERROR(B33*3.6/1000000/'E Balans VL '!Z21*100),0,B33*3.6/1000000/'E Balans VL '!Z21*100)</f>
        <v>3.5303301933110625</v>
      </c>
      <c r="D33" s="237" t="s">
        <v>702</v>
      </c>
    </row>
    <row r="34" spans="1:5">
      <c r="A34" s="171" t="s">
        <v>36</v>
      </c>
      <c r="B34" s="37">
        <f>IF( ISERROR(IND_min_ele_kWh/1000),0,IND_min_ele_kWh/1000)</f>
        <v>335.41549190273997</v>
      </c>
      <c r="C34" s="39">
        <f>IF(ISERROR(B34*3.6/1000000/'E Balans VL '!Z22*100),0,B34*3.6/1000000/'E Balans VL '!Z22*100)</f>
        <v>4.7585650265316817E-2</v>
      </c>
      <c r="D34" s="237" t="s">
        <v>702</v>
      </c>
    </row>
    <row r="35" spans="1:5">
      <c r="A35" s="171" t="s">
        <v>38</v>
      </c>
      <c r="B35" s="37">
        <f>IF( ISERROR(IND_papier_ele_kWh/1000),0,IND_papier_ele_kWh/1000)</f>
        <v>397.31304321763002</v>
      </c>
      <c r="C35" s="39">
        <f>IF(ISERROR(B35*3.6/1000000/'E Balans VL '!Z22*100),0,B35*3.6/1000000/'E Balans VL '!Z22*100)</f>
        <v>5.6367102822683923E-2</v>
      </c>
      <c r="D35" s="237" t="s">
        <v>702</v>
      </c>
    </row>
    <row r="36" spans="1:5">
      <c r="A36" s="171" t="s">
        <v>33</v>
      </c>
      <c r="B36" s="37">
        <f>IF( ISERROR(IND_chemie_ele_kWh/1000),0,IND_chemie_ele_kWh/1000)</f>
        <v>269.74390021183001</v>
      </c>
      <c r="C36" s="39">
        <f>IF(ISERROR(B36*3.6/1000000/'E Balans VL '!Z24*100),0,B36*3.6/1000000/'E Balans VL '!Z24*100)</f>
        <v>2.4631880531580325E-3</v>
      </c>
      <c r="D36" s="237" t="s">
        <v>702</v>
      </c>
    </row>
    <row r="37" spans="1:5">
      <c r="A37" s="171" t="s">
        <v>269</v>
      </c>
      <c r="B37" s="37">
        <f>IF( ISERROR(IND_rest_ele_kWh/1000),0,IND_rest_ele_kWh/1000)</f>
        <v>3.4169999999999998</v>
      </c>
      <c r="C37" s="39">
        <f>IF(ISERROR(B37*3.6/1000000/'E Balans VL '!Z15*100),0,B37*3.6/1000000/'E Balans VL '!Z15*100)</f>
        <v>1.280530728558921E-5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356.05940758240001</v>
      </c>
      <c r="C5" s="17">
        <f>'Eigen informatie GS &amp; warmtenet'!B62</f>
        <v>0</v>
      </c>
      <c r="D5" s="30">
        <f>IF(ISERROR(SUM(LB_lb_gas_kWh,LB_rest_gas_kWh)/1000),0,SUM(LB_lb_gas_kWh,LB_rest_gas_kWh)/1000)*0.903</f>
        <v>118.48424017419914</v>
      </c>
      <c r="E5" s="17">
        <f>B17*'E Balans VL '!I25/3.6*1000000/100</f>
        <v>13.27854441678312</v>
      </c>
      <c r="F5" s="17">
        <f>B17*('E Balans VL '!L25/3.6*1000000+'E Balans VL '!N25/3.6*1000000)/100</f>
        <v>1155.1943049682322</v>
      </c>
      <c r="G5" s="18"/>
      <c r="H5" s="17"/>
      <c r="I5" s="17"/>
      <c r="J5" s="17">
        <f>('E Balans VL '!D25+'E Balans VL '!E25)/3.6*1000000*landbouw!B17/100</f>
        <v>93.467352322609273</v>
      </c>
      <c r="K5" s="17"/>
      <c r="L5" s="17">
        <f>L6*(-1)</f>
        <v>0</v>
      </c>
      <c r="M5" s="17"/>
      <c r="N5" s="17">
        <f>N6*(-1)</f>
        <v>0</v>
      </c>
      <c r="O5" s="17"/>
      <c r="P5" s="17"/>
      <c r="R5" s="32"/>
    </row>
    <row r="6" spans="1:18">
      <c r="A6" s="16" t="s">
        <v>479</v>
      </c>
      <c r="B6" s="17" t="s">
        <v>210</v>
      </c>
      <c r="C6" s="17">
        <f>'lokale energieproductie'!O41+'lokale energieproductie'!O34</f>
        <v>0</v>
      </c>
      <c r="D6" s="310">
        <f>('lokale energieproductie'!P34+'lokale energieproductie'!P41)*(-1)</f>
        <v>0</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356.05940758240001</v>
      </c>
      <c r="C8" s="21">
        <f>C5+C6</f>
        <v>0</v>
      </c>
      <c r="D8" s="21">
        <f>MAX((D5+D6),0)</f>
        <v>118.48424017419914</v>
      </c>
      <c r="E8" s="21">
        <f>MAX((E5+E6),0)</f>
        <v>13.27854441678312</v>
      </c>
      <c r="F8" s="21">
        <f>MAX((F5+F6),0)</f>
        <v>1155.1943049682322</v>
      </c>
      <c r="G8" s="21"/>
      <c r="H8" s="21"/>
      <c r="I8" s="21"/>
      <c r="J8" s="21">
        <f>MAX((J5+J6),0)</f>
        <v>93.467352322609273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0.20730270201581663</v>
      </c>
      <c r="C10" s="31">
        <f ca="1">'EF ele_warmte'!B22</f>
        <v>0.23743589743589752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73.812077269982467</v>
      </c>
      <c r="C12" s="23">
        <f ca="1">C8*C10</f>
        <v>0</v>
      </c>
      <c r="D12" s="23">
        <f>D8*D10</f>
        <v>23.93381651518823</v>
      </c>
      <c r="E12" s="23">
        <f>E8*E10</f>
        <v>3.0142295826097683</v>
      </c>
      <c r="F12" s="23">
        <f>F8*F10</f>
        <v>308.43687942651803</v>
      </c>
      <c r="G12" s="23"/>
      <c r="H12" s="23"/>
      <c r="I12" s="23"/>
      <c r="J12" s="23">
        <f>J8*J10</f>
        <v>33.087442722203683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4.890383048788341E-2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150.94683193558518</v>
      </c>
      <c r="C26" s="247">
        <f>B26*'GWP N2O_CH4'!B5</f>
        <v>3169.883470647289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24.263144866344561</v>
      </c>
      <c r="C27" s="247">
        <f>B27*'GWP N2O_CH4'!B5</f>
        <v>509.52604219323575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1.9281521145703719</v>
      </c>
      <c r="C28" s="247">
        <f>B28*'GWP N2O_CH4'!B4</f>
        <v>597.72715551681529</v>
      </c>
      <c r="D28" s="50"/>
    </row>
    <row r="29" spans="1:4">
      <c r="A29" s="41" t="s">
        <v>276</v>
      </c>
      <c r="B29" s="247">
        <f>B34*'ha_N2O bodem landbouw'!B4</f>
        <v>9.4985756744674141</v>
      </c>
      <c r="C29" s="247">
        <f>B29*'GWP N2O_CH4'!B4</f>
        <v>2944.5584590848985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2.1647525223563416E-3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1.7814183570730223E-4</v>
      </c>
      <c r="C5" s="440" t="s">
        <v>210</v>
      </c>
      <c r="D5" s="425">
        <f>SUM(D6:D11)</f>
        <v>7.485959660181264E-4</v>
      </c>
      <c r="E5" s="425">
        <f>SUM(E6:E11)</f>
        <v>3.9990832300224239E-4</v>
      </c>
      <c r="F5" s="438" t="s">
        <v>210</v>
      </c>
      <c r="G5" s="425">
        <f>SUM(G6:G11)</f>
        <v>0.31686761568979677</v>
      </c>
      <c r="H5" s="425">
        <f>SUM(H6:H11)</f>
        <v>4.7667797760527909E-2</v>
      </c>
      <c r="I5" s="440" t="s">
        <v>210</v>
      </c>
      <c r="J5" s="440" t="s">
        <v>210</v>
      </c>
      <c r="K5" s="440" t="s">
        <v>210</v>
      </c>
      <c r="L5" s="440" t="s">
        <v>210</v>
      </c>
      <c r="M5" s="425">
        <f>SUM(M6:M11)</f>
        <v>2.1153715304671424E-2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1.3623474729456794E-4</v>
      </c>
      <c r="C6" s="426"/>
      <c r="D6" s="893">
        <f>vkm_GW_PW*SUMIFS(TableVerdeelsleutelVkm[CNG],TableVerdeelsleutelVkm[Voertuigtype],"Lichte voertuigen")*SUMIFS(TableECFTransport[EnergieConsumptieFactor (PJ per km)],TableECFTransport[Index],CONCATENATE($A6,"_CNG_CNG"))</f>
        <v>4.9203833248730785E-4</v>
      </c>
      <c r="E6" s="893">
        <f>vkm_GW_PW*SUMIFS(TableVerdeelsleutelVkm[LPG],TableVerdeelsleutelVkm[Voertuigtype],"Lichte voertuigen")*SUMIFS(TableECFTransport[EnergieConsumptieFactor (PJ per km)],TableECFTransport[Index],CONCATENATE($A6,"_LPG_LPG"))</f>
        <v>2.6741020373324923E-4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8.321640779598477E-2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3.1494069048059598E-2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6.8745804611726642E-3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0.17274274065513634</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1.8185566391713439E-6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9.7256868725656264E-3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4.1907088412734298E-5</v>
      </c>
      <c r="C8" s="426"/>
      <c r="D8" s="428">
        <f>vkm_NGW_PW*SUMIFS(TableVerdeelsleutelVkm[CNG],TableVerdeelsleutelVkm[Voertuigtype],"Lichte voertuigen")*SUMIFS(TableECFTransport[EnergieConsumptieFactor (PJ per km)],TableECFTransport[Index],CONCATENATE($A8,"_CNG_CNG"))</f>
        <v>2.5655763353081855E-4</v>
      </c>
      <c r="E8" s="428">
        <f>vkm_NGW_PW*SUMIFS(TableVerdeelsleutelVkm[LPG],TableVerdeelsleutelVkm[Voertuigtype],"Lichte voertuigen")*SUMIFS(TableECFTransport[EnergieConsumptieFactor (PJ per km)],TableECFTransport[Index],CONCATENATE($A8,"_LPG_LPG"))</f>
        <v>1.3249811926899316E-4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3.8371488042144332E-2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1.6171565547602532E-2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3.2845732788411414E-3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2.2536979196531297E-2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3.4460822661000331E-7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1.2688746920919943E-3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49.4838432520284</v>
      </c>
      <c r="C14" s="21"/>
      <c r="D14" s="21">
        <f t="shared" ref="D14:M14" si="0">((D5)*10^9/3600)+D12</f>
        <v>207.94332389392397</v>
      </c>
      <c r="E14" s="21">
        <f t="shared" si="0"/>
        <v>111.08564527840066</v>
      </c>
      <c r="F14" s="21"/>
      <c r="G14" s="21">
        <f t="shared" si="0"/>
        <v>88018.782136054651</v>
      </c>
      <c r="H14" s="21">
        <f t="shared" si="0"/>
        <v>13241.054933479974</v>
      </c>
      <c r="I14" s="21"/>
      <c r="J14" s="21"/>
      <c r="K14" s="21"/>
      <c r="L14" s="21"/>
      <c r="M14" s="21">
        <f t="shared" si="0"/>
        <v>5876.0320290753962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0.20730270201581663</v>
      </c>
      <c r="C16" s="56">
        <f ca="1">'EF ele_warmte'!B22</f>
        <v>0.23743589743589752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10.258134412272621</v>
      </c>
      <c r="C18" s="23"/>
      <c r="D18" s="23">
        <f t="shared" ref="D18:M18" si="1">D14*D16</f>
        <v>42.004551426572647</v>
      </c>
      <c r="E18" s="23">
        <f t="shared" si="1"/>
        <v>25.216441478196952</v>
      </c>
      <c r="F18" s="23"/>
      <c r="G18" s="23">
        <f t="shared" si="1"/>
        <v>23501.014830326592</v>
      </c>
      <c r="H18" s="23">
        <f t="shared" si="1"/>
        <v>3297.0226784365136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2.5342879818291168E-3</v>
      </c>
      <c r="H50" s="321">
        <f t="shared" si="2"/>
        <v>0</v>
      </c>
      <c r="I50" s="321">
        <f t="shared" si="2"/>
        <v>0</v>
      </c>
      <c r="J50" s="321">
        <f t="shared" si="2"/>
        <v>0</v>
      </c>
      <c r="K50" s="321">
        <f t="shared" si="2"/>
        <v>0</v>
      </c>
      <c r="L50" s="321">
        <f t="shared" si="2"/>
        <v>0</v>
      </c>
      <c r="M50" s="321">
        <f t="shared" si="2"/>
        <v>1.3752490015515395E-4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2.5342879818291168E-3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1.3752490015515395E-4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703.9688838414213</v>
      </c>
      <c r="H54" s="21">
        <f t="shared" si="3"/>
        <v>0</v>
      </c>
      <c r="I54" s="21">
        <f t="shared" si="3"/>
        <v>0</v>
      </c>
      <c r="J54" s="21">
        <f t="shared" si="3"/>
        <v>0</v>
      </c>
      <c r="K54" s="21">
        <f t="shared" si="3"/>
        <v>0</v>
      </c>
      <c r="L54" s="21">
        <f t="shared" si="3"/>
        <v>0</v>
      </c>
      <c r="M54" s="21">
        <f t="shared" si="3"/>
        <v>38.20136115420943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0.20730270201581663</v>
      </c>
      <c r="C56" s="56">
        <f ca="1">'EF ele_warmte'!B22</f>
        <v>0.23743589743589752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187.9596919856595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35487.826051283992</v>
      </c>
      <c r="D10" s="689">
        <f ca="1">tertiair!C16</f>
        <v>999.642857142857</v>
      </c>
      <c r="E10" s="689">
        <f ca="1">tertiair!D16</f>
        <v>47877.926726147001</v>
      </c>
      <c r="F10" s="689">
        <f>tertiair!E16</f>
        <v>121.28330657056347</v>
      </c>
      <c r="G10" s="689">
        <f ca="1">tertiair!F16</f>
        <v>6017.5894034223929</v>
      </c>
      <c r="H10" s="689">
        <f>tertiair!G16</f>
        <v>0</v>
      </c>
      <c r="I10" s="689">
        <f>tertiair!H16</f>
        <v>0</v>
      </c>
      <c r="J10" s="689">
        <f>tertiair!I16</f>
        <v>0</v>
      </c>
      <c r="K10" s="689">
        <f>tertiair!J16</f>
        <v>5.4274913494202791E-2</v>
      </c>
      <c r="L10" s="689">
        <f>tertiair!K16</f>
        <v>0</v>
      </c>
      <c r="M10" s="689">
        <f ca="1">tertiair!L16</f>
        <v>0</v>
      </c>
      <c r="N10" s="689">
        <f>tertiair!M16</f>
        <v>0</v>
      </c>
      <c r="O10" s="689">
        <f ca="1">tertiair!N16</f>
        <v>2020.928835028164</v>
      </c>
      <c r="P10" s="689">
        <f>tertiair!O16</f>
        <v>0</v>
      </c>
      <c r="Q10" s="690">
        <f>tertiair!P16</f>
        <v>0</v>
      </c>
      <c r="R10" s="692">
        <f ca="1">SUM(C10:Q10)</f>
        <v>92525.251454508456</v>
      </c>
      <c r="S10" s="67"/>
    </row>
    <row r="11" spans="1:19" s="451" customFormat="1">
      <c r="A11" s="811" t="s">
        <v>224</v>
      </c>
      <c r="B11" s="816"/>
      <c r="C11" s="689">
        <f>huishoudens!B8</f>
        <v>35869.702870208806</v>
      </c>
      <c r="D11" s="689">
        <f>huishoudens!C8</f>
        <v>0</v>
      </c>
      <c r="E11" s="689">
        <f>huishoudens!D8</f>
        <v>100862.8603064412</v>
      </c>
      <c r="F11" s="689">
        <f>huishoudens!E8</f>
        <v>11630.295763139206</v>
      </c>
      <c r="G11" s="689">
        <f>huishoudens!F8</f>
        <v>5979.3748467988462</v>
      </c>
      <c r="H11" s="689">
        <f>huishoudens!G8</f>
        <v>0</v>
      </c>
      <c r="I11" s="689">
        <f>huishoudens!H8</f>
        <v>0</v>
      </c>
      <c r="J11" s="689">
        <f>huishoudens!I8</f>
        <v>0</v>
      </c>
      <c r="K11" s="689">
        <f>huishoudens!J8</f>
        <v>1526.5374769870432</v>
      </c>
      <c r="L11" s="689">
        <f>huishoudens!K8</f>
        <v>0</v>
      </c>
      <c r="M11" s="689">
        <f>huishoudens!L8</f>
        <v>0</v>
      </c>
      <c r="N11" s="689">
        <f>huishoudens!M8</f>
        <v>0</v>
      </c>
      <c r="O11" s="689">
        <f>huishoudens!N8</f>
        <v>27348.153088600367</v>
      </c>
      <c r="P11" s="689">
        <f>huishoudens!O8</f>
        <v>283.70602537234555</v>
      </c>
      <c r="Q11" s="690">
        <f>huishoudens!P8</f>
        <v>337.08669784592075</v>
      </c>
      <c r="R11" s="692">
        <f>SUM(C11:Q11)</f>
        <v>183837.71707539374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56773.735758191142</v>
      </c>
      <c r="D13" s="689">
        <f>industrie!C18</f>
        <v>0</v>
      </c>
      <c r="E13" s="689">
        <f>industrie!D18</f>
        <v>84678.15808739471</v>
      </c>
      <c r="F13" s="689">
        <f>industrie!E18</f>
        <v>150.47902643505535</v>
      </c>
      <c r="G13" s="689">
        <f>industrie!F18</f>
        <v>10763.772819229918</v>
      </c>
      <c r="H13" s="689">
        <f>industrie!G18</f>
        <v>0</v>
      </c>
      <c r="I13" s="689">
        <f>industrie!H18</f>
        <v>0</v>
      </c>
      <c r="J13" s="689">
        <f>industrie!I18</f>
        <v>0</v>
      </c>
      <c r="K13" s="689">
        <f>industrie!J18</f>
        <v>6.2872236911442592</v>
      </c>
      <c r="L13" s="689">
        <f>industrie!K18</f>
        <v>0</v>
      </c>
      <c r="M13" s="689">
        <f>industrie!L18</f>
        <v>0</v>
      </c>
      <c r="N13" s="689">
        <f>industrie!M18</f>
        <v>0</v>
      </c>
      <c r="O13" s="689">
        <f>industrie!N18</f>
        <v>2403.1055451529169</v>
      </c>
      <c r="P13" s="689">
        <f>industrie!O18</f>
        <v>0</v>
      </c>
      <c r="Q13" s="690">
        <f>industrie!P18</f>
        <v>0</v>
      </c>
      <c r="R13" s="692">
        <f>SUM(C13:Q13)</f>
        <v>154775.53846009489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128131.26467968395</v>
      </c>
      <c r="D16" s="725">
        <f t="shared" ref="D16:R16" ca="1" si="0">SUM(D9:D15)</f>
        <v>999.642857142857</v>
      </c>
      <c r="E16" s="725">
        <f t="shared" ca="1" si="0"/>
        <v>233418.94511998293</v>
      </c>
      <c r="F16" s="725">
        <f t="shared" si="0"/>
        <v>11902.058096144825</v>
      </c>
      <c r="G16" s="725">
        <f t="shared" ca="1" si="0"/>
        <v>22760.737069451156</v>
      </c>
      <c r="H16" s="725">
        <f t="shared" si="0"/>
        <v>0</v>
      </c>
      <c r="I16" s="725">
        <f t="shared" si="0"/>
        <v>0</v>
      </c>
      <c r="J16" s="725">
        <f t="shared" si="0"/>
        <v>0</v>
      </c>
      <c r="K16" s="725">
        <f t="shared" si="0"/>
        <v>1532.8789755916816</v>
      </c>
      <c r="L16" s="725">
        <f t="shared" si="0"/>
        <v>0</v>
      </c>
      <c r="M16" s="725">
        <f t="shared" ca="1" si="0"/>
        <v>0</v>
      </c>
      <c r="N16" s="725">
        <f t="shared" si="0"/>
        <v>0</v>
      </c>
      <c r="O16" s="725">
        <f t="shared" ca="1" si="0"/>
        <v>31772.187468781449</v>
      </c>
      <c r="P16" s="725">
        <f t="shared" si="0"/>
        <v>283.70602537234555</v>
      </c>
      <c r="Q16" s="725">
        <f t="shared" si="0"/>
        <v>337.08669784592075</v>
      </c>
      <c r="R16" s="725">
        <f t="shared" ca="1" si="0"/>
        <v>431138.50698999705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703.9688838414213</v>
      </c>
      <c r="I19" s="689">
        <f>transport!H54</f>
        <v>0</v>
      </c>
      <c r="J19" s="689">
        <f>transport!I54</f>
        <v>0</v>
      </c>
      <c r="K19" s="689">
        <f>transport!J54</f>
        <v>0</v>
      </c>
      <c r="L19" s="689">
        <f>transport!K54</f>
        <v>0</v>
      </c>
      <c r="M19" s="689">
        <f>transport!L54</f>
        <v>0</v>
      </c>
      <c r="N19" s="689">
        <f>transport!M54</f>
        <v>38.20136115420943</v>
      </c>
      <c r="O19" s="689">
        <f>transport!N54</f>
        <v>0</v>
      </c>
      <c r="P19" s="689">
        <f>transport!O54</f>
        <v>0</v>
      </c>
      <c r="Q19" s="690">
        <f>transport!P54</f>
        <v>0</v>
      </c>
      <c r="R19" s="692">
        <f>SUM(C19:Q19)</f>
        <v>742.1702449956307</v>
      </c>
      <c r="S19" s="67"/>
    </row>
    <row r="20" spans="1:19" s="451" customFormat="1">
      <c r="A20" s="811" t="s">
        <v>306</v>
      </c>
      <c r="B20" s="816"/>
      <c r="C20" s="689">
        <f>transport!B14</f>
        <v>49.4838432520284</v>
      </c>
      <c r="D20" s="689">
        <f>transport!C14</f>
        <v>0</v>
      </c>
      <c r="E20" s="689">
        <f>transport!D14</f>
        <v>207.94332389392397</v>
      </c>
      <c r="F20" s="689">
        <f>transport!E14</f>
        <v>111.08564527840066</v>
      </c>
      <c r="G20" s="689">
        <f>transport!F14</f>
        <v>0</v>
      </c>
      <c r="H20" s="689">
        <f>transport!G14</f>
        <v>88018.782136054651</v>
      </c>
      <c r="I20" s="689">
        <f>transport!H14</f>
        <v>13241.054933479974</v>
      </c>
      <c r="J20" s="689">
        <f>transport!I14</f>
        <v>0</v>
      </c>
      <c r="K20" s="689">
        <f>transport!J14</f>
        <v>0</v>
      </c>
      <c r="L20" s="689">
        <f>transport!K14</f>
        <v>0</v>
      </c>
      <c r="M20" s="689">
        <f>transport!L14</f>
        <v>0</v>
      </c>
      <c r="N20" s="689">
        <f>transport!M14</f>
        <v>5876.0320290753962</v>
      </c>
      <c r="O20" s="689">
        <f>transport!N14</f>
        <v>0</v>
      </c>
      <c r="P20" s="689">
        <f>transport!O14</f>
        <v>0</v>
      </c>
      <c r="Q20" s="690">
        <f>transport!P14</f>
        <v>0</v>
      </c>
      <c r="R20" s="692">
        <f>SUM(C20:Q20)</f>
        <v>107504.38191103438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49.4838432520284</v>
      </c>
      <c r="D22" s="814">
        <f t="shared" ref="D22:R22" si="1">SUM(D18:D21)</f>
        <v>0</v>
      </c>
      <c r="E22" s="814">
        <f t="shared" si="1"/>
        <v>207.94332389392397</v>
      </c>
      <c r="F22" s="814">
        <f t="shared" si="1"/>
        <v>111.08564527840066</v>
      </c>
      <c r="G22" s="814">
        <f t="shared" si="1"/>
        <v>0</v>
      </c>
      <c r="H22" s="814">
        <f t="shared" si="1"/>
        <v>88722.751019896066</v>
      </c>
      <c r="I22" s="814">
        <f t="shared" si="1"/>
        <v>13241.054933479974</v>
      </c>
      <c r="J22" s="814">
        <f t="shared" si="1"/>
        <v>0</v>
      </c>
      <c r="K22" s="814">
        <f t="shared" si="1"/>
        <v>0</v>
      </c>
      <c r="L22" s="814">
        <f t="shared" si="1"/>
        <v>0</v>
      </c>
      <c r="M22" s="814">
        <f t="shared" si="1"/>
        <v>0</v>
      </c>
      <c r="N22" s="814">
        <f t="shared" si="1"/>
        <v>5914.2333902296059</v>
      </c>
      <c r="O22" s="814">
        <f t="shared" si="1"/>
        <v>0</v>
      </c>
      <c r="P22" s="814">
        <f t="shared" si="1"/>
        <v>0</v>
      </c>
      <c r="Q22" s="814">
        <f t="shared" si="1"/>
        <v>0</v>
      </c>
      <c r="R22" s="814">
        <f t="shared" si="1"/>
        <v>108246.55215603001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356.05940758240001</v>
      </c>
      <c r="D24" s="689">
        <f>+landbouw!C8</f>
        <v>0</v>
      </c>
      <c r="E24" s="689">
        <f>+landbouw!D8</f>
        <v>118.48424017419914</v>
      </c>
      <c r="F24" s="689">
        <f>+landbouw!E8</f>
        <v>13.27854441678312</v>
      </c>
      <c r="G24" s="689">
        <f>+landbouw!F8</f>
        <v>1155.1943049682322</v>
      </c>
      <c r="H24" s="689">
        <f>+landbouw!G8</f>
        <v>0</v>
      </c>
      <c r="I24" s="689">
        <f>+landbouw!H8</f>
        <v>0</v>
      </c>
      <c r="J24" s="689">
        <f>+landbouw!I8</f>
        <v>0</v>
      </c>
      <c r="K24" s="689">
        <f>+landbouw!J8</f>
        <v>93.467352322609273</v>
      </c>
      <c r="L24" s="689">
        <f>+landbouw!K8</f>
        <v>0</v>
      </c>
      <c r="M24" s="689">
        <f>+landbouw!L8</f>
        <v>0</v>
      </c>
      <c r="N24" s="689">
        <f>+landbouw!M8</f>
        <v>0</v>
      </c>
      <c r="O24" s="689">
        <f>+landbouw!N8</f>
        <v>0</v>
      </c>
      <c r="P24" s="689">
        <f>+landbouw!O8</f>
        <v>0</v>
      </c>
      <c r="Q24" s="690">
        <f>+landbouw!P8</f>
        <v>0</v>
      </c>
      <c r="R24" s="692">
        <f>SUM(C24:Q24)</f>
        <v>1736.4838494642238</v>
      </c>
      <c r="S24" s="67"/>
    </row>
    <row r="25" spans="1:19" s="451" customFormat="1" ht="15" thickBot="1">
      <c r="A25" s="833" t="s">
        <v>714</v>
      </c>
      <c r="B25" s="947"/>
      <c r="C25" s="948">
        <f>IF(Onbekend_ele_kWh="---",0,Onbekend_ele_kWh)/1000+IF(REST_rest_ele_kWh="---",0,REST_rest_ele_kWh)/1000</f>
        <v>1271.6916636711899</v>
      </c>
      <c r="D25" s="948"/>
      <c r="E25" s="948">
        <f>IF(onbekend_gas_kWh="---",0,onbekend_gas_kWh)/1000+IF(REST_rest_gas_kWh="---",0,REST_rest_gas_kWh)/1000</f>
        <v>3076.9506962894698</v>
      </c>
      <c r="F25" s="948"/>
      <c r="G25" s="948"/>
      <c r="H25" s="948"/>
      <c r="I25" s="948"/>
      <c r="J25" s="948"/>
      <c r="K25" s="948"/>
      <c r="L25" s="948"/>
      <c r="M25" s="948"/>
      <c r="N25" s="948"/>
      <c r="O25" s="948"/>
      <c r="P25" s="948"/>
      <c r="Q25" s="949"/>
      <c r="R25" s="692">
        <f>SUM(C25:Q25)</f>
        <v>4348.6423599606596</v>
      </c>
      <c r="S25" s="67"/>
    </row>
    <row r="26" spans="1:19" s="451" customFormat="1" ht="15.75" thickBot="1">
      <c r="A26" s="697" t="s">
        <v>715</v>
      </c>
      <c r="B26" s="819"/>
      <c r="C26" s="814">
        <f>SUM(C24:C25)</f>
        <v>1627.75107125359</v>
      </c>
      <c r="D26" s="814">
        <f t="shared" ref="D26:R26" si="2">SUM(D24:D25)</f>
        <v>0</v>
      </c>
      <c r="E26" s="814">
        <f t="shared" si="2"/>
        <v>3195.4349364636687</v>
      </c>
      <c r="F26" s="814">
        <f t="shared" si="2"/>
        <v>13.27854441678312</v>
      </c>
      <c r="G26" s="814">
        <f t="shared" si="2"/>
        <v>1155.1943049682322</v>
      </c>
      <c r="H26" s="814">
        <f t="shared" si="2"/>
        <v>0</v>
      </c>
      <c r="I26" s="814">
        <f t="shared" si="2"/>
        <v>0</v>
      </c>
      <c r="J26" s="814">
        <f t="shared" si="2"/>
        <v>0</v>
      </c>
      <c r="K26" s="814">
        <f t="shared" si="2"/>
        <v>93.467352322609273</v>
      </c>
      <c r="L26" s="814">
        <f t="shared" si="2"/>
        <v>0</v>
      </c>
      <c r="M26" s="814">
        <f t="shared" si="2"/>
        <v>0</v>
      </c>
      <c r="N26" s="814">
        <f t="shared" si="2"/>
        <v>0</v>
      </c>
      <c r="O26" s="814">
        <f t="shared" si="2"/>
        <v>0</v>
      </c>
      <c r="P26" s="814">
        <f t="shared" si="2"/>
        <v>0</v>
      </c>
      <c r="Q26" s="814">
        <f t="shared" si="2"/>
        <v>0</v>
      </c>
      <c r="R26" s="814">
        <f t="shared" si="2"/>
        <v>6085.1262094248832</v>
      </c>
      <c r="S26" s="67"/>
    </row>
    <row r="27" spans="1:19" s="451" customFormat="1" ht="17.25" thickTop="1" thickBot="1">
      <c r="A27" s="698" t="s">
        <v>115</v>
      </c>
      <c r="B27" s="806"/>
      <c r="C27" s="699">
        <f ca="1">C22+C16+C26</f>
        <v>129808.49959418958</v>
      </c>
      <c r="D27" s="699">
        <f t="shared" ref="D27:R27" ca="1" si="3">D22+D16+D26</f>
        <v>999.642857142857</v>
      </c>
      <c r="E27" s="699">
        <f t="shared" ca="1" si="3"/>
        <v>236822.32338034053</v>
      </c>
      <c r="F27" s="699">
        <f t="shared" si="3"/>
        <v>12026.42228584001</v>
      </c>
      <c r="G27" s="699">
        <f t="shared" ca="1" si="3"/>
        <v>23915.931374419386</v>
      </c>
      <c r="H27" s="699">
        <f t="shared" si="3"/>
        <v>88722.751019896066</v>
      </c>
      <c r="I27" s="699">
        <f t="shared" si="3"/>
        <v>13241.054933479974</v>
      </c>
      <c r="J27" s="699">
        <f t="shared" si="3"/>
        <v>0</v>
      </c>
      <c r="K27" s="699">
        <f t="shared" si="3"/>
        <v>1626.3463279142909</v>
      </c>
      <c r="L27" s="699">
        <f t="shared" si="3"/>
        <v>0</v>
      </c>
      <c r="M27" s="699">
        <f t="shared" ca="1" si="3"/>
        <v>0</v>
      </c>
      <c r="N27" s="699">
        <f t="shared" si="3"/>
        <v>5914.2333902296059</v>
      </c>
      <c r="O27" s="699">
        <f t="shared" ca="1" si="3"/>
        <v>31772.187468781449</v>
      </c>
      <c r="P27" s="699">
        <f t="shared" si="3"/>
        <v>283.70602537234555</v>
      </c>
      <c r="Q27" s="699">
        <f t="shared" si="3"/>
        <v>337.08669784592075</v>
      </c>
      <c r="R27" s="699">
        <f t="shared" ca="1" si="3"/>
        <v>545470.18535545201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7356.7222290984591</v>
      </c>
      <c r="D40" s="689">
        <f ca="1">tertiair!C20</f>
        <v>237.35109890109894</v>
      </c>
      <c r="E40" s="689">
        <f ca="1">tertiair!D20</f>
        <v>9671.3411986816955</v>
      </c>
      <c r="F40" s="689">
        <f>tertiair!E20</f>
        <v>27.531310591517908</v>
      </c>
      <c r="G40" s="689">
        <f ca="1">tertiair!F20</f>
        <v>1606.6963707137791</v>
      </c>
      <c r="H40" s="689">
        <f>tertiair!G20</f>
        <v>0</v>
      </c>
      <c r="I40" s="689">
        <f>tertiair!H20</f>
        <v>0</v>
      </c>
      <c r="J40" s="689">
        <f>tertiair!I20</f>
        <v>0</v>
      </c>
      <c r="K40" s="689">
        <f>tertiair!J20</f>
        <v>1.9213319376947788E-2</v>
      </c>
      <c r="L40" s="689">
        <f>tertiair!K20</f>
        <v>0</v>
      </c>
      <c r="M40" s="689">
        <f ca="1">tertiair!L20</f>
        <v>0</v>
      </c>
      <c r="N40" s="689">
        <f>tertiair!M20</f>
        <v>0</v>
      </c>
      <c r="O40" s="689">
        <f ca="1">tertiair!N20</f>
        <v>0</v>
      </c>
      <c r="P40" s="689">
        <f>tertiair!O20</f>
        <v>0</v>
      </c>
      <c r="Q40" s="772">
        <f>tertiair!P20</f>
        <v>0</v>
      </c>
      <c r="R40" s="852">
        <f t="shared" ca="1" si="4"/>
        <v>18899.661421305933</v>
      </c>
    </row>
    <row r="41" spans="1:18">
      <c r="A41" s="824" t="s">
        <v>224</v>
      </c>
      <c r="B41" s="831"/>
      <c r="C41" s="689">
        <f ca="1">huishoudens!B12</f>
        <v>7435.8863254987791</v>
      </c>
      <c r="D41" s="689">
        <f ca="1">huishoudens!C12</f>
        <v>0</v>
      </c>
      <c r="E41" s="689">
        <f>huishoudens!D12</f>
        <v>20374.297781901125</v>
      </c>
      <c r="F41" s="689">
        <f>huishoudens!E12</f>
        <v>2640.0771382325997</v>
      </c>
      <c r="G41" s="689">
        <f>huishoudens!F12</f>
        <v>1596.493084095292</v>
      </c>
      <c r="H41" s="689">
        <f>huishoudens!G12</f>
        <v>0</v>
      </c>
      <c r="I41" s="689">
        <f>huishoudens!H12</f>
        <v>0</v>
      </c>
      <c r="J41" s="689">
        <f>huishoudens!I12</f>
        <v>0</v>
      </c>
      <c r="K41" s="689">
        <f>huishoudens!J12</f>
        <v>540.39426685341323</v>
      </c>
      <c r="L41" s="689">
        <f>huishoudens!K12</f>
        <v>0</v>
      </c>
      <c r="M41" s="689">
        <f>huishoudens!L12</f>
        <v>0</v>
      </c>
      <c r="N41" s="689">
        <f>huishoudens!M12</f>
        <v>0</v>
      </c>
      <c r="O41" s="689">
        <f>huishoudens!N12</f>
        <v>0</v>
      </c>
      <c r="P41" s="689">
        <f>huishoudens!O12</f>
        <v>0</v>
      </c>
      <c r="Q41" s="772">
        <f>huishoudens!P12</f>
        <v>0</v>
      </c>
      <c r="R41" s="852">
        <f t="shared" ca="1" si="4"/>
        <v>32587.148596581206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11769.348826205012</v>
      </c>
      <c r="D43" s="689">
        <f ca="1">industrie!C22</f>
        <v>0</v>
      </c>
      <c r="E43" s="689">
        <f>industrie!D22</f>
        <v>17104.987933653734</v>
      </c>
      <c r="F43" s="689">
        <f>industrie!E22</f>
        <v>34.158739000757564</v>
      </c>
      <c r="G43" s="689">
        <f>industrie!F22</f>
        <v>2873.9273427343883</v>
      </c>
      <c r="H43" s="689">
        <f>industrie!G22</f>
        <v>0</v>
      </c>
      <c r="I43" s="689">
        <f>industrie!H22</f>
        <v>0</v>
      </c>
      <c r="J43" s="689">
        <f>industrie!I22</f>
        <v>0</v>
      </c>
      <c r="K43" s="689">
        <f>industrie!J22</f>
        <v>2.2256771866650675</v>
      </c>
      <c r="L43" s="689">
        <f>industrie!K22</f>
        <v>0</v>
      </c>
      <c r="M43" s="689">
        <f>industrie!L22</f>
        <v>0</v>
      </c>
      <c r="N43" s="689">
        <f>industrie!M22</f>
        <v>0</v>
      </c>
      <c r="O43" s="689">
        <f>industrie!N22</f>
        <v>0</v>
      </c>
      <c r="P43" s="689">
        <f>industrie!O22</f>
        <v>0</v>
      </c>
      <c r="Q43" s="772">
        <f>industrie!P22</f>
        <v>0</v>
      </c>
      <c r="R43" s="851">
        <f t="shared" ca="1" si="4"/>
        <v>31784.648518780559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26561.957380802251</v>
      </c>
      <c r="D46" s="725">
        <f t="shared" ref="D46:Q46" ca="1" si="5">SUM(D39:D45)</f>
        <v>237.35109890109894</v>
      </c>
      <c r="E46" s="725">
        <f t="shared" ca="1" si="5"/>
        <v>47150.626914236556</v>
      </c>
      <c r="F46" s="725">
        <f t="shared" si="5"/>
        <v>2701.7671878248752</v>
      </c>
      <c r="G46" s="725">
        <f t="shared" ca="1" si="5"/>
        <v>6077.1167975434601</v>
      </c>
      <c r="H46" s="725">
        <f t="shared" si="5"/>
        <v>0</v>
      </c>
      <c r="I46" s="725">
        <f t="shared" si="5"/>
        <v>0</v>
      </c>
      <c r="J46" s="725">
        <f t="shared" si="5"/>
        <v>0</v>
      </c>
      <c r="K46" s="725">
        <f t="shared" si="5"/>
        <v>542.63915735945523</v>
      </c>
      <c r="L46" s="725">
        <f t="shared" si="5"/>
        <v>0</v>
      </c>
      <c r="M46" s="725">
        <f t="shared" ca="1" si="5"/>
        <v>0</v>
      </c>
      <c r="N46" s="725">
        <f t="shared" si="5"/>
        <v>0</v>
      </c>
      <c r="O46" s="725">
        <f t="shared" ca="1" si="5"/>
        <v>0</v>
      </c>
      <c r="P46" s="725">
        <f t="shared" si="5"/>
        <v>0</v>
      </c>
      <c r="Q46" s="725">
        <f t="shared" si="5"/>
        <v>0</v>
      </c>
      <c r="R46" s="725">
        <f ca="1">SUM(R39:R45)</f>
        <v>83271.458536667691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187.9596919856595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187.9596919856595</v>
      </c>
    </row>
    <row r="50" spans="1:18">
      <c r="A50" s="827" t="s">
        <v>306</v>
      </c>
      <c r="B50" s="837"/>
      <c r="C50" s="695">
        <f ca="1">transport!B18</f>
        <v>10.258134412272621</v>
      </c>
      <c r="D50" s="695">
        <f>transport!C18</f>
        <v>0</v>
      </c>
      <c r="E50" s="695">
        <f>transport!D18</f>
        <v>42.004551426572647</v>
      </c>
      <c r="F50" s="695">
        <f>transport!E18</f>
        <v>25.216441478196952</v>
      </c>
      <c r="G50" s="695">
        <f>transport!F18</f>
        <v>0</v>
      </c>
      <c r="H50" s="695">
        <f>transport!G18</f>
        <v>23501.014830326592</v>
      </c>
      <c r="I50" s="695">
        <f>transport!H18</f>
        <v>3297.0226784365136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26875.516636080149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10.258134412272621</v>
      </c>
      <c r="D52" s="725">
        <f t="shared" ref="D52:Q52" ca="1" si="6">SUM(D48:D51)</f>
        <v>0</v>
      </c>
      <c r="E52" s="725">
        <f t="shared" si="6"/>
        <v>42.004551426572647</v>
      </c>
      <c r="F52" s="725">
        <f t="shared" si="6"/>
        <v>25.216441478196952</v>
      </c>
      <c r="G52" s="725">
        <f t="shared" si="6"/>
        <v>0</v>
      </c>
      <c r="H52" s="725">
        <f t="shared" si="6"/>
        <v>23688.974522312252</v>
      </c>
      <c r="I52" s="725">
        <f t="shared" si="6"/>
        <v>3297.0226784365136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27063.476328065808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73.812077269982467</v>
      </c>
      <c r="D54" s="695">
        <f ca="1">+landbouw!C12</f>
        <v>0</v>
      </c>
      <c r="E54" s="695">
        <f>+landbouw!D12</f>
        <v>23.93381651518823</v>
      </c>
      <c r="F54" s="695">
        <f>+landbouw!E12</f>
        <v>3.0142295826097683</v>
      </c>
      <c r="G54" s="695">
        <f>+landbouw!F12</f>
        <v>308.43687942651803</v>
      </c>
      <c r="H54" s="695">
        <f>+landbouw!G12</f>
        <v>0</v>
      </c>
      <c r="I54" s="695">
        <f>+landbouw!H12</f>
        <v>0</v>
      </c>
      <c r="J54" s="695">
        <f>+landbouw!I12</f>
        <v>0</v>
      </c>
      <c r="K54" s="695">
        <f>+landbouw!J12</f>
        <v>33.087442722203683</v>
      </c>
      <c r="L54" s="695">
        <f>+landbouw!K12</f>
        <v>0</v>
      </c>
      <c r="M54" s="695">
        <f>+landbouw!L12</f>
        <v>0</v>
      </c>
      <c r="N54" s="695">
        <f>+landbouw!M12</f>
        <v>0</v>
      </c>
      <c r="O54" s="695">
        <f>+landbouw!N12</f>
        <v>0</v>
      </c>
      <c r="P54" s="695">
        <f>+landbouw!O12</f>
        <v>0</v>
      </c>
      <c r="Q54" s="696">
        <f>+landbouw!P12</f>
        <v>0</v>
      </c>
      <c r="R54" s="724">
        <f ca="1">SUM(C54:Q54)</f>
        <v>442.28444551650216</v>
      </c>
    </row>
    <row r="55" spans="1:18" ht="15" thickBot="1">
      <c r="A55" s="827" t="s">
        <v>714</v>
      </c>
      <c r="B55" s="837"/>
      <c r="C55" s="695">
        <f ca="1">C25*'EF ele_warmte'!B12</f>
        <v>263.62511801002677</v>
      </c>
      <c r="D55" s="695"/>
      <c r="E55" s="695">
        <f>E25*EF_CO2_aardgas</f>
        <v>621.54404065047288</v>
      </c>
      <c r="F55" s="695"/>
      <c r="G55" s="695"/>
      <c r="H55" s="695"/>
      <c r="I55" s="695"/>
      <c r="J55" s="695"/>
      <c r="K55" s="695"/>
      <c r="L55" s="695"/>
      <c r="M55" s="695"/>
      <c r="N55" s="695"/>
      <c r="O55" s="695"/>
      <c r="P55" s="695"/>
      <c r="Q55" s="696"/>
      <c r="R55" s="724">
        <f ca="1">SUM(C55:Q55)</f>
        <v>885.16915866049965</v>
      </c>
    </row>
    <row r="56" spans="1:18" ht="15.75" thickBot="1">
      <c r="A56" s="825" t="s">
        <v>715</v>
      </c>
      <c r="B56" s="838"/>
      <c r="C56" s="725">
        <f ca="1">SUM(C54:C55)</f>
        <v>337.43719528000923</v>
      </c>
      <c r="D56" s="725">
        <f t="shared" ref="D56:Q56" ca="1" si="7">SUM(D54:D55)</f>
        <v>0</v>
      </c>
      <c r="E56" s="725">
        <f t="shared" si="7"/>
        <v>645.47785716566113</v>
      </c>
      <c r="F56" s="725">
        <f t="shared" si="7"/>
        <v>3.0142295826097683</v>
      </c>
      <c r="G56" s="725">
        <f t="shared" si="7"/>
        <v>308.43687942651803</v>
      </c>
      <c r="H56" s="725">
        <f t="shared" si="7"/>
        <v>0</v>
      </c>
      <c r="I56" s="725">
        <f t="shared" si="7"/>
        <v>0</v>
      </c>
      <c r="J56" s="725">
        <f t="shared" si="7"/>
        <v>0</v>
      </c>
      <c r="K56" s="725">
        <f t="shared" si="7"/>
        <v>33.087442722203683</v>
      </c>
      <c r="L56" s="725">
        <f t="shared" si="7"/>
        <v>0</v>
      </c>
      <c r="M56" s="725">
        <f t="shared" si="7"/>
        <v>0</v>
      </c>
      <c r="N56" s="725">
        <f t="shared" si="7"/>
        <v>0</v>
      </c>
      <c r="O56" s="725">
        <f t="shared" si="7"/>
        <v>0</v>
      </c>
      <c r="P56" s="725">
        <f t="shared" si="7"/>
        <v>0</v>
      </c>
      <c r="Q56" s="726">
        <f t="shared" si="7"/>
        <v>0</v>
      </c>
      <c r="R56" s="727">
        <f ca="1">SUM(R54:R55)</f>
        <v>1327.4536041770018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26909.652710494534</v>
      </c>
      <c r="D61" s="733">
        <f t="shared" ref="D61:Q61" ca="1" si="8">D46+D52+D56</f>
        <v>237.35109890109894</v>
      </c>
      <c r="E61" s="733">
        <f t="shared" ca="1" si="8"/>
        <v>47838.109322828794</v>
      </c>
      <c r="F61" s="733">
        <f t="shared" si="8"/>
        <v>2729.997858885682</v>
      </c>
      <c r="G61" s="733">
        <f t="shared" ca="1" si="8"/>
        <v>6385.5536769699784</v>
      </c>
      <c r="H61" s="733">
        <f t="shared" si="8"/>
        <v>23688.974522312252</v>
      </c>
      <c r="I61" s="733">
        <f t="shared" si="8"/>
        <v>3297.0226784365136</v>
      </c>
      <c r="J61" s="733">
        <f t="shared" si="8"/>
        <v>0</v>
      </c>
      <c r="K61" s="733">
        <f t="shared" si="8"/>
        <v>575.72660008165894</v>
      </c>
      <c r="L61" s="733">
        <f t="shared" si="8"/>
        <v>0</v>
      </c>
      <c r="M61" s="733">
        <f t="shared" ca="1" si="8"/>
        <v>0</v>
      </c>
      <c r="N61" s="733">
        <f t="shared" si="8"/>
        <v>0</v>
      </c>
      <c r="O61" s="733">
        <f t="shared" ca="1" si="8"/>
        <v>0</v>
      </c>
      <c r="P61" s="733">
        <f t="shared" si="8"/>
        <v>0</v>
      </c>
      <c r="Q61" s="733">
        <f t="shared" si="8"/>
        <v>0</v>
      </c>
      <c r="R61" s="733">
        <f ca="1">R46+R52+R56</f>
        <v>111662.3884689105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0.20730270201581663</v>
      </c>
      <c r="D63" s="779">
        <f t="shared" ca="1" si="9"/>
        <v>0.23743589743589752</v>
      </c>
      <c r="E63" s="973">
        <f t="shared" ca="1" si="9"/>
        <v>0.20200000000000004</v>
      </c>
      <c r="F63" s="779">
        <f t="shared" si="9"/>
        <v>0.22699999999999998</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8096.5692995745485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688.49999999999989</v>
      </c>
      <c r="D76" s="956">
        <f>'lokale energieproductie'!C8</f>
        <v>809.2802741812643</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163.47461538461539</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8096.5692995745485</v>
      </c>
      <c r="C78" s="751">
        <f>SUM(C72:C77)</f>
        <v>688.49999999999989</v>
      </c>
      <c r="D78" s="752">
        <f t="shared" ref="D78:H78" si="10">SUM(D76:D77)</f>
        <v>809.2802741812643</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163.47461538461539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999.642857142857</v>
      </c>
      <c r="D87" s="775">
        <f>'lokale energieproductie'!C17</f>
        <v>1175.0054401044501</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237.35109890109894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999.642857142857</v>
      </c>
      <c r="D90" s="751">
        <f t="shared" ref="D90:H90" si="12">SUM(D87:D89)</f>
        <v>1175.0054401044501</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237.35109890109894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8096.5692995745485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688.49999999999989</v>
      </c>
      <c r="C8" s="551">
        <f>B50</f>
        <v>809.2802741812643</v>
      </c>
      <c r="D8" s="552"/>
      <c r="E8" s="552">
        <f>E50</f>
        <v>0</v>
      </c>
      <c r="F8" s="553"/>
      <c r="G8" s="554"/>
      <c r="H8" s="552">
        <f>I50</f>
        <v>0</v>
      </c>
      <c r="I8" s="552">
        <f>G50+F50</f>
        <v>0</v>
      </c>
      <c r="J8" s="552">
        <f>H50+D50+C50</f>
        <v>0</v>
      </c>
      <c r="K8" s="552"/>
      <c r="L8" s="552"/>
      <c r="M8" s="552"/>
      <c r="N8" s="555"/>
      <c r="O8" s="556">
        <f>C8*$C$12+D8*$D$12+E8*$E$12+F8*$F$12+G8*$G$12+H8*$H$12+I8*$I$12+J8*$J$12</f>
        <v>163.47461538461539</v>
      </c>
      <c r="P8" s="1256"/>
      <c r="Q8" s="1257"/>
      <c r="S8" s="546"/>
      <c r="T8" s="1244"/>
      <c r="U8" s="1244"/>
    </row>
    <row r="9" spans="1:21" s="537" customFormat="1" ht="17.45" customHeight="1" thickBot="1">
      <c r="A9" s="557" t="s">
        <v>247</v>
      </c>
      <c r="B9" s="558">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8785.0692995745485</v>
      </c>
      <c r="C10" s="566">
        <f t="shared" ref="C10:L10" si="0">SUM(C8:C9)</f>
        <v>809.2802741812643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163.47461538461539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999.642857142857</v>
      </c>
      <c r="C17" s="582">
        <f>B51</f>
        <v>1175.0054401044501</v>
      </c>
      <c r="D17" s="583"/>
      <c r="E17" s="583">
        <f>E51</f>
        <v>0</v>
      </c>
      <c r="F17" s="584"/>
      <c r="G17" s="585"/>
      <c r="H17" s="582">
        <f>I51</f>
        <v>0</v>
      </c>
      <c r="I17" s="583">
        <f>G51+F51</f>
        <v>0</v>
      </c>
      <c r="J17" s="583">
        <f>H51+D51+C51</f>
        <v>0</v>
      </c>
      <c r="K17" s="583"/>
      <c r="L17" s="583"/>
      <c r="M17" s="583"/>
      <c r="N17" s="970"/>
      <c r="O17" s="586">
        <f>C17*$C$22+E17*$E$22+H17*$H$22+I17*$I$22+J17*$J$22+D17*$D$22+F17*$F$22+G17*$G$22+K17*$K$22+L17*$L$22</f>
        <v>237.35109890109894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999.642857142857</v>
      </c>
      <c r="C20" s="565">
        <f>SUM(C17:C19)</f>
        <v>1175.0054401044501</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237.35109890109894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45041</v>
      </c>
      <c r="C28" s="794">
        <v>9600</v>
      </c>
      <c r="D28" s="643" t="s">
        <v>865</v>
      </c>
      <c r="E28" s="642" t="s">
        <v>866</v>
      </c>
      <c r="F28" s="642" t="s">
        <v>867</v>
      </c>
      <c r="G28" s="642" t="s">
        <v>868</v>
      </c>
      <c r="H28" s="642" t="s">
        <v>868</v>
      </c>
      <c r="I28" s="642" t="s">
        <v>869</v>
      </c>
      <c r="J28" s="793">
        <v>41031</v>
      </c>
      <c r="K28" s="793">
        <v>41091</v>
      </c>
      <c r="L28" s="642" t="s">
        <v>870</v>
      </c>
      <c r="M28" s="642">
        <v>1</v>
      </c>
      <c r="N28" s="642">
        <v>4.5</v>
      </c>
      <c r="O28" s="642">
        <v>22.5</v>
      </c>
      <c r="P28" s="642">
        <v>30</v>
      </c>
      <c r="Q28" s="642">
        <v>0</v>
      </c>
      <c r="R28" s="642">
        <v>0</v>
      </c>
      <c r="S28" s="642">
        <v>0</v>
      </c>
      <c r="T28" s="642">
        <v>0</v>
      </c>
      <c r="U28" s="642">
        <v>0</v>
      </c>
      <c r="V28" s="642">
        <v>0</v>
      </c>
      <c r="W28" s="642">
        <v>0</v>
      </c>
      <c r="X28" s="642">
        <v>1300</v>
      </c>
      <c r="Y28" s="642" t="s">
        <v>53</v>
      </c>
      <c r="Z28" s="644" t="s">
        <v>155</v>
      </c>
    </row>
    <row r="29" spans="1:26" s="596" customFormat="1" ht="38.25">
      <c r="A29" s="595"/>
      <c r="B29" s="794">
        <v>45041</v>
      </c>
      <c r="C29" s="794">
        <v>9600</v>
      </c>
      <c r="D29" s="643" t="s">
        <v>871</v>
      </c>
      <c r="E29" s="642" t="s">
        <v>872</v>
      </c>
      <c r="F29" s="642" t="s">
        <v>873</v>
      </c>
      <c r="G29" s="642" t="s">
        <v>874</v>
      </c>
      <c r="H29" s="642" t="s">
        <v>875</v>
      </c>
      <c r="I29" s="642" t="s">
        <v>876</v>
      </c>
      <c r="J29" s="793">
        <v>41151</v>
      </c>
      <c r="K29" s="793">
        <v>41585</v>
      </c>
      <c r="L29" s="642" t="s">
        <v>870</v>
      </c>
      <c r="M29" s="642">
        <v>142</v>
      </c>
      <c r="N29" s="642">
        <v>638.99999999999989</v>
      </c>
      <c r="O29" s="642">
        <v>912.85714285714266</v>
      </c>
      <c r="P29" s="642">
        <v>1825.7142857142856</v>
      </c>
      <c r="Q29" s="642">
        <v>0</v>
      </c>
      <c r="R29" s="642">
        <v>0</v>
      </c>
      <c r="S29" s="642">
        <v>0</v>
      </c>
      <c r="T29" s="642">
        <v>0</v>
      </c>
      <c r="U29" s="642">
        <v>0</v>
      </c>
      <c r="V29" s="642">
        <v>0</v>
      </c>
      <c r="W29" s="642">
        <v>0</v>
      </c>
      <c r="X29" s="642">
        <v>1300</v>
      </c>
      <c r="Y29" s="642" t="s">
        <v>53</v>
      </c>
      <c r="Z29" s="644" t="s">
        <v>155</v>
      </c>
    </row>
    <row r="30" spans="1:26" s="596" customFormat="1" ht="25.5">
      <c r="A30" s="595"/>
      <c r="B30" s="794">
        <v>45041</v>
      </c>
      <c r="C30" s="794">
        <v>9600</v>
      </c>
      <c r="D30" s="643" t="s">
        <v>877</v>
      </c>
      <c r="E30" s="642"/>
      <c r="F30" s="642" t="s">
        <v>878</v>
      </c>
      <c r="G30" s="642" t="s">
        <v>879</v>
      </c>
      <c r="H30" s="642" t="s">
        <v>875</v>
      </c>
      <c r="I30" s="642" t="s">
        <v>880</v>
      </c>
      <c r="J30" s="793">
        <v>42650</v>
      </c>
      <c r="K30" s="793">
        <v>42677</v>
      </c>
      <c r="L30" s="642" t="s">
        <v>881</v>
      </c>
      <c r="M30" s="642">
        <v>10</v>
      </c>
      <c r="N30" s="642">
        <v>45</v>
      </c>
      <c r="O30" s="642">
        <v>64.285714285714292</v>
      </c>
      <c r="P30" s="642">
        <v>128.57142857142858</v>
      </c>
      <c r="Q30" s="642">
        <v>0</v>
      </c>
      <c r="R30" s="642">
        <v>0</v>
      </c>
      <c r="S30" s="642">
        <v>0</v>
      </c>
      <c r="T30" s="642">
        <v>0</v>
      </c>
      <c r="U30" s="642">
        <v>0</v>
      </c>
      <c r="V30" s="642">
        <v>0</v>
      </c>
      <c r="W30" s="642">
        <v>0</v>
      </c>
      <c r="X30" s="642">
        <v>1100</v>
      </c>
      <c r="Y30" s="642" t="s">
        <v>51</v>
      </c>
      <c r="Z30" s="644" t="s">
        <v>155</v>
      </c>
    </row>
    <row r="31" spans="1:26" s="576" customFormat="1">
      <c r="A31" s="598" t="s">
        <v>279</v>
      </c>
      <c r="B31" s="599"/>
      <c r="C31" s="599"/>
      <c r="D31" s="599"/>
      <c r="E31" s="599"/>
      <c r="F31" s="599"/>
      <c r="G31" s="599"/>
      <c r="H31" s="599"/>
      <c r="I31" s="599"/>
      <c r="J31" s="599"/>
      <c r="K31" s="599"/>
      <c r="L31" s="600"/>
      <c r="M31" s="600">
        <f>SUM(M28:M30)</f>
        <v>153</v>
      </c>
      <c r="N31" s="600">
        <f>SUM(N28:N30)</f>
        <v>688.49999999999989</v>
      </c>
      <c r="O31" s="600">
        <f>SUM(O28:O30)</f>
        <v>999.642857142857</v>
      </c>
      <c r="P31" s="600">
        <f>SUM(P28:P30)</f>
        <v>1984.2857142857142</v>
      </c>
      <c r="Q31" s="600">
        <f>SUM(Q28:Q30)</f>
        <v>0</v>
      </c>
      <c r="R31" s="600">
        <f>SUM(R28:R30)</f>
        <v>0</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0</v>
      </c>
      <c r="N32" s="600">
        <f>SUMIF($Z$28:$Z$30,"industrie",N28:N30)</f>
        <v>0</v>
      </c>
      <c r="O32" s="600">
        <f>SUMIF($Z$28:$Z$30,"industrie",O28:O30)</f>
        <v>0</v>
      </c>
      <c r="P32" s="600">
        <f>SUMIF($Z$28:$Z$30,"industrie",P28:P30)</f>
        <v>0</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153</v>
      </c>
      <c r="N33" s="600">
        <f ca="1">SUMIF($Z$28:AD30,"tertiair",N28:N30)</f>
        <v>688.49999999999989</v>
      </c>
      <c r="O33" s="600">
        <f ca="1">SUMIF($Z$28:AE30,"tertiair",O28:O30)</f>
        <v>999.642857142857</v>
      </c>
      <c r="P33" s="600">
        <f ca="1">SUMIF($Z$28:AF30,"tertiair",P28:P30)</f>
        <v>1984.2857142857142</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0</v>
      </c>
      <c r="N34" s="605">
        <f>SUMIF($Z$28:$Z$30,"landbouw",N28:N30)</f>
        <v>0</v>
      </c>
      <c r="O34" s="605">
        <f>SUMIF($Z$28:$Z$30,"landbouw",O28:O30)</f>
        <v>0</v>
      </c>
      <c r="P34" s="605">
        <f>SUMIF($Z$28:$Z$30,"landbouw",P28:P30)</f>
        <v>0</v>
      </c>
      <c r="Q34" s="605">
        <f>SUMIF($Z$28:$Z$30,"landbouw",Q28:Q30)</f>
        <v>0</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12.75">
      <c r="A37" s="597"/>
      <c r="B37" s="794"/>
      <c r="C37" s="794"/>
      <c r="D37" s="645"/>
      <c r="E37" s="645"/>
      <c r="F37" s="645"/>
      <c r="G37" s="645"/>
      <c r="H37" s="645"/>
      <c r="I37" s="645"/>
      <c r="J37" s="793"/>
      <c r="K37" s="793"/>
      <c r="L37" s="645"/>
      <c r="M37" s="645"/>
      <c r="N37" s="645"/>
      <c r="O37" s="645"/>
      <c r="P37" s="645"/>
      <c r="Q37" s="645"/>
      <c r="R37" s="645"/>
      <c r="S37" s="645"/>
      <c r="T37" s="645"/>
      <c r="U37" s="645"/>
      <c r="V37" s="645"/>
      <c r="W37" s="645"/>
      <c r="X37" s="645"/>
      <c r="Y37" s="645"/>
      <c r="Z37" s="646"/>
    </row>
    <row r="38" spans="1:27" s="576" customFormat="1">
      <c r="A38" s="598" t="s">
        <v>279</v>
      </c>
      <c r="B38" s="599"/>
      <c r="C38" s="599"/>
      <c r="D38" s="599"/>
      <c r="E38" s="599"/>
      <c r="F38" s="599"/>
      <c r="G38" s="599"/>
      <c r="H38" s="599"/>
      <c r="I38" s="599"/>
      <c r="J38" s="599"/>
      <c r="K38" s="599"/>
      <c r="L38" s="600"/>
      <c r="M38" s="600">
        <f>SUM(M37:M37)</f>
        <v>0</v>
      </c>
      <c r="N38" s="600">
        <f>SUM(N37:N37)</f>
        <v>0</v>
      </c>
      <c r="O38" s="600">
        <f>SUM(O37:O37)</f>
        <v>0</v>
      </c>
      <c r="P38" s="600">
        <f>SUM(P37:P37)</f>
        <v>0</v>
      </c>
      <c r="Q38" s="600">
        <f>SUM(Q37:Q37)</f>
        <v>0</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0</v>
      </c>
      <c r="N40" s="600">
        <f>SUMIF($Z$37:$Z$38,"tertiair",N37:N38)</f>
        <v>0</v>
      </c>
      <c r="O40" s="600">
        <f>SUMIF($Z$37:$Z$38,"tertiair",O37:O38)</f>
        <v>0</v>
      </c>
      <c r="P40" s="600">
        <f>SUMIF($Z$37:$Z$38,"tertiair",P37:P38)</f>
        <v>0</v>
      </c>
      <c r="Q40" s="600">
        <f>SUMIF($Z$37:$Z$38,"tertiair",Q37:Q38)</f>
        <v>0</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0.59215536938309221</v>
      </c>
      <c r="C47" s="625">
        <f>IF(ISERROR(N31/(O31+N31)),0,N31/(N31+O31))</f>
        <v>0.40784463061690784</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809.2802741812643</v>
      </c>
      <c r="C50" s="634">
        <f t="shared" si="2"/>
        <v>0</v>
      </c>
      <c r="D50" s="634">
        <f t="shared" si="2"/>
        <v>0</v>
      </c>
      <c r="E50" s="634">
        <f t="shared" si="2"/>
        <v>0</v>
      </c>
      <c r="F50" s="634">
        <f t="shared" si="2"/>
        <v>0</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1175.0054401044501</v>
      </c>
      <c r="C51" s="637">
        <f t="shared" si="3"/>
        <v>0</v>
      </c>
      <c r="D51" s="637">
        <f t="shared" si="3"/>
        <v>0</v>
      </c>
      <c r="E51" s="637">
        <f t="shared" si="3"/>
        <v>0</v>
      </c>
      <c r="F51" s="637">
        <f t="shared" si="3"/>
        <v>0</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35869.702870208806</v>
      </c>
      <c r="C4" s="455">
        <f>huishoudens!C8</f>
        <v>0</v>
      </c>
      <c r="D4" s="455">
        <f>huishoudens!D8</f>
        <v>100862.8603064412</v>
      </c>
      <c r="E4" s="455">
        <f>huishoudens!E8</f>
        <v>11630.295763139206</v>
      </c>
      <c r="F4" s="455">
        <f>huishoudens!F8</f>
        <v>5979.3748467988462</v>
      </c>
      <c r="G4" s="455">
        <f>huishoudens!G8</f>
        <v>0</v>
      </c>
      <c r="H4" s="455">
        <f>huishoudens!H8</f>
        <v>0</v>
      </c>
      <c r="I4" s="455">
        <f>huishoudens!I8</f>
        <v>0</v>
      </c>
      <c r="J4" s="455">
        <f>huishoudens!J8</f>
        <v>1526.5374769870432</v>
      </c>
      <c r="K4" s="455">
        <f>huishoudens!K8</f>
        <v>0</v>
      </c>
      <c r="L4" s="455">
        <f>huishoudens!L8</f>
        <v>0</v>
      </c>
      <c r="M4" s="455">
        <f>huishoudens!M8</f>
        <v>0</v>
      </c>
      <c r="N4" s="455">
        <f>huishoudens!N8</f>
        <v>27348.153088600367</v>
      </c>
      <c r="O4" s="455">
        <f>huishoudens!O8</f>
        <v>283.70602537234555</v>
      </c>
      <c r="P4" s="456">
        <f>huishoudens!P8</f>
        <v>337.08669784592075</v>
      </c>
      <c r="Q4" s="457">
        <f>SUM(B4:P4)</f>
        <v>183837.71707539374</v>
      </c>
    </row>
    <row r="5" spans="1:17">
      <c r="A5" s="454" t="s">
        <v>155</v>
      </c>
      <c r="B5" s="455">
        <f ca="1">tertiair!B16</f>
        <v>33696.333051283989</v>
      </c>
      <c r="C5" s="455">
        <f ca="1">tertiair!C16</f>
        <v>999.642857142857</v>
      </c>
      <c r="D5" s="455">
        <f ca="1">tertiair!D16</f>
        <v>47877.926726147001</v>
      </c>
      <c r="E5" s="455">
        <f>tertiair!E16</f>
        <v>121.28330657056347</v>
      </c>
      <c r="F5" s="455">
        <f ca="1">tertiair!F16</f>
        <v>6017.5894034223929</v>
      </c>
      <c r="G5" s="455">
        <f>tertiair!G16</f>
        <v>0</v>
      </c>
      <c r="H5" s="455">
        <f>tertiair!H16</f>
        <v>0</v>
      </c>
      <c r="I5" s="455">
        <f>tertiair!I16</f>
        <v>0</v>
      </c>
      <c r="J5" s="455">
        <f>tertiair!J16</f>
        <v>5.4274913494202791E-2</v>
      </c>
      <c r="K5" s="455">
        <f>tertiair!K16</f>
        <v>0</v>
      </c>
      <c r="L5" s="455">
        <f ca="1">tertiair!L16</f>
        <v>0</v>
      </c>
      <c r="M5" s="455">
        <f>tertiair!M16</f>
        <v>0</v>
      </c>
      <c r="N5" s="455">
        <f ca="1">tertiair!N16</f>
        <v>2020.928835028164</v>
      </c>
      <c r="O5" s="455">
        <f>tertiair!O16</f>
        <v>0</v>
      </c>
      <c r="P5" s="456">
        <f>tertiair!P16</f>
        <v>0</v>
      </c>
      <c r="Q5" s="454">
        <f t="shared" ref="Q5:Q14" ca="1" si="0">SUM(B5:P5)</f>
        <v>90733.758454508439</v>
      </c>
    </row>
    <row r="6" spans="1:17">
      <c r="A6" s="454" t="s">
        <v>193</v>
      </c>
      <c r="B6" s="455">
        <f>'openbare verlichting'!B8</f>
        <v>1791.4929999999999</v>
      </c>
      <c r="C6" s="455"/>
      <c r="D6" s="455"/>
      <c r="E6" s="455"/>
      <c r="F6" s="455"/>
      <c r="G6" s="455"/>
      <c r="H6" s="455"/>
      <c r="I6" s="455"/>
      <c r="J6" s="455"/>
      <c r="K6" s="455"/>
      <c r="L6" s="455"/>
      <c r="M6" s="455"/>
      <c r="N6" s="455"/>
      <c r="O6" s="455"/>
      <c r="P6" s="456"/>
      <c r="Q6" s="454">
        <f t="shared" si="0"/>
        <v>1791.4929999999999</v>
      </c>
    </row>
    <row r="7" spans="1:17">
      <c r="A7" s="454" t="s">
        <v>111</v>
      </c>
      <c r="B7" s="455">
        <f>landbouw!B8</f>
        <v>356.05940758240001</v>
      </c>
      <c r="C7" s="455">
        <f>landbouw!C8</f>
        <v>0</v>
      </c>
      <c r="D7" s="455">
        <f>landbouw!D8</f>
        <v>118.48424017419914</v>
      </c>
      <c r="E7" s="455">
        <f>landbouw!E8</f>
        <v>13.27854441678312</v>
      </c>
      <c r="F7" s="455">
        <f>landbouw!F8</f>
        <v>1155.1943049682322</v>
      </c>
      <c r="G7" s="455">
        <f>landbouw!G8</f>
        <v>0</v>
      </c>
      <c r="H7" s="455">
        <f>landbouw!H8</f>
        <v>0</v>
      </c>
      <c r="I7" s="455">
        <f>landbouw!I8</f>
        <v>0</v>
      </c>
      <c r="J7" s="455">
        <f>landbouw!J8</f>
        <v>93.467352322609273</v>
      </c>
      <c r="K7" s="455">
        <f>landbouw!K8</f>
        <v>0</v>
      </c>
      <c r="L7" s="455">
        <f>landbouw!L8</f>
        <v>0</v>
      </c>
      <c r="M7" s="455">
        <f>landbouw!M8</f>
        <v>0</v>
      </c>
      <c r="N7" s="455">
        <f>landbouw!N8</f>
        <v>0</v>
      </c>
      <c r="O7" s="455">
        <f>landbouw!O8</f>
        <v>0</v>
      </c>
      <c r="P7" s="456">
        <f>landbouw!P8</f>
        <v>0</v>
      </c>
      <c r="Q7" s="454">
        <f t="shared" si="0"/>
        <v>1736.4838494642238</v>
      </c>
    </row>
    <row r="8" spans="1:17">
      <c r="A8" s="454" t="s">
        <v>626</v>
      </c>
      <c r="B8" s="455">
        <f>industrie!B18</f>
        <v>56773.735758191142</v>
      </c>
      <c r="C8" s="455">
        <f>industrie!C18</f>
        <v>0</v>
      </c>
      <c r="D8" s="455">
        <f>industrie!D18</f>
        <v>84678.15808739471</v>
      </c>
      <c r="E8" s="455">
        <f>industrie!E18</f>
        <v>150.47902643505535</v>
      </c>
      <c r="F8" s="455">
        <f>industrie!F18</f>
        <v>10763.772819229918</v>
      </c>
      <c r="G8" s="455">
        <f>industrie!G18</f>
        <v>0</v>
      </c>
      <c r="H8" s="455">
        <f>industrie!H18</f>
        <v>0</v>
      </c>
      <c r="I8" s="455">
        <f>industrie!I18</f>
        <v>0</v>
      </c>
      <c r="J8" s="455">
        <f>industrie!J18</f>
        <v>6.2872236911442592</v>
      </c>
      <c r="K8" s="455">
        <f>industrie!K18</f>
        <v>0</v>
      </c>
      <c r="L8" s="455">
        <f>industrie!L18</f>
        <v>0</v>
      </c>
      <c r="M8" s="455">
        <f>industrie!M18</f>
        <v>0</v>
      </c>
      <c r="N8" s="455">
        <f>industrie!N18</f>
        <v>2403.1055451529169</v>
      </c>
      <c r="O8" s="455">
        <f>industrie!O18</f>
        <v>0</v>
      </c>
      <c r="P8" s="456">
        <f>industrie!P18</f>
        <v>0</v>
      </c>
      <c r="Q8" s="454">
        <f t="shared" si="0"/>
        <v>154775.53846009489</v>
      </c>
    </row>
    <row r="9" spans="1:17" s="460" customFormat="1">
      <c r="A9" s="458" t="s">
        <v>552</v>
      </c>
      <c r="B9" s="459">
        <f>transport!B14</f>
        <v>49.4838432520284</v>
      </c>
      <c r="C9" s="459">
        <f>transport!C14</f>
        <v>0</v>
      </c>
      <c r="D9" s="459">
        <f>transport!D14</f>
        <v>207.94332389392397</v>
      </c>
      <c r="E9" s="459">
        <f>transport!E14</f>
        <v>111.08564527840066</v>
      </c>
      <c r="F9" s="459">
        <f>transport!F14</f>
        <v>0</v>
      </c>
      <c r="G9" s="459">
        <f>transport!G14</f>
        <v>88018.782136054651</v>
      </c>
      <c r="H9" s="459">
        <f>transport!H14</f>
        <v>13241.054933479974</v>
      </c>
      <c r="I9" s="459">
        <f>transport!I14</f>
        <v>0</v>
      </c>
      <c r="J9" s="459">
        <f>transport!J14</f>
        <v>0</v>
      </c>
      <c r="K9" s="459">
        <f>transport!K14</f>
        <v>0</v>
      </c>
      <c r="L9" s="459">
        <f>transport!L14</f>
        <v>0</v>
      </c>
      <c r="M9" s="459">
        <f>transport!M14</f>
        <v>5876.0320290753962</v>
      </c>
      <c r="N9" s="459">
        <f>transport!N14</f>
        <v>0</v>
      </c>
      <c r="O9" s="459">
        <f>transport!O14</f>
        <v>0</v>
      </c>
      <c r="P9" s="459">
        <f>transport!P14</f>
        <v>0</v>
      </c>
      <c r="Q9" s="458">
        <f>SUM(B9:P9)</f>
        <v>107504.38191103438</v>
      </c>
    </row>
    <row r="10" spans="1:17">
      <c r="A10" s="454" t="s">
        <v>542</v>
      </c>
      <c r="B10" s="455">
        <f>transport!B54</f>
        <v>0</v>
      </c>
      <c r="C10" s="455">
        <f>transport!C54</f>
        <v>0</v>
      </c>
      <c r="D10" s="455">
        <f>transport!D54</f>
        <v>0</v>
      </c>
      <c r="E10" s="455">
        <f>transport!E54</f>
        <v>0</v>
      </c>
      <c r="F10" s="455">
        <f>transport!F54</f>
        <v>0</v>
      </c>
      <c r="G10" s="455">
        <f>transport!G54</f>
        <v>703.9688838414213</v>
      </c>
      <c r="H10" s="455">
        <f>transport!H54</f>
        <v>0</v>
      </c>
      <c r="I10" s="455">
        <f>transport!I54</f>
        <v>0</v>
      </c>
      <c r="J10" s="455">
        <f>transport!J54</f>
        <v>0</v>
      </c>
      <c r="K10" s="455">
        <f>transport!K54</f>
        <v>0</v>
      </c>
      <c r="L10" s="455">
        <f>transport!L54</f>
        <v>0</v>
      </c>
      <c r="M10" s="455">
        <f>transport!M54</f>
        <v>38.20136115420943</v>
      </c>
      <c r="N10" s="455">
        <f>transport!N54</f>
        <v>0</v>
      </c>
      <c r="O10" s="455">
        <f>transport!O54</f>
        <v>0</v>
      </c>
      <c r="P10" s="456">
        <f>transport!P54</f>
        <v>0</v>
      </c>
      <c r="Q10" s="454">
        <f t="shared" si="0"/>
        <v>742.1702449956307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1271.6916636711899</v>
      </c>
      <c r="C14" s="462"/>
      <c r="D14" s="462">
        <f>'SEAP template'!E25</f>
        <v>3076.9506962894698</v>
      </c>
      <c r="E14" s="462"/>
      <c r="F14" s="462"/>
      <c r="G14" s="462"/>
      <c r="H14" s="462"/>
      <c r="I14" s="462"/>
      <c r="J14" s="462"/>
      <c r="K14" s="462"/>
      <c r="L14" s="462"/>
      <c r="M14" s="462"/>
      <c r="N14" s="462"/>
      <c r="O14" s="462"/>
      <c r="P14" s="463"/>
      <c r="Q14" s="454">
        <f t="shared" si="0"/>
        <v>4348.6423599606596</v>
      </c>
    </row>
    <row r="15" spans="1:17" s="466" customFormat="1">
      <c r="A15" s="464" t="s">
        <v>546</v>
      </c>
      <c r="B15" s="465">
        <f ca="1">SUM(B4:B14)</f>
        <v>129808.49959418956</v>
      </c>
      <c r="C15" s="465">
        <f t="shared" ref="C15:Q15" ca="1" si="1">SUM(C4:C14)</f>
        <v>999.642857142857</v>
      </c>
      <c r="D15" s="465">
        <f t="shared" ca="1" si="1"/>
        <v>236822.32338034053</v>
      </c>
      <c r="E15" s="465">
        <f t="shared" si="1"/>
        <v>12026.42228584001</v>
      </c>
      <c r="F15" s="465">
        <f t="shared" ca="1" si="1"/>
        <v>23915.93137441939</v>
      </c>
      <c r="G15" s="465">
        <f t="shared" si="1"/>
        <v>88722.751019896066</v>
      </c>
      <c r="H15" s="465">
        <f t="shared" si="1"/>
        <v>13241.054933479974</v>
      </c>
      <c r="I15" s="465">
        <f t="shared" si="1"/>
        <v>0</v>
      </c>
      <c r="J15" s="465">
        <f t="shared" si="1"/>
        <v>1626.3463279142909</v>
      </c>
      <c r="K15" s="465">
        <f t="shared" si="1"/>
        <v>0</v>
      </c>
      <c r="L15" s="465">
        <f t="shared" ca="1" si="1"/>
        <v>0</v>
      </c>
      <c r="M15" s="465">
        <f t="shared" si="1"/>
        <v>5914.2333902296059</v>
      </c>
      <c r="N15" s="465">
        <f t="shared" ca="1" si="1"/>
        <v>31772.187468781449</v>
      </c>
      <c r="O15" s="465">
        <f t="shared" si="1"/>
        <v>283.70602537234555</v>
      </c>
      <c r="P15" s="465">
        <f t="shared" si="1"/>
        <v>337.08669784592075</v>
      </c>
      <c r="Q15" s="465">
        <f t="shared" ca="1" si="1"/>
        <v>545470.18535545201</v>
      </c>
    </row>
    <row r="17" spans="1:17">
      <c r="A17" s="467" t="s">
        <v>547</v>
      </c>
      <c r="B17" s="784">
        <f ca="1">huishoudens!B10</f>
        <v>0.20730270201581663</v>
      </c>
      <c r="C17" s="784">
        <f ca="1">huishoudens!C10</f>
        <v>0.23743589743589752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7435.8863254987791</v>
      </c>
      <c r="C22" s="455">
        <f t="shared" ref="C22:C32" ca="1" si="3">C4*$C$17</f>
        <v>0</v>
      </c>
      <c r="D22" s="455">
        <f t="shared" ref="D22:D32" si="4">D4*$D$17</f>
        <v>20374.297781901125</v>
      </c>
      <c r="E22" s="455">
        <f t="shared" ref="E22:E32" si="5">E4*$E$17</f>
        <v>2640.0771382325997</v>
      </c>
      <c r="F22" s="455">
        <f t="shared" ref="F22:F32" si="6">F4*$F$17</f>
        <v>1596.493084095292</v>
      </c>
      <c r="G22" s="455">
        <f t="shared" ref="G22:G32" si="7">G4*$G$17</f>
        <v>0</v>
      </c>
      <c r="H22" s="455">
        <f t="shared" ref="H22:H32" si="8">H4*$H$17</f>
        <v>0</v>
      </c>
      <c r="I22" s="455">
        <f t="shared" ref="I22:I32" si="9">I4*$I$17</f>
        <v>0</v>
      </c>
      <c r="J22" s="455">
        <f t="shared" ref="J22:J32" si="10">J4*$J$17</f>
        <v>540.39426685341323</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32587.148596581206</v>
      </c>
    </row>
    <row r="23" spans="1:17">
      <c r="A23" s="454" t="s">
        <v>155</v>
      </c>
      <c r="B23" s="455">
        <f t="shared" ca="1" si="2"/>
        <v>6985.3408895560378</v>
      </c>
      <c r="C23" s="455">
        <f t="shared" ca="1" si="3"/>
        <v>237.35109890109894</v>
      </c>
      <c r="D23" s="455">
        <f t="shared" ca="1" si="4"/>
        <v>9671.3411986816955</v>
      </c>
      <c r="E23" s="455">
        <f t="shared" si="5"/>
        <v>27.531310591517908</v>
      </c>
      <c r="F23" s="455">
        <f t="shared" ca="1" si="6"/>
        <v>1606.6963707137791</v>
      </c>
      <c r="G23" s="455">
        <f t="shared" si="7"/>
        <v>0</v>
      </c>
      <c r="H23" s="455">
        <f t="shared" si="8"/>
        <v>0</v>
      </c>
      <c r="I23" s="455">
        <f t="shared" si="9"/>
        <v>0</v>
      </c>
      <c r="J23" s="455">
        <f t="shared" si="10"/>
        <v>1.9213319376947788E-2</v>
      </c>
      <c r="K23" s="455">
        <f t="shared" si="11"/>
        <v>0</v>
      </c>
      <c r="L23" s="455">
        <f t="shared" ca="1" si="12"/>
        <v>0</v>
      </c>
      <c r="M23" s="455">
        <f t="shared" si="13"/>
        <v>0</v>
      </c>
      <c r="N23" s="455">
        <f t="shared" ca="1" si="14"/>
        <v>0</v>
      </c>
      <c r="O23" s="455">
        <f t="shared" si="15"/>
        <v>0</v>
      </c>
      <c r="P23" s="456">
        <f t="shared" si="16"/>
        <v>0</v>
      </c>
      <c r="Q23" s="454">
        <f t="shared" ref="Q23:Q31" ca="1" si="17">SUM(B23:P23)</f>
        <v>18528.280081763511</v>
      </c>
    </row>
    <row r="24" spans="1:17">
      <c r="A24" s="454" t="s">
        <v>193</v>
      </c>
      <c r="B24" s="455">
        <f t="shared" ca="1" si="2"/>
        <v>371.38133954242136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371.38133954242136</v>
      </c>
    </row>
    <row r="25" spans="1:17">
      <c r="A25" s="454" t="s">
        <v>111</v>
      </c>
      <c r="B25" s="455">
        <f t="shared" ca="1" si="2"/>
        <v>73.812077269982467</v>
      </c>
      <c r="C25" s="455">
        <f t="shared" ca="1" si="3"/>
        <v>0</v>
      </c>
      <c r="D25" s="455">
        <f t="shared" si="4"/>
        <v>23.93381651518823</v>
      </c>
      <c r="E25" s="455">
        <f t="shared" si="5"/>
        <v>3.0142295826097683</v>
      </c>
      <c r="F25" s="455">
        <f t="shared" si="6"/>
        <v>308.43687942651803</v>
      </c>
      <c r="G25" s="455">
        <f t="shared" si="7"/>
        <v>0</v>
      </c>
      <c r="H25" s="455">
        <f t="shared" si="8"/>
        <v>0</v>
      </c>
      <c r="I25" s="455">
        <f t="shared" si="9"/>
        <v>0</v>
      </c>
      <c r="J25" s="455">
        <f t="shared" si="10"/>
        <v>33.087442722203683</v>
      </c>
      <c r="K25" s="455">
        <f t="shared" si="11"/>
        <v>0</v>
      </c>
      <c r="L25" s="455">
        <f t="shared" si="12"/>
        <v>0</v>
      </c>
      <c r="M25" s="455">
        <f t="shared" si="13"/>
        <v>0</v>
      </c>
      <c r="N25" s="455">
        <f t="shared" si="14"/>
        <v>0</v>
      </c>
      <c r="O25" s="455">
        <f t="shared" si="15"/>
        <v>0</v>
      </c>
      <c r="P25" s="456">
        <f t="shared" si="16"/>
        <v>0</v>
      </c>
      <c r="Q25" s="454">
        <f t="shared" ca="1" si="17"/>
        <v>442.28444551650216</v>
      </c>
    </row>
    <row r="26" spans="1:17">
      <c r="A26" s="454" t="s">
        <v>626</v>
      </c>
      <c r="B26" s="455">
        <f t="shared" ca="1" si="2"/>
        <v>11769.348826205012</v>
      </c>
      <c r="C26" s="455">
        <f t="shared" ca="1" si="3"/>
        <v>0</v>
      </c>
      <c r="D26" s="455">
        <f t="shared" si="4"/>
        <v>17104.987933653734</v>
      </c>
      <c r="E26" s="455">
        <f t="shared" si="5"/>
        <v>34.158739000757564</v>
      </c>
      <c r="F26" s="455">
        <f t="shared" si="6"/>
        <v>2873.9273427343883</v>
      </c>
      <c r="G26" s="455">
        <f t="shared" si="7"/>
        <v>0</v>
      </c>
      <c r="H26" s="455">
        <f t="shared" si="8"/>
        <v>0</v>
      </c>
      <c r="I26" s="455">
        <f t="shared" si="9"/>
        <v>0</v>
      </c>
      <c r="J26" s="455">
        <f t="shared" si="10"/>
        <v>2.2256771866650675</v>
      </c>
      <c r="K26" s="455">
        <f t="shared" si="11"/>
        <v>0</v>
      </c>
      <c r="L26" s="455">
        <f t="shared" si="12"/>
        <v>0</v>
      </c>
      <c r="M26" s="455">
        <f t="shared" si="13"/>
        <v>0</v>
      </c>
      <c r="N26" s="455">
        <f t="shared" si="14"/>
        <v>0</v>
      </c>
      <c r="O26" s="455">
        <f t="shared" si="15"/>
        <v>0</v>
      </c>
      <c r="P26" s="456">
        <f t="shared" si="16"/>
        <v>0</v>
      </c>
      <c r="Q26" s="454">
        <f t="shared" ca="1" si="17"/>
        <v>31784.648518780559</v>
      </c>
    </row>
    <row r="27" spans="1:17" s="460" customFormat="1">
      <c r="A27" s="458" t="s">
        <v>552</v>
      </c>
      <c r="B27" s="778">
        <f t="shared" ca="1" si="2"/>
        <v>10.258134412272621</v>
      </c>
      <c r="C27" s="459">
        <f t="shared" ca="1" si="3"/>
        <v>0</v>
      </c>
      <c r="D27" s="459">
        <f t="shared" si="4"/>
        <v>42.004551426572647</v>
      </c>
      <c r="E27" s="459">
        <f t="shared" si="5"/>
        <v>25.216441478196952</v>
      </c>
      <c r="F27" s="459">
        <f t="shared" si="6"/>
        <v>0</v>
      </c>
      <c r="G27" s="459">
        <f t="shared" si="7"/>
        <v>23501.014830326592</v>
      </c>
      <c r="H27" s="459">
        <f t="shared" si="8"/>
        <v>3297.0226784365136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26875.516636080149</v>
      </c>
    </row>
    <row r="28" spans="1:17" ht="16.5" customHeight="1">
      <c r="A28" s="454" t="s">
        <v>542</v>
      </c>
      <c r="B28" s="455">
        <f t="shared" ca="1" si="2"/>
        <v>0</v>
      </c>
      <c r="C28" s="455">
        <f t="shared" ca="1" si="3"/>
        <v>0</v>
      </c>
      <c r="D28" s="455">
        <f t="shared" si="4"/>
        <v>0</v>
      </c>
      <c r="E28" s="455">
        <f t="shared" si="5"/>
        <v>0</v>
      </c>
      <c r="F28" s="455">
        <f t="shared" si="6"/>
        <v>0</v>
      </c>
      <c r="G28" s="455">
        <f t="shared" si="7"/>
        <v>187.9596919856595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187.9596919856595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263.62511801002677</v>
      </c>
      <c r="C32" s="455">
        <f t="shared" ca="1" si="3"/>
        <v>0</v>
      </c>
      <c r="D32" s="455">
        <f t="shared" si="4"/>
        <v>621.54404065047288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885.16915866049965</v>
      </c>
    </row>
    <row r="33" spans="1:17" s="466" customFormat="1">
      <c r="A33" s="464" t="s">
        <v>546</v>
      </c>
      <c r="B33" s="465">
        <f ca="1">SUM(B22:B32)</f>
        <v>26909.652710494531</v>
      </c>
      <c r="C33" s="465">
        <f t="shared" ref="C33:Q33" ca="1" si="19">SUM(C22:C32)</f>
        <v>237.35109890109894</v>
      </c>
      <c r="D33" s="465">
        <f t="shared" ca="1" si="19"/>
        <v>47838.109322828794</v>
      </c>
      <c r="E33" s="465">
        <f t="shared" si="19"/>
        <v>2729.997858885682</v>
      </c>
      <c r="F33" s="465">
        <f t="shared" ca="1" si="19"/>
        <v>6385.5536769699775</v>
      </c>
      <c r="G33" s="465">
        <f t="shared" si="19"/>
        <v>23688.974522312252</v>
      </c>
      <c r="H33" s="465">
        <f t="shared" si="19"/>
        <v>3297.0226784365136</v>
      </c>
      <c r="I33" s="465">
        <f t="shared" si="19"/>
        <v>0</v>
      </c>
      <c r="J33" s="465">
        <f t="shared" si="19"/>
        <v>575.72660008165894</v>
      </c>
      <c r="K33" s="465">
        <f t="shared" si="19"/>
        <v>0</v>
      </c>
      <c r="L33" s="465">
        <f t="shared" ca="1" si="19"/>
        <v>0</v>
      </c>
      <c r="M33" s="465">
        <f t="shared" si="19"/>
        <v>0</v>
      </c>
      <c r="N33" s="465">
        <f t="shared" ca="1" si="19"/>
        <v>0</v>
      </c>
      <c r="O33" s="465">
        <f t="shared" si="19"/>
        <v>0</v>
      </c>
      <c r="P33" s="465">
        <f t="shared" si="19"/>
        <v>0</v>
      </c>
      <c r="Q33" s="465">
        <f t="shared" ca="1" si="19"/>
        <v>111662.3884689105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8096.5692995745485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688.49999999999989</v>
      </c>
      <c r="D8" s="1026">
        <f>'SEAP template'!D76</f>
        <v>809.2802741812643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163.47461538461539</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8096.5692995745485</v>
      </c>
      <c r="C10" s="1028">
        <f>SUM(C4:C9)</f>
        <v>688.49999999999989</v>
      </c>
      <c r="D10" s="1028">
        <f t="shared" ref="D10:H10" si="0">SUM(D8:D9)</f>
        <v>809.2802741812643</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163.47461538461539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0.20730270201581663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999.642857142857</v>
      </c>
      <c r="D17" s="1027">
        <f>'SEAP template'!D87</f>
        <v>1175.0054401044501</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237.35109890109894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999.642857142857</v>
      </c>
      <c r="D20" s="1028">
        <f t="shared" ref="D20:H20" si="2">SUM(D17:D19)</f>
        <v>1175.0054401044501</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237.35109890109894</v>
      </c>
    </row>
    <row r="21" spans="1:16">
      <c r="B21" s="890"/>
    </row>
    <row r="22" spans="1:16">
      <c r="A22" s="467" t="s">
        <v>773</v>
      </c>
      <c r="B22" s="784" t="s">
        <v>771</v>
      </c>
      <c r="C22" s="784">
        <f ca="1">'EF ele_warmte'!B22</f>
        <v>0.23743589743589752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0.20730270201581663</v>
      </c>
      <c r="C17" s="504">
        <f ca="1">'EF ele_warmte'!B22</f>
        <v>0.23743589743589752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3</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4.6900000000000004</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2020-06-20T15:25:19Z</dcterms:modified>
</cp:coreProperties>
</file>