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B15" i="48"/>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<sst xmlns="http://schemas.openxmlformats.org/spreadsheetml/2006/main" count="2366" uniqueCount="865">
  <si>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</si>
  <si>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</si>
  <si>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</si>
  <si>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</si>
  <si>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</si>
  <si>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</si>
  <si>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</si>
  <si>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</si>
  <si>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</si>
  <si>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</si>
  <si>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</si>
  <si>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</si>
  <si>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</si>
  <si>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</si>
  <si>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</si>
  <si>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</si>
  <si>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</si>
  <si>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</si>
  <si>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</si>
  <si>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</si>
  <si>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</si>
  <si>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</si>
  <si>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</si>
  <si>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</si>
  <si>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</si>
  <si>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</si>
  <si>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</si>
  <si>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</si>
  <si>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</si>
  <si>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</si>
  <si>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</si>
  <si>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</si>
  <si>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</si>
  <si>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</si>
  <si>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</si>
  <si>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</si>
  <si>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</si>
  <si>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</si>
  <si>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</si>
  <si>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</si>
  <si>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</si>
  <si>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</si>
  <si>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</si>
  <si>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</si>
  <si>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</si>
  <si>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</si>
  <si>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</si>
  <si>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</si>
  <si>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</si>
  <si>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</si>
  <si>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</si>
  <si>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</si>
  <si>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</si>
  <si>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</si>
  <si>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</si>
  <si>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</si>
  <si>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</si>
  <si>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</si>
  <si>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</si>
  <si>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</si>
  <si>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</si>
  <si>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</si>
  <si>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</si>
  <si>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</si>
  <si>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</si>
  <si>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</si>
  <si>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</si>
  <si>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</si>
  <si>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</si>
  <si>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</si>
  <si>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</si>
  <si>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</si>
  <si>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</si>
  <si>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</si>
  <si>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</si>
  <si>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</si>
  <si>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</si>
  <si>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</si>
  <si>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</si>
  <si>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</si>
  <si>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</si>
  <si>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</si>
  <si>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</si>
  <si>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</si>
  <si>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</si>
  <si>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</si>
  <si>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</si>
  <si>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</si>
  <si>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</si>
  <si>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</si>
  <si>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</si>
  <si>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</si>
  <si>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</si>
  <si>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</si>
  <si>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</si>
  <si>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</si>
  <si>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</si>
  <si>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</si>
  <si>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</si>
  <si>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</si>
  <si>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</si>
  <si>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</si>
  <si>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</si>
  <si>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</si>
  <si>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</si>
  <si>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</si>
  <si>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</si>
  <si>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</si>
  <si>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</si>
  <si>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</si>
  <si>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</si>
  <si>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</si>
  <si>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</si>
  <si>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</si>
  <si>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</si>
  <si>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</si>
  <si>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</si>
  <si>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</si>
  <si>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</si>
  <si>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</si>
  <si>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</si>
  <si>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</si>
  <si>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</si>
  <si>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</si>
  <si>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</si>
  <si>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</si>
  <si>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</si>
  <si>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</si>
  <si>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</si>
  <si>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</si>
  <si>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</si>
  <si>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</si>
  <si>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</si>
  <si>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</si>
  <si>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</si>
  <si>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</si>
  <si>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</si>
  <si>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</si>
  <si>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</si>
  <si>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</si>
  <si>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</si>
  <si>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</si>
  <si>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</si>
  <si>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</si>
  <si>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</si>
  <si>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</si>
  <si>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</si>
  <si>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</si>
  <si>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</si>
  <si>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</si>
  <si>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</si>
  <si>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</si>
  <si>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</si>
  <si>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</si>
  <si>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</si>
  <si>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</si>
  <si>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</si>
  <si>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</si>
  <si>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</si>
  <si>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</si>
  <si>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</si>
  <si>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</si>
  <si>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</si>
  <si>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</si>
  <si>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</si>
  <si>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</si>
  <si>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</si>
  <si>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</si>
  <si>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</si>
  <si>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</si>
  <si>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</si>
  <si>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</si>
  <si>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</si>
  <si>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</si>
  <si>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</si>
  <si>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</si>
  <si>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</si>
  <si>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</si>
  <si>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</si>
  <si>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</si>
  <si>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</si>
  <si>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</si>
  <si>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</si>
  <si>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</si>
  <si>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</si>
  <si>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</si>
  <si>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</si>
  <si>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</si>
  <si>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</si>
  <si>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</si>
  <si>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</si>
  <si>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</si>
  <si>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</si>
  <si>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</si>
  <si>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</si>
  <si>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</si>
  <si>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</si>
  <si>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</si>
  <si>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</si>
  <si>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</si>
  <si>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</si>
  <si>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</si>
  <si>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</si>
  <si>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</si>
  <si>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</si>
  <si>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</si>
  <si>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</si>
  <si>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</si>
  <si>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</si>
  <si>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</si>
  <si>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</si>
  <si>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</si>
  <si>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</si>
  <si>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</si>
  <si>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</si>
  <si>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</si>
  <si>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</si>
  <si>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</si>
  <si>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</si>
  <si>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</si>
  <si>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</si>
  <si>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</si>
  <si>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</si>
  <si>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</si>
  <si>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</si>
  <si>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</si>
  <si>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</si>
  <si>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</si>
  <si>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</si>
  <si>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</si>
  <si>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</si>
  <si>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</si>
  <si>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</si>
  <si>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</si>
  <si>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</si>
  <si>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</si>
  <si>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</si>
  <si>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</si>
  <si>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</si>
  <si>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</si>
  <si>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</si>
  <si>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</si>
  <si>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</si>
  <si>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</si>
  <si>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</si>
  <si>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</si>
  <si>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</si>
  <si>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</si>
  <si>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</si>
  <si>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</si>
  <si>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</si>
  <si>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</si>
  <si>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</si>
  <si>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</si>
  <si>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</si>
  <si>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</si>
  <si>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</si>
  <si>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</si>
  <si>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</si>
  <si>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</si>
  <si>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</si>
  <si>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</si>
  <si>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</si>
  <si>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</si>
  <si>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</si>
  <si>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</si>
  <si>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</si>
  <si>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</si>
  <si>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</si>
  <si>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</si>
  <si>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</si>
  <si>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</si>
  <si>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</si>
  <si>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</si>
  <si>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</si>
  <si>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</si>
  <si>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</si>
  <si>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</si>
  <si>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</si>
  <si>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</si>
  <si>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</si>
  <si>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</si>
  <si>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</si>
  <si>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</si>
  <si>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</si>
  <si>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</si>
  <si>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</si>
  <si>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</si>
  <si>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</si>
  <si>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</si>
  <si>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</si>
  <si>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</si>
  <si>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</si>
  <si>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</si>
  <si>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</si>
  <si>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</si>
  <si>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</si>
  <si>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</si>
  <si>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</si>
  <si>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</si>
  <si>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</si>
  <si>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</si>
  <si>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</si>
  <si>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</si>
  <si>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</si>
  <si>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</si>
  <si>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</si>
  <si>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</si>
  <si>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</si>
  <si>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</si>
  <si>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</si>
  <si>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</si>
  <si>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</si>
  <si>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</si>
  <si>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</si>
  <si>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</si>
  <si>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</si>
  <si>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</si>
  <si>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</si>
  <si>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</si>
  <si>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</si>
  <si>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</si>
  <si>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</si>
  <si>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</si>
  <si>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</si>
  <si>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</si>
  <si>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</si>
  <si>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</si>
  <si>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</si>
  <si>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</si>
  <si>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</si>
  <si>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</si>
  <si>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</si>
  <si>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</si>
  <si>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</si>
  <si>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</si>
  <si>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</si>
  <si>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</si>
  <si>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</si>
  <si>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</si>
  <si>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</si>
  <si>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</si>
  <si>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</si>
  <si>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</si>
  <si>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</si>
  <si>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</si>
  <si>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</si>
  <si>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</si>
  <si>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</si>
  <si>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</si>
  <si>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</si>
  <si>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</si>
  <si>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</si>
  <si>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</si>
  <si>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</si>
  <si>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</si>
  <si>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</si>
  <si>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</si>
  <si>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</si>
  <si>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</si>
  <si>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</si>
  <si>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</si>
  <si>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</si>
  <si>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</si>
  <si>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</si>
  <si>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</si>
  <si>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</si>
  <si>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</si>
  <si>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</si>
  <si>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</si>
  <si>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</si>
  <si>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</si>
  <si>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</si>
  <si>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</si>
  <si>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</si>
  <si>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</si>
  <si>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</si>
  <si>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</si>
  <si>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</si>
  <si>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</si>
  <si>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</si>
  <si>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</si>
  <si>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</si>
  <si>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</si>
  <si>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</si>
  <si>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</si>
  <si>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</si>
  <si>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</si>
  <si>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</si>
  <si>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</si>
  <si>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</si>
  <si>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</si>
  <si>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</si>
  <si>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</si>
  <si>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</si>
  <si>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</si>
  <si>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</si>
  <si>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</si>
  <si>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</si>
  <si>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</si>
  <si>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</si>
  <si>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</si>
  <si>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</si>
  <si>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</si>
  <si>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</si>
  <si>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</si>
  <si>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</si>
  <si>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</si>
  <si>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</si>
  <si>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</si>
  <si>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</si>
  <si>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</si>
  <si>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</si>
  <si>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</si>
  <si>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</si>
  <si>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</si>
  <si>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</si>
  <si>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</si>
  <si>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</si>
  <si>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</si>
  <si>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</si>
  <si>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</si>
  <si>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</si>
  <si>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</si>
  <si>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</si>
  <si>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</si>
  <si>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</si>
  <si>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</si>
  <si>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</si>
  <si>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</si>
  <si>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</si>
  <si>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</si>
  <si>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</si>
  <si>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</si>
  <si>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</si>
  <si>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</si>
  <si>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</si>
  <si>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</si>
  <si>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</si>
  <si>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</si>
  <si>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</si>
  <si>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</si>
  <si>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</si>
  <si>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</si>
  <si>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</si>
  <si>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</si>
  <si>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</si>
  <si>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</si>
  <si>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</si>
  <si>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</si>
  <si>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</si>
  <si>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</si>
  <si>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</si>
  <si>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</si>
  <si>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</si>
  <si>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</si>
  <si>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</si>
  <si>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</si>
  <si>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</si>
  <si>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</si>
  <si>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</si>
  <si>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</si>
  <si>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</si>
  <si>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</si>
  <si>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</si>
  <si>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</si>
  <si>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</si>
  <si>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</si>
  <si>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</si>
  <si>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</si>
  <si>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</si>
  <si>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</si>
  <si>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</si>
  <si>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</si>
  <si>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</si>
  <si>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</si>
  <si>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</si>
  <si>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</si>
  <si>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</si>
  <si>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</si>
  <si>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</si>
  <si>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</si>
  <si>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</si>
  <si>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</si>
  <si>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</si>
  <si>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</si>
  <si>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</si>
  <si>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</si>
  <si>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</si>
  <si>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</si>
  <si>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</si>
  <si>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</si>
  <si>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</si>
  <si>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</si>
  <si>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</si>
  <si>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</si>
  <si>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</si>
  <si>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</si>
  <si>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</si>
  <si>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</si>
  <si>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</si>
  <si>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</si>
  <si>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</si>
  <si>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</si>
  <si>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</si>
  <si>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</si>
  <si>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</si>
  <si>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</si>
  <si>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</si>
  <si>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</si>
  <si>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</si>
  <si>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</si>
  <si>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</si>
  <si>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</si>
  <si>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</si>
  <si>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</si>
  <si>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</si>
  <si>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</si>
  <si>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</si>
  <si>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</si>
  <si>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</si>
  <si>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</si>
  <si>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</si>
  <si>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</si>
  <si>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</si>
  <si>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</si>
  <si>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</si>
  <si>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</si>
  <si>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</si>
  <si>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</si>
  <si>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</si>
  <si>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</si>
  <si>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</si>
  <si>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</si>
  <si>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</si>
  <si>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</si>
  <si>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</si>
  <si>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</si>
  <si>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</si>
  <si>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</si>
  <si>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</si>
  <si>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</si>
  <si>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</si>
  <si>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</si>
  <si>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</si>
  <si>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</si>
  <si>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</si>
  <si>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</si>
  <si>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</si>
  <si>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</si>
  <si>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</si>
  <si>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</si>
  <si>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</si>
  <si>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</si>
  <si>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</si>
  <si>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</si>
  <si>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</si>
  <si>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</si>
  <si>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</si>
  <si>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</si>
  <si>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</si>
  <si>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</si>
  <si>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</si>
  <si>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</si>
  <si>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</si>
  <si>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</si>
  <si>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</si>
  <si>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</si>
  <si>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</si>
  <si>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</si>
  <si>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</si>
  <si>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</si>
  <si>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</si>
  <si>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</si>
  <si>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</si>
  <si>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</si>
  <si>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</si>
  <si>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</si>
  <si>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</si>
  <si>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</si>
  <si>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</si>
  <si>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</si>
  <si>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</si>
  <si>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</si>
  <si>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</si>
  <si>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</si>
  <si>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</si>
  <si>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</si>
  <si>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</si>
  <si>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</si>
  <si>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</si>
  <si>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</si>
  <si>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</si>
  <si>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</si>
  <si>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</si>
  <si>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</si>
  <si>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</si>
  <si>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</si>
  <si>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</si>
  <si>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</si>
  <si>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</si>
  <si>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</si>
  <si>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</si>
  <si>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</si>
  <si>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</si>
  <si>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</si>
  <si>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</si>
  <si>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</si>
  <si>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</si>
  <si>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</si>
  <si>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</si>
  <si>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</si>
  <si>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</si>
  <si>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</si>
  <si>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</si>
  <si>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</si>
  <si>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</si>
  <si>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</si>
  <si>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</si>
  <si>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</si>
  <si>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</si>
  <si>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</si>
  <si>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</si>
  <si>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</si>
  <si>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</si>
  <si>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</si>
  <si>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</si>
  <si>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</si>
  <si>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</si>
  <si>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</si>
  <si>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</si>
  <si>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</si>
  <si>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</si>
  <si>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</si>
  <si>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</si>
  <si>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</si>
  <si>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</si>
  <si>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</si>
  <si>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</si>
  <si>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</si>
  <si>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</si>
  <si>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</si>
  <si>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</si>
  <si>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</si>
  <si>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</si>
  <si>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</si>
  <si>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</si>
  <si>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</si>
  <si>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</si>
  <si>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</si>
  <si>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</si>
  <si>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</si>
  <si>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</si>
  <si>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</si>
  <si>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</si>
  <si>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</si>
  <si>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</si>
  <si>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</si>
  <si>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</si>
  <si>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</si>
  <si>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</si>
  <si>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</si>
  <si>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</si>
  <si>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</si>
  <si>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</si>
  <si>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</si>
  <si>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</si>
  <si>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</si>
  <si>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</si>
  <si>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</si>
  <si>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</si>
  <si>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</si>
  <si>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</si>
  <si>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</si>
  <si>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</si>
  <si>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</si>
  <si>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</si>
  <si>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</si>
  <si>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</si>
  <si>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</si>
  <si>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</si>
  <si>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</si>
  <si>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</si>
  <si>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</si>
  <si>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</si>
  <si>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</si>
  <si>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</si>
  <si>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</si>
  <si>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</si>
  <si>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</si>
  <si>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</si>
  <si>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</si>
  <si>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</si>
  <si>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</si>
  <si>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</si>
  <si>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</si>
  <si>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</si>
  <si>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</si>
  <si>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</si>
  <si>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</si>
  <si>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</si>
  <si>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</si>
  <si>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</si>
  <si>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</si>
  <si>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</si>
  <si>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</si>
  <si>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</si>
  <si>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</si>
  <si>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</si>
  <si>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</si>
  <si>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</si>
  <si>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</si>
  <si>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</si>
  <si>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</si>
  <si>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</si>
  <si>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</si>
  <si>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</si>
  <si>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</si>
  <si>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</si>
  <si>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</si>
  <si>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</si>
  <si>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</si>
  <si>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</si>
  <si>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</si>
  <si>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</si>
  <si>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</si>
  <si>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</si>
  <si>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</si>
  <si>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</si>
  <si>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</si>
  <si>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</si>
  <si>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</si>
  <si>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</si>
  <si>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</si>
  <si>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</si>
  <si>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</si>
  <si>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</si>
  <si>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</si>
  <si>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</si>
  <si>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</si>
  <si>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</si>
  <si>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</si>
  <si>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</si>
  <si>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</si>
  <si>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</si>
  <si>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</si>
  <si>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</si>
  <si>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</si>
  <si>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</si>
  <si>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</si>
  <si>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</si>
  <si>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</si>
  <si>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</si>
  <si>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</si>
  <si>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</si>
  <si>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</si>
  <si>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</si>
  <si>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</si>
  <si>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</si>
  <si>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</si>
  <si>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</si>
  <si>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</si>
  <si>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</si>
  <si>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</si>
  <si>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</si>
  <si>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</si>
  <si>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</si>
  <si>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</si>
  <si>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</si>
  <si>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</si>
  <si>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</si>
  <si>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</si>
  <si>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</si>
  <si>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</si>
  <si>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</si>
  <si>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</si>
  <si>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</si>
  <si>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</si>
  <si>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</si>
  <si>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</si>
  <si>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</si>
  <si>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</si>
  <si>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</si>
  <si>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</si>
  <si>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</si>
  <si>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</si>
  <si>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</si>
  <si>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</si>
  <si>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</si>
  <si>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</si>
  <si>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</si>
  <si>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</si>
  <si>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</si>
  <si>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</si>
  <si>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</si>
  <si>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</si>
  <si>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</si>
  <si>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</si>
  <si>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</si>
  <si>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</si>
  <si>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</si>
  <si>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</si>
  <si>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</si>
  <si>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</si>
  <si>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</si>
  <si>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</si>
  <si>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</si>
  <si>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</si>
  <si>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</si>
  <si>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</si>
  <si>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</si>
  <si>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</si>
  <si>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</si>
  <si>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</si>
  <si>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</si>
  <si>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</si>
  <si>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</si>
  <si>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</si>
  <si>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</si>
  <si>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</si>
  <si>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</si>
  <si>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</si>
  <si>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</si>
  <si>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</si>
  <si>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</si>
  <si>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</si>
  <si>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</si>
  <si>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</si>
  <si>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</si>
  <si>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</si>
  <si>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</si>
  <si>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</si>
  <si>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</si>
  <si>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</si>
  <si>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</si>
  <si>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</si>
  <si>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</si>
  <si>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</si>
  <si>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</si>
  <si>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</si>
  <si>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</si>
  <si>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</si>
  <si>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</si>
  <si>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</si>
  <si>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</si>
  <si>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</si>
  <si>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</si>
  <si>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</si>
  <si>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</si>
  <si>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</si>
  <si>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</si>
  <si>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</si>
  <si>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</si>
  <si>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</si>
  <si>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</si>
  <si>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</si>
  <si>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</si>
  <si>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</si>
  <si>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</si>
  <si>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</si>
  <si>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</si>
  <si>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</si>
  <si>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44052</t>
  </si>
  <si>
    <t>OOSTERZELE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</si>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</sst>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110530.47577849471</c:v>
                </c:pt>
                <c:pt idx="1">
                  <c:v>21328.783235492461</c:v>
                </c:pt>
                <c:pt idx="2">
                  <c:v>1052.4110000000001</c:v>
                </c:pt>
                <c:pt idx="3">
                  <c:v>11833.187052159621</c:v>
                </c:pt>
                <c:pt idx="4">
                  <c:v>12180.267022544132</c:v>
                </c:pt>
                <c:pt idx="5">
                  <c:v>99255.396672807168</c:v>
                </c:pt>
                <c:pt idx="6">
                  <c:v>630.8822292544379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110530.47577849471</c:v>
                </c:pt>
                <c:pt idx="1">
                  <c:v>21328.783235492461</c:v>
                </c:pt>
                <c:pt idx="2">
                  <c:v>1052.4110000000001</c:v>
                </c:pt>
                <c:pt idx="3">
                  <c:v>11833.187052159621</c:v>
                </c:pt>
                <c:pt idx="4">
                  <c:v>12180.267022544132</c:v>
                </c:pt>
                <c:pt idx="5">
                  <c:v>99255.396672807168</c:v>
                </c:pt>
                <c:pt idx="6">
                  <c:v>630.8822292544379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21307.945431862481</c:v>
                </c:pt>
                <c:pt idx="1">
                  <c:v>4226.4236398304947</c:v>
                </c:pt>
                <c:pt idx="2">
                  <c:v>205.28100027676123</c:v>
                </c:pt>
                <c:pt idx="3">
                  <c:v>3010.0172466784811</c:v>
                </c:pt>
                <c:pt idx="4">
                  <c:v>2418.7277569988378</c:v>
                </c:pt>
                <c:pt idx="5">
                  <c:v>24636.142156470458</c:v>
                </c:pt>
                <c:pt idx="6">
                  <c:v>159.77524063981906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21307.945431862481</c:v>
                </c:pt>
                <c:pt idx="1">
                  <c:v>4226.4236398304947</c:v>
                </c:pt>
                <c:pt idx="2">
                  <c:v>205.28100027676123</c:v>
                </c:pt>
                <c:pt idx="3">
                  <c:v>3010.0172466784811</c:v>
                </c:pt>
                <c:pt idx="4">
                  <c:v>2418.7277569988378</c:v>
                </c:pt>
                <c:pt idx="5">
                  <c:v>24636.142156470458</c:v>
                </c:pt>
                <c:pt idx="6">
                  <c:v>159.77524063981906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44052</v>
      </c>
      <c r="B6" s="392"/>
      <c r="C6" s="393"/>
    </row>
    <row r="7" spans="1:7" s="390" customFormat="1" ht="15.75" customHeight="1">
      <c r="A7" s="394" t="str">
        <f>txtMunicipality</f>
        <v>OOSTERZELE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0.1950578246300744</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0.1950578246300744</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5458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2554.9</v>
      </c>
      <c r="C14" s="332"/>
      <c r="D14" s="332"/>
      <c r="E14" s="332"/>
      <c r="F14" s="332"/>
    </row>
    <row r="15" spans="1:6">
      <c r="A15" s="1310" t="s">
        <v>183</v>
      </c>
      <c r="B15" s="1311">
        <v>17</v>
      </c>
      <c r="C15" s="332"/>
      <c r="D15" s="332"/>
      <c r="E15" s="332"/>
      <c r="F15" s="332"/>
    </row>
    <row r="16" spans="1:6">
      <c r="A16" s="1310" t="s">
        <v>6</v>
      </c>
      <c r="B16" s="1311">
        <v>850</v>
      </c>
      <c r="C16" s="332"/>
      <c r="D16" s="332"/>
      <c r="E16" s="332"/>
      <c r="F16" s="332"/>
    </row>
    <row r="17" spans="1:6">
      <c r="A17" s="1310" t="s">
        <v>7</v>
      </c>
      <c r="B17" s="1311">
        <v>643</v>
      </c>
      <c r="C17" s="332"/>
      <c r="D17" s="332"/>
      <c r="E17" s="332"/>
      <c r="F17" s="332"/>
    </row>
    <row r="18" spans="1:6">
      <c r="A18" s="1310" t="s">
        <v>8</v>
      </c>
      <c r="B18" s="1311">
        <v>1005</v>
      </c>
      <c r="C18" s="332"/>
      <c r="D18" s="332"/>
      <c r="E18" s="332"/>
      <c r="F18" s="332"/>
    </row>
    <row r="19" spans="1:6">
      <c r="A19" s="1310" t="s">
        <v>9</v>
      </c>
      <c r="B19" s="1311">
        <v>1258</v>
      </c>
      <c r="C19" s="332"/>
      <c r="D19" s="332"/>
      <c r="E19" s="332"/>
      <c r="F19" s="332"/>
    </row>
    <row r="20" spans="1:6">
      <c r="A20" s="1310" t="s">
        <v>10</v>
      </c>
      <c r="B20" s="1311">
        <v>763</v>
      </c>
      <c r="C20" s="332"/>
      <c r="D20" s="332"/>
      <c r="E20" s="332"/>
      <c r="F20" s="332"/>
    </row>
    <row r="21" spans="1:6">
      <c r="A21" s="1310" t="s">
        <v>11</v>
      </c>
      <c r="B21" s="1311">
        <v>1030</v>
      </c>
      <c r="C21" s="332"/>
      <c r="D21" s="332"/>
      <c r="E21" s="332"/>
      <c r="F21" s="332"/>
    </row>
    <row r="22" spans="1:6">
      <c r="A22" s="1310" t="s">
        <v>12</v>
      </c>
      <c r="B22" s="1311">
        <v>7126</v>
      </c>
      <c r="C22" s="332"/>
      <c r="D22" s="332"/>
      <c r="E22" s="332"/>
      <c r="F22" s="332"/>
    </row>
    <row r="23" spans="1:6">
      <c r="A23" s="1310" t="s">
        <v>13</v>
      </c>
      <c r="B23" s="1311">
        <v>35</v>
      </c>
      <c r="C23" s="332"/>
      <c r="D23" s="332"/>
      <c r="E23" s="332"/>
      <c r="F23" s="332"/>
    </row>
    <row r="24" spans="1:6">
      <c r="A24" s="1310" t="s">
        <v>14</v>
      </c>
      <c r="B24" s="1311">
        <v>1</v>
      </c>
      <c r="C24" s="332"/>
      <c r="D24" s="332"/>
      <c r="E24" s="332"/>
      <c r="F24" s="332"/>
    </row>
    <row r="25" spans="1:6">
      <c r="A25" s="1310" t="s">
        <v>15</v>
      </c>
      <c r="B25" s="1311">
        <v>243</v>
      </c>
      <c r="C25" s="332"/>
      <c r="D25" s="332"/>
      <c r="E25" s="332"/>
      <c r="F25" s="332"/>
    </row>
    <row r="26" spans="1:6">
      <c r="A26" s="1310" t="s">
        <v>16</v>
      </c>
      <c r="B26" s="1311">
        <v>300</v>
      </c>
      <c r="C26" s="332"/>
      <c r="D26" s="332"/>
      <c r="E26" s="332"/>
      <c r="F26" s="332"/>
    </row>
    <row r="27" spans="1:6">
      <c r="A27" s="1310" t="s">
        <v>17</v>
      </c>
      <c r="B27" s="1311">
        <v>275</v>
      </c>
      <c r="C27" s="332"/>
      <c r="D27" s="332"/>
      <c r="E27" s="332"/>
      <c r="F27" s="332"/>
    </row>
    <row r="28" spans="1:6" s="43" customFormat="1">
      <c r="A28" s="1312" t="s">
        <v>18</v>
      </c>
      <c r="B28" s="1313">
        <v>15753</v>
      </c>
      <c r="C28" s="338"/>
      <c r="D28" s="338"/>
      <c r="E28" s="338"/>
      <c r="F28" s="338"/>
    </row>
    <row r="29" spans="1:6">
      <c r="A29" s="1312" t="s">
        <v>699</v>
      </c>
      <c r="B29" s="1313">
        <v>257</v>
      </c>
      <c r="C29" s="338"/>
      <c r="D29" s="338"/>
      <c r="E29" s="338"/>
      <c r="F29" s="338"/>
    </row>
    <row r="30" spans="1:6">
      <c r="A30" s="1305" t="s">
        <v>700</v>
      </c>
      <c r="B30" s="1314">
        <v>42</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2067</v>
      </c>
    </row>
    <row r="39" spans="1:6">
      <c r="A39" s="1310" t="s">
        <v>29</v>
      </c>
      <c r="B39" s="1310" t="s">
        <v>30</v>
      </c>
      <c r="C39" s="1311">
        <v>2656</v>
      </c>
      <c r="D39" s="1311">
        <v>42676616.973339997</v>
      </c>
      <c r="E39" s="1311">
        <v>5169</v>
      </c>
      <c r="F39" s="1311">
        <v>22465492.394553799</v>
      </c>
    </row>
    <row r="40" spans="1:6">
      <c r="A40" s="1310" t="s">
        <v>29</v>
      </c>
      <c r="B40" s="1310" t="s">
        <v>28</v>
      </c>
      <c r="C40" s="1311">
        <v>1</v>
      </c>
      <c r="D40" s="1311">
        <v>30526.518294736401</v>
      </c>
      <c r="E40" s="1311">
        <v>1</v>
      </c>
      <c r="F40" s="1311">
        <v>11706.9027208844</v>
      </c>
    </row>
    <row r="41" spans="1:6">
      <c r="A41" s="1310" t="s">
        <v>31</v>
      </c>
      <c r="B41" s="1310" t="s">
        <v>32</v>
      </c>
      <c r="C41" s="1311">
        <v>53</v>
      </c>
      <c r="D41" s="1311">
        <v>1280517.0839082401</v>
      </c>
      <c r="E41" s="1311">
        <v>174</v>
      </c>
      <c r="F41" s="1311">
        <v>1258168.4892559799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4</v>
      </c>
      <c r="D44" s="1311">
        <v>597708.16337861202</v>
      </c>
      <c r="E44" s="1311">
        <v>16</v>
      </c>
      <c r="F44" s="1311">
        <v>667435.86483496299</v>
      </c>
    </row>
    <row r="45" spans="1:6">
      <c r="A45" s="1310" t="s">
        <v>31</v>
      </c>
      <c r="B45" s="1310" t="s">
        <v>36</v>
      </c>
      <c r="C45" s="1311">
        <v>0</v>
      </c>
      <c r="D45" s="1311">
        <v>0</v>
      </c>
      <c r="E45" s="1311">
        <v>5</v>
      </c>
      <c r="F45" s="1311">
        <v>764890.02907601104</v>
      </c>
    </row>
    <row r="46" spans="1:6">
      <c r="A46" s="1310" t="s">
        <v>31</v>
      </c>
      <c r="B46" s="1310" t="s">
        <v>37</v>
      </c>
      <c r="C46" s="1311">
        <v>0</v>
      </c>
      <c r="D46" s="1311">
        <v>0</v>
      </c>
      <c r="E46" s="1311">
        <v>0</v>
      </c>
      <c r="F46" s="1311">
        <v>0</v>
      </c>
    </row>
    <row r="47" spans="1:6">
      <c r="A47" s="1310" t="s">
        <v>31</v>
      </c>
      <c r="B47" s="1310" t="s">
        <v>38</v>
      </c>
      <c r="C47" s="1311">
        <v>0</v>
      </c>
      <c r="D47" s="1311">
        <v>0</v>
      </c>
      <c r="E47" s="1311">
        <v>3</v>
      </c>
      <c r="F47" s="1311">
        <v>21957.3809572809</v>
      </c>
    </row>
    <row r="48" spans="1:6">
      <c r="A48" s="1310" t="s">
        <v>31</v>
      </c>
      <c r="B48" s="1310" t="s">
        <v>28</v>
      </c>
      <c r="C48" s="1311">
        <v>4</v>
      </c>
      <c r="D48" s="1311">
        <v>137435.27978908701</v>
      </c>
      <c r="E48" s="1311">
        <v>0</v>
      </c>
      <c r="F48" s="1311">
        <v>0</v>
      </c>
    </row>
    <row r="49" spans="1:6">
      <c r="A49" s="1310" t="s">
        <v>31</v>
      </c>
      <c r="B49" s="1310" t="s">
        <v>39</v>
      </c>
      <c r="C49" s="1311">
        <v>0</v>
      </c>
      <c r="D49" s="1311">
        <v>0</v>
      </c>
      <c r="E49" s="1311">
        <v>3</v>
      </c>
      <c r="F49" s="1311">
        <v>29174.907843253099</v>
      </c>
    </row>
    <row r="50" spans="1:6">
      <c r="A50" s="1310" t="s">
        <v>31</v>
      </c>
      <c r="B50" s="1310" t="s">
        <v>40</v>
      </c>
      <c r="C50" s="1311">
        <v>4</v>
      </c>
      <c r="D50" s="1311">
        <v>3577873.2894931701</v>
      </c>
      <c r="E50" s="1311">
        <v>13</v>
      </c>
      <c r="F50" s="1311">
        <v>3180125.52915315</v>
      </c>
    </row>
    <row r="51" spans="1:6">
      <c r="A51" s="1310" t="s">
        <v>41</v>
      </c>
      <c r="B51" s="1310" t="s">
        <v>42</v>
      </c>
      <c r="C51" s="1311">
        <v>15</v>
      </c>
      <c r="D51" s="1311">
        <v>363693.43822043302</v>
      </c>
      <c r="E51" s="1311">
        <v>108</v>
      </c>
      <c r="F51" s="1311">
        <v>2531757.2609623601</v>
      </c>
    </row>
    <row r="52" spans="1:6">
      <c r="A52" s="1310" t="s">
        <v>41</v>
      </c>
      <c r="B52" s="1310" t="s">
        <v>28</v>
      </c>
      <c r="C52" s="1311">
        <v>0</v>
      </c>
      <c r="D52" s="1311">
        <v>0</v>
      </c>
      <c r="E52" s="1311">
        <v>0</v>
      </c>
      <c r="F52" s="1311">
        <v>0</v>
      </c>
    </row>
    <row r="53" spans="1:6">
      <c r="A53" s="1310" t="s">
        <v>43</v>
      </c>
      <c r="B53" s="1310" t="s">
        <v>44</v>
      </c>
      <c r="C53" s="1311">
        <v>57</v>
      </c>
      <c r="D53" s="1311">
        <v>1113075.4549382001</v>
      </c>
      <c r="E53" s="1311">
        <v>195</v>
      </c>
      <c r="F53" s="1311">
        <v>679506.45610064699</v>
      </c>
    </row>
    <row r="54" spans="1:6">
      <c r="A54" s="1310" t="s">
        <v>45</v>
      </c>
      <c r="B54" s="1310" t="s">
        <v>46</v>
      </c>
      <c r="C54" s="1311">
        <v>0</v>
      </c>
      <c r="D54" s="1311">
        <v>0</v>
      </c>
      <c r="E54" s="1311">
        <v>2</v>
      </c>
      <c r="F54" s="1311">
        <v>1052411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33</v>
      </c>
      <c r="D57" s="1311">
        <v>1058211.5852458</v>
      </c>
      <c r="E57" s="1311">
        <v>74</v>
      </c>
      <c r="F57" s="1311">
        <v>1029500.61726938</v>
      </c>
    </row>
    <row r="58" spans="1:6">
      <c r="A58" s="1310" t="s">
        <v>48</v>
      </c>
      <c r="B58" s="1310" t="s">
        <v>50</v>
      </c>
      <c r="C58" s="1311">
        <v>21</v>
      </c>
      <c r="D58" s="1311">
        <v>2193324.86506759</v>
      </c>
      <c r="E58" s="1311">
        <v>45</v>
      </c>
      <c r="F58" s="1311">
        <v>957145.11433735106</v>
      </c>
    </row>
    <row r="59" spans="1:6">
      <c r="A59" s="1310" t="s">
        <v>48</v>
      </c>
      <c r="B59" s="1310" t="s">
        <v>51</v>
      </c>
      <c r="C59" s="1311">
        <v>51</v>
      </c>
      <c r="D59" s="1311">
        <v>1755177.1980769001</v>
      </c>
      <c r="E59" s="1311">
        <v>140</v>
      </c>
      <c r="F59" s="1311">
        <v>3025648.7591724698</v>
      </c>
    </row>
    <row r="60" spans="1:6">
      <c r="A60" s="1310" t="s">
        <v>48</v>
      </c>
      <c r="B60" s="1310" t="s">
        <v>52</v>
      </c>
      <c r="C60" s="1311">
        <v>28</v>
      </c>
      <c r="D60" s="1311">
        <v>2401483.8737516599</v>
      </c>
      <c r="E60" s="1311">
        <v>52</v>
      </c>
      <c r="F60" s="1311">
        <v>1463098.1618095699</v>
      </c>
    </row>
    <row r="61" spans="1:6">
      <c r="A61" s="1310" t="s">
        <v>48</v>
      </c>
      <c r="B61" s="1310" t="s">
        <v>53</v>
      </c>
      <c r="C61" s="1311">
        <v>118</v>
      </c>
      <c r="D61" s="1311">
        <v>3659973.7742608399</v>
      </c>
      <c r="E61" s="1311">
        <v>279</v>
      </c>
      <c r="F61" s="1311">
        <v>2469467.6823310098</v>
      </c>
    </row>
    <row r="62" spans="1:6">
      <c r="A62" s="1310" t="s">
        <v>48</v>
      </c>
      <c r="B62" s="1310" t="s">
        <v>54</v>
      </c>
      <c r="C62" s="1311">
        <v>6</v>
      </c>
      <c r="D62" s="1311">
        <v>264358.92288430902</v>
      </c>
      <c r="E62" s="1311">
        <v>19</v>
      </c>
      <c r="F62" s="1311">
        <v>199733.10366095</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7</v>
      </c>
      <c r="F66" s="1311">
        <v>116410.52529108</v>
      </c>
    </row>
    <row r="67" spans="1:6">
      <c r="A67" s="1312" t="s">
        <v>55</v>
      </c>
      <c r="B67" s="1312" t="s">
        <v>58</v>
      </c>
      <c r="C67" s="1311">
        <v>0</v>
      </c>
      <c r="D67" s="1311">
        <v>0</v>
      </c>
      <c r="E67" s="1311">
        <v>0</v>
      </c>
      <c r="F67" s="1311">
        <v>0</v>
      </c>
    </row>
    <row r="68" spans="1:6">
      <c r="A68" s="1305" t="s">
        <v>55</v>
      </c>
      <c r="B68" s="1305" t="s">
        <v>59</v>
      </c>
      <c r="C68" s="1314">
        <v>4</v>
      </c>
      <c r="D68" s="1314">
        <v>68855.739588876604</v>
      </c>
      <c r="E68" s="1314">
        <v>6</v>
      </c>
      <c r="F68" s="1314">
        <v>52532.962721845397</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76713340</v>
      </c>
      <c r="E73" s="453"/>
      <c r="F73" s="332"/>
    </row>
    <row r="74" spans="1:6">
      <c r="A74" s="1310" t="s">
        <v>63</v>
      </c>
      <c r="B74" s="1310" t="s">
        <v>648</v>
      </c>
      <c r="C74" s="1324" t="s">
        <v>650</v>
      </c>
      <c r="D74" s="1325">
        <v>7098136.2960430067</v>
      </c>
      <c r="E74" s="453"/>
      <c r="F74" s="332"/>
    </row>
    <row r="75" spans="1:6">
      <c r="A75" s="1310" t="s">
        <v>64</v>
      </c>
      <c r="B75" s="1310" t="s">
        <v>647</v>
      </c>
      <c r="C75" s="1324" t="s">
        <v>651</v>
      </c>
      <c r="D75" s="1325">
        <v>30979249</v>
      </c>
      <c r="E75" s="453"/>
      <c r="F75" s="332"/>
    </row>
    <row r="76" spans="1:6">
      <c r="A76" s="1310" t="s">
        <v>64</v>
      </c>
      <c r="B76" s="1310" t="s">
        <v>648</v>
      </c>
      <c r="C76" s="1324" t="s">
        <v>652</v>
      </c>
      <c r="D76" s="1325">
        <v>1088595.2960430065</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174991.407913987</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5000.2049772851105</v>
      </c>
      <c r="C91" s="332"/>
      <c r="D91" s="332"/>
      <c r="E91" s="332"/>
      <c r="F91" s="332"/>
    </row>
    <row r="92" spans="1:6">
      <c r="A92" s="1305" t="s">
        <v>68</v>
      </c>
      <c r="B92" s="1306">
        <v>502.84322920422318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652</v>
      </c>
      <c r="C97" s="332"/>
      <c r="D97" s="332"/>
      <c r="E97" s="332"/>
      <c r="F97" s="332"/>
    </row>
    <row r="98" spans="1:6">
      <c r="A98" s="1310" t="s">
        <v>71</v>
      </c>
      <c r="B98" s="1311">
        <v>0</v>
      </c>
      <c r="C98" s="332"/>
      <c r="D98" s="332"/>
      <c r="E98" s="332"/>
      <c r="F98" s="332"/>
    </row>
    <row r="99" spans="1:6">
      <c r="A99" s="1310" t="s">
        <v>72</v>
      </c>
      <c r="B99" s="1311">
        <v>126</v>
      </c>
      <c r="C99" s="332"/>
      <c r="D99" s="332"/>
      <c r="E99" s="332"/>
      <c r="F99" s="332"/>
    </row>
    <row r="100" spans="1:6">
      <c r="A100" s="1310" t="s">
        <v>73</v>
      </c>
      <c r="B100" s="1311">
        <v>687</v>
      </c>
      <c r="C100" s="332"/>
      <c r="D100" s="332"/>
      <c r="E100" s="332"/>
      <c r="F100" s="332"/>
    </row>
    <row r="101" spans="1:6">
      <c r="A101" s="1310" t="s">
        <v>74</v>
      </c>
      <c r="B101" s="1311">
        <v>108</v>
      </c>
      <c r="C101" s="332"/>
      <c r="D101" s="332"/>
      <c r="E101" s="332"/>
      <c r="F101" s="332"/>
    </row>
    <row r="102" spans="1:6">
      <c r="A102" s="1310" t="s">
        <v>75</v>
      </c>
      <c r="B102" s="1311">
        <v>99</v>
      </c>
      <c r="C102" s="332"/>
      <c r="D102" s="332"/>
      <c r="E102" s="332"/>
      <c r="F102" s="332"/>
    </row>
    <row r="103" spans="1:6">
      <c r="A103" s="1310" t="s">
        <v>76</v>
      </c>
      <c r="B103" s="1311">
        <v>350</v>
      </c>
      <c r="C103" s="332"/>
      <c r="D103" s="332"/>
      <c r="E103" s="332"/>
      <c r="F103" s="332"/>
    </row>
    <row r="104" spans="1:6">
      <c r="A104" s="1310" t="s">
        <v>77</v>
      </c>
      <c r="B104" s="1311">
        <v>2839</v>
      </c>
      <c r="C104" s="332"/>
      <c r="D104" s="332"/>
      <c r="E104" s="332"/>
      <c r="F104" s="332"/>
    </row>
    <row r="105" spans="1:6">
      <c r="A105" s="1305" t="s">
        <v>78</v>
      </c>
      <c r="B105" s="1314">
        <v>9</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58</v>
      </c>
      <c r="C123" s="1311">
        <v>37</v>
      </c>
      <c r="D123" s="332"/>
      <c r="E123" s="332"/>
      <c r="F123" s="332"/>
    </row>
    <row r="124" spans="1:6" s="43" customFormat="1">
      <c r="A124" s="1312" t="s">
        <v>88</v>
      </c>
      <c r="B124" s="1333">
        <v>2</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185</v>
      </c>
      <c r="C129" s="332"/>
      <c r="D129" s="332"/>
      <c r="E129" s="332"/>
      <c r="F129" s="332"/>
    </row>
    <row r="130" spans="1:6">
      <c r="A130" s="1310" t="s">
        <v>294</v>
      </c>
      <c r="B130" s="1311">
        <v>1</v>
      </c>
      <c r="C130" s="332"/>
      <c r="D130" s="332"/>
      <c r="E130" s="332"/>
      <c r="F130" s="332"/>
    </row>
    <row r="131" spans="1:6">
      <c r="A131" s="1310" t="s">
        <v>295</v>
      </c>
      <c r="B131" s="1311">
        <v>3</v>
      </c>
      <c r="C131" s="332"/>
      <c r="D131" s="332"/>
      <c r="E131" s="332"/>
      <c r="F131" s="332"/>
    </row>
    <row r="132" spans="1:6">
      <c r="A132" s="1305" t="s">
        <v>296</v>
      </c>
      <c r="B132" s="1306">
        <v>47</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46880.172394641821</v>
      </c>
      <c r="C3" s="43" t="s">
        <v>169</v>
      </c>
      <c r="D3" s="43"/>
      <c r="E3" s="154"/>
      <c r="F3" s="43"/>
      <c r="G3" s="43"/>
      <c r="H3" s="43"/>
      <c r="I3" s="43"/>
      <c r="J3" s="43"/>
      <c r="K3" s="96"/>
    </row>
    <row r="4" spans="1:11">
      <c r="A4" s="360" t="s">
        <v>170</v>
      </c>
      <c r="B4" s="49">
        <f>IF(ISERROR('SEAP template'!B78+'SEAP template'!C78),0,'SEAP template'!B78+'SEAP template'!C78)</f>
        <v>5503.048206489334</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0.1950578246300744</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1052.4110000000001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1052.4110000000001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0.1950578246300744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205.28100027676123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22477.199297274681</v>
      </c>
      <c r="C5" s="17">
        <f>IF(ISERROR('Eigen informatie GS &amp; warmtenet'!B59),0,'Eigen informatie GS &amp; warmtenet'!B59)</f>
        <v>0</v>
      </c>
      <c r="D5" s="30">
        <f>(SUM(HH_hh_gas_kWh,HH_rest_gas_kWh)/1000)*0.903</f>
        <v>38564.550572946166</v>
      </c>
      <c r="E5" s="17">
        <f>B46*B57</f>
        <v>7428.7972988497868</v>
      </c>
      <c r="F5" s="17">
        <f>B51*B62</f>
        <v>21455.647863383321</v>
      </c>
      <c r="G5" s="18"/>
      <c r="H5" s="17"/>
      <c r="I5" s="17"/>
      <c r="J5" s="17">
        <f>B50*B61+C50*C61</f>
        <v>2099.5156652213705</v>
      </c>
      <c r="K5" s="17"/>
      <c r="L5" s="17"/>
      <c r="M5" s="17"/>
      <c r="N5" s="17">
        <f>B48*B59+C48*C59</f>
        <v>11935.003774688661</v>
      </c>
      <c r="O5" s="17">
        <f>B69*B70*B71</f>
        <v>442.42268292330812</v>
      </c>
      <c r="P5" s="17">
        <f>B77*B78*B79/1000-B77*B78*B79/1000/B80</f>
        <v>1127.1336459222975</v>
      </c>
    </row>
    <row r="6" spans="1:16">
      <c r="A6" s="16" t="s">
        <v>612</v>
      </c>
      <c r="B6" s="786">
        <f>kWh_PV_kleiner_dan_10kW</f>
        <v>5000.2049772851105</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27477.404274559791</v>
      </c>
      <c r="C8" s="21">
        <f>C5</f>
        <v>0</v>
      </c>
      <c r="D8" s="21">
        <f>D5</f>
        <v>38564.550572946166</v>
      </c>
      <c r="E8" s="21">
        <f>E5</f>
        <v>7428.7972988497868</v>
      </c>
      <c r="F8" s="21">
        <f>F5</f>
        <v>21455.647863383321</v>
      </c>
      <c r="G8" s="21"/>
      <c r="H8" s="21"/>
      <c r="I8" s="21"/>
      <c r="J8" s="21">
        <f>J5</f>
        <v>2099.5156652213705</v>
      </c>
      <c r="K8" s="21"/>
      <c r="L8" s="21">
        <f>L5</f>
        <v>0</v>
      </c>
      <c r="M8" s="21">
        <f>M5</f>
        <v>0</v>
      </c>
      <c r="N8" s="21">
        <f>N5</f>
        <v>11935.003774688661</v>
      </c>
      <c r="O8" s="21">
        <f>O5</f>
        <v>442.42268292330812</v>
      </c>
      <c r="P8" s="21">
        <f>P5</f>
        <v>1127.1336459222975</v>
      </c>
    </row>
    <row r="9" spans="1:16">
      <c r="B9" s="19"/>
      <c r="C9" s="19"/>
      <c r="D9" s="258"/>
      <c r="E9" s="19"/>
      <c r="F9" s="19"/>
      <c r="G9" s="19"/>
      <c r="H9" s="19"/>
      <c r="I9" s="19"/>
      <c r="J9" s="19"/>
      <c r="K9" s="19"/>
      <c r="L9" s="19"/>
      <c r="M9" s="19"/>
      <c r="N9" s="19"/>
      <c r="O9" s="19"/>
      <c r="P9" s="19"/>
    </row>
    <row r="10" spans="1:16">
      <c r="A10" s="24" t="s">
        <v>213</v>
      </c>
      <c r="B10" s="25">
        <f ca="1">'EF ele_warmte'!B12</f>
        <v>0.1950578246300744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5359.68270427674</v>
      </c>
      <c r="C12" s="23">
        <f ca="1">C10*C8</f>
        <v>0</v>
      </c>
      <c r="D12" s="23">
        <f>D8*D10</f>
        <v>7790.0392157351262</v>
      </c>
      <c r="E12" s="23">
        <f>E10*E8</f>
        <v>1686.3369868389016</v>
      </c>
      <c r="F12" s="23">
        <f>F10*F8</f>
        <v>5728.6579795233474</v>
      </c>
      <c r="G12" s="23"/>
      <c r="H12" s="23"/>
      <c r="I12" s="23"/>
      <c r="J12" s="23">
        <f>J10*J8</f>
        <v>743.22854548836506</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652</v>
      </c>
      <c r="C18" s="166" t="s">
        <v>110</v>
      </c>
      <c r="D18" s="228"/>
      <c r="E18" s="15"/>
    </row>
    <row r="19" spans="1:7">
      <c r="A19" s="171" t="s">
        <v>71</v>
      </c>
      <c r="B19" s="37">
        <f>aantalw2001_ander</f>
        <v>0</v>
      </c>
      <c r="C19" s="166" t="s">
        <v>110</v>
      </c>
      <c r="D19" s="229"/>
      <c r="E19" s="15"/>
    </row>
    <row r="20" spans="1:7">
      <c r="A20" s="171" t="s">
        <v>72</v>
      </c>
      <c r="B20" s="37">
        <f>aantalw2001_propaan</f>
        <v>126</v>
      </c>
      <c r="C20" s="167">
        <f>IF(ISERROR(B20/SUM($B$20,$B$21,$B$22)*100),0,B20/SUM($B$20,$B$21,$B$22)*100)</f>
        <v>13.680781758957655</v>
      </c>
      <c r="D20" s="229"/>
      <c r="E20" s="15"/>
    </row>
    <row r="21" spans="1:7">
      <c r="A21" s="171" t="s">
        <v>73</v>
      </c>
      <c r="B21" s="37">
        <f>aantalw2001_elektriciteit</f>
        <v>687</v>
      </c>
      <c r="C21" s="167">
        <f>IF(ISERROR(B21/SUM($B$20,$B$21,$B$22)*100),0,B21/SUM($B$20,$B$21,$B$22)*100)</f>
        <v>74.592833876221505</v>
      </c>
      <c r="D21" s="229"/>
      <c r="E21" s="15"/>
    </row>
    <row r="22" spans="1:7">
      <c r="A22" s="171" t="s">
        <v>74</v>
      </c>
      <c r="B22" s="37">
        <f>aantalw2001_hout</f>
        <v>108</v>
      </c>
      <c r="C22" s="167">
        <f>IF(ISERROR(B22/SUM($B$20,$B$21,$B$22)*100),0,B22/SUM($B$20,$B$21,$B$22)*100)</f>
        <v>11.726384364820847</v>
      </c>
      <c r="D22" s="229"/>
      <c r="E22" s="15"/>
    </row>
    <row r="23" spans="1:7">
      <c r="A23" s="171" t="s">
        <v>75</v>
      </c>
      <c r="B23" s="37">
        <f>aantalw2001_niet_gespec</f>
        <v>99</v>
      </c>
      <c r="C23" s="166" t="s">
        <v>110</v>
      </c>
      <c r="D23" s="228"/>
      <c r="E23" s="15"/>
    </row>
    <row r="24" spans="1:7">
      <c r="A24" s="171" t="s">
        <v>76</v>
      </c>
      <c r="B24" s="37">
        <f>aantalw2001_steenkool</f>
        <v>350</v>
      </c>
      <c r="C24" s="166" t="s">
        <v>110</v>
      </c>
      <c r="D24" s="229"/>
      <c r="E24" s="15"/>
    </row>
    <row r="25" spans="1:7">
      <c r="A25" s="171" t="s">
        <v>77</v>
      </c>
      <c r="B25" s="37">
        <f>aantalw2001_stookolie</f>
        <v>2839</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838</v>
      </c>
      <c r="B28" s="37">
        <f>aantalHuishoudens</f>
        <v>5458</v>
      </c>
      <c r="C28" s="36"/>
      <c r="D28" s="228"/>
    </row>
    <row r="29" spans="1:7" s="15" customFormat="1">
      <c r="A29" s="230" t="s">
        <v>839</v>
      </c>
      <c r="B29" s="37">
        <f>SUM(HH_hh_gas_aantal,HH_rest_gas_aantal)</f>
        <v>2657</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2657</v>
      </c>
      <c r="C32" s="167">
        <f>IF(ISERROR(B32/SUM($B$32,$B$34,$B$35,$B$36,$B$38,$B$39)*100),0,B32/SUM($B$32,$B$34,$B$35,$B$36,$B$38,$B$39)*100)</f>
        <v>49.654270229863577</v>
      </c>
      <c r="D32" s="233"/>
      <c r="G32" s="15"/>
    </row>
    <row r="33" spans="1:7">
      <c r="A33" s="171" t="s">
        <v>71</v>
      </c>
      <c r="B33" s="34" t="s">
        <v>110</v>
      </c>
      <c r="C33" s="167"/>
      <c r="D33" s="233"/>
      <c r="G33" s="15"/>
    </row>
    <row r="34" spans="1:7">
      <c r="A34" s="171" t="s">
        <v>72</v>
      </c>
      <c r="B34" s="33">
        <f>IF((($B$28-$B$32-$B$39-$B$77-$B$38)*C20/100)&lt;0,0,($B$28-$B$32-$B$39-$B$77-$B$38)*C20/100)</f>
        <v>206.57980456026061</v>
      </c>
      <c r="C34" s="167">
        <f>IF(ISERROR(B34/SUM($B$32,$B$34,$B$35,$B$36,$B$38,$B$39)*100),0,B34/SUM($B$32,$B$34,$B$35,$B$36,$B$38,$B$39)*100)</f>
        <v>3.8605831538078976</v>
      </c>
      <c r="D34" s="233"/>
      <c r="G34" s="15"/>
    </row>
    <row r="35" spans="1:7">
      <c r="A35" s="171" t="s">
        <v>73</v>
      </c>
      <c r="B35" s="33">
        <f>IF((($B$28-$B$32-$B$39-$B$77-$B$38)*C21/100)&lt;0,0,($B$28-$B$32-$B$39-$B$77-$B$38)*C21/100)</f>
        <v>1126.3517915309449</v>
      </c>
      <c r="C35" s="167">
        <f>IF(ISERROR(B35/SUM($B$32,$B$34,$B$35,$B$36,$B$38,$B$39)*100),0,B35/SUM($B$32,$B$34,$B$35,$B$36,$B$38,$B$39)*100)</f>
        <v>21.049370052904969</v>
      </c>
      <c r="D35" s="233"/>
      <c r="G35" s="15"/>
    </row>
    <row r="36" spans="1:7">
      <c r="A36" s="171" t="s">
        <v>74</v>
      </c>
      <c r="B36" s="33">
        <f>IF((($B$28-$B$32-$B$39-$B$77-$B$38)*C22/100)&lt;0,0,($B$28-$B$32-$B$39-$B$77-$B$38)*C22/100)</f>
        <v>177.06840390879478</v>
      </c>
      <c r="C36" s="167">
        <f>IF(ISERROR(B36/SUM($B$32,$B$34,$B$35,$B$36,$B$38,$B$39)*100),0,B36/SUM($B$32,$B$34,$B$35,$B$36,$B$38,$B$39)*100)</f>
        <v>3.3090712746924837</v>
      </c>
      <c r="D36" s="233"/>
      <c r="G36" s="15"/>
    </row>
    <row r="37" spans="1:7">
      <c r="A37" s="171" t="s">
        <v>75</v>
      </c>
      <c r="B37" s="34" t="s">
        <v>110</v>
      </c>
      <c r="C37" s="167"/>
      <c r="D37" s="173"/>
      <c r="G37" s="15"/>
    </row>
    <row r="38" spans="1:7">
      <c r="A38" s="171" t="s">
        <v>76</v>
      </c>
      <c r="B38" s="33">
        <f>IF((B24-(B29-B18)*0.1)&lt;0,0,B24-(B29-B18)*0.1)</f>
        <v>149.5</v>
      </c>
      <c r="C38" s="167">
        <f>IF(ISERROR(B38/SUM($B$32,$B$34,$B$35,$B$36,$B$38,$B$39)*100),0,B38/SUM($B$32,$B$34,$B$35,$B$36,$B$38,$B$39)*100)</f>
        <v>2.7938703046159596</v>
      </c>
      <c r="D38" s="234"/>
      <c r="G38" s="15"/>
    </row>
    <row r="39" spans="1:7">
      <c r="A39" s="171" t="s">
        <v>77</v>
      </c>
      <c r="B39" s="33">
        <f>IF((B25-(B29-B18))&lt;0,0,B25-(B29-B18)*0.9)</f>
        <v>1034.5</v>
      </c>
      <c r="C39" s="167">
        <f>IF(ISERROR(B39/SUM($B$32,$B$34,$B$35,$B$36,$B$38,$B$39)*100),0,B39/SUM($B$32,$B$34,$B$35,$B$36,$B$38,$B$39)*100)</f>
        <v>19.33283498411512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2657</v>
      </c>
      <c r="C44" s="34" t="s">
        <v>110</v>
      </c>
      <c r="D44" s="174"/>
    </row>
    <row r="45" spans="1:7">
      <c r="A45" s="171" t="s">
        <v>71</v>
      </c>
      <c r="B45" s="33" t="str">
        <f t="shared" si="0"/>
        <v>-</v>
      </c>
      <c r="C45" s="34" t="s">
        <v>110</v>
      </c>
      <c r="D45" s="174"/>
    </row>
    <row r="46" spans="1:7">
      <c r="A46" s="171" t="s">
        <v>72</v>
      </c>
      <c r="B46" s="33">
        <f t="shared" si="0"/>
        <v>206.57980456026061</v>
      </c>
      <c r="C46" s="34" t="s">
        <v>110</v>
      </c>
      <c r="D46" s="174"/>
    </row>
    <row r="47" spans="1:7">
      <c r="A47" s="171" t="s">
        <v>73</v>
      </c>
      <c r="B47" s="33">
        <f t="shared" si="0"/>
        <v>1126.3517915309449</v>
      </c>
      <c r="C47" s="34" t="s">
        <v>110</v>
      </c>
      <c r="D47" s="174"/>
    </row>
    <row r="48" spans="1:7">
      <c r="A48" s="171" t="s">
        <v>74</v>
      </c>
      <c r="B48" s="33">
        <f t="shared" si="0"/>
        <v>177.06840390879478</v>
      </c>
      <c r="C48" s="33">
        <f>B48*10</f>
        <v>1770.6840390879479</v>
      </c>
      <c r="D48" s="234"/>
    </row>
    <row r="49" spans="1:6">
      <c r="A49" s="171" t="s">
        <v>75</v>
      </c>
      <c r="B49" s="33" t="str">
        <f t="shared" si="0"/>
        <v>-</v>
      </c>
      <c r="C49" s="34" t="s">
        <v>110</v>
      </c>
      <c r="D49" s="234"/>
    </row>
    <row r="50" spans="1:6">
      <c r="A50" s="171" t="s">
        <v>76</v>
      </c>
      <c r="B50" s="33">
        <f t="shared" si="0"/>
        <v>149.5</v>
      </c>
      <c r="C50" s="33">
        <f>B50*2</f>
        <v>299</v>
      </c>
      <c r="D50" s="234"/>
    </row>
    <row r="51" spans="1:6">
      <c r="A51" s="171" t="s">
        <v>77</v>
      </c>
      <c r="B51" s="33">
        <f t="shared" si="0"/>
        <v>1034.5</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223</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107</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9144.5934385807304</v>
      </c>
      <c r="C5" s="17">
        <f>IF(ISERROR('Eigen informatie GS &amp; warmtenet'!B60),0,'Eigen informatie GS &amp; warmtenet'!B60)</f>
        <v>0</v>
      </c>
      <c r="D5" s="30">
        <f>SUM(D6:D12)</f>
        <v>10233.274788016251</v>
      </c>
      <c r="E5" s="17">
        <f>SUM(E6:E12)</f>
        <v>25.969848707851924</v>
      </c>
      <c r="F5" s="17">
        <f>SUM(F6:F12)</f>
        <v>1384.5650732691199</v>
      </c>
      <c r="G5" s="18"/>
      <c r="H5" s="17"/>
      <c r="I5" s="17"/>
      <c r="J5" s="17">
        <f>SUM(J6:J12)</f>
        <v>1.0167162896310377E-2</v>
      </c>
      <c r="K5" s="17"/>
      <c r="L5" s="17"/>
      <c r="M5" s="17"/>
      <c r="N5" s="17">
        <f>SUM(N6:N12)</f>
        <v>377.85524407028294</v>
      </c>
      <c r="O5" s="17">
        <f>B38*B39*B40</f>
        <v>4.8972607658411542</v>
      </c>
      <c r="P5" s="17">
        <f>B46*B47*B48/1000-B46*B47*B48/1000/B49</f>
        <v>157.61741491948504</v>
      </c>
      <c r="R5" s="32"/>
    </row>
    <row r="6" spans="1:18">
      <c r="A6" s="32" t="s">
        <v>53</v>
      </c>
      <c r="B6" s="37">
        <f>B26</f>
        <v>2469.4676823310097</v>
      </c>
      <c r="C6" s="33"/>
      <c r="D6" s="37">
        <f>IF(ISERROR(TER_kantoor_gas_kWh/1000),0,TER_kantoor_gas_kWh/1000)*0.903</f>
        <v>3304.9563181575386</v>
      </c>
      <c r="E6" s="33">
        <f>$C$26*'E Balans VL '!I12/100/3.6*1000000</f>
        <v>0.59162575838047815</v>
      </c>
      <c r="F6" s="33">
        <f>$C$26*('E Balans VL '!L12+'E Balans VL '!N12)/100/3.6*1000000</f>
        <v>234.17671984817292</v>
      </c>
      <c r="G6" s="34"/>
      <c r="H6" s="33"/>
      <c r="I6" s="33"/>
      <c r="J6" s="33">
        <f>$C$26*('E Balans VL '!D12+'E Balans VL '!E12)/100/3.6*1000000</f>
        <v>0</v>
      </c>
      <c r="K6" s="33"/>
      <c r="L6" s="33"/>
      <c r="M6" s="33"/>
      <c r="N6" s="33">
        <f>$C$26*'E Balans VL '!Y12/100/3.6*1000000</f>
        <v>1.2543618526289013</v>
      </c>
      <c r="O6" s="33"/>
      <c r="P6" s="33"/>
      <c r="R6" s="32"/>
    </row>
    <row r="7" spans="1:18">
      <c r="A7" s="32" t="s">
        <v>52</v>
      </c>
      <c r="B7" s="37">
        <f t="shared" ref="B7:B12" si="0">B27</f>
        <v>1463.09816180957</v>
      </c>
      <c r="C7" s="33"/>
      <c r="D7" s="37">
        <f>IF(ISERROR(TER_horeca_gas_kWh/1000),0,TER_horeca_gas_kWh/1000)*0.903</f>
        <v>2168.5399379977489</v>
      </c>
      <c r="E7" s="33">
        <f>$C$27*'E Balans VL '!I9/100/3.6*1000000</f>
        <v>0</v>
      </c>
      <c r="F7" s="33">
        <f>$C$27*('E Balans VL '!L9+'E Balans VL '!N9)/100/3.6*1000000</f>
        <v>119.97060997919334</v>
      </c>
      <c r="G7" s="34"/>
      <c r="H7" s="33"/>
      <c r="I7" s="33"/>
      <c r="J7" s="33">
        <f>$C$27*('E Balans VL '!D9+'E Balans VL '!E9)/100/3.6*1000000</f>
        <v>0</v>
      </c>
      <c r="K7" s="33"/>
      <c r="L7" s="33"/>
      <c r="M7" s="33"/>
      <c r="N7" s="33">
        <f>$C$27*'E Balans VL '!Y9/100/3.6*1000000</f>
        <v>0.44849836956800299</v>
      </c>
      <c r="O7" s="33"/>
      <c r="P7" s="33"/>
      <c r="R7" s="32"/>
    </row>
    <row r="8" spans="1:18">
      <c r="A8" s="6" t="s">
        <v>51</v>
      </c>
      <c r="B8" s="37">
        <f t="shared" si="0"/>
        <v>3025.6487591724699</v>
      </c>
      <c r="C8" s="33"/>
      <c r="D8" s="37">
        <f>IF(ISERROR(TER_handel_gas_kWh/1000),0,TER_handel_gas_kWh/1000)*0.903</f>
        <v>1584.9250098634409</v>
      </c>
      <c r="E8" s="33">
        <f>$C$28*'E Balans VL '!I13/100/3.6*1000000</f>
        <v>10.633501710775304</v>
      </c>
      <c r="F8" s="33">
        <f>$C$28*('E Balans VL '!L13+'E Balans VL '!N13)/100/3.6*1000000</f>
        <v>276.84142790620382</v>
      </c>
      <c r="G8" s="34"/>
      <c r="H8" s="33"/>
      <c r="I8" s="33"/>
      <c r="J8" s="33">
        <f>$C$28*('E Balans VL '!D13+'E Balans VL '!E13)/100/3.6*1000000</f>
        <v>0</v>
      </c>
      <c r="K8" s="33"/>
      <c r="L8" s="33"/>
      <c r="M8" s="33"/>
      <c r="N8" s="33">
        <f>$C$28*'E Balans VL '!Y13/100/3.6*1000000</f>
        <v>1.0957597215182888</v>
      </c>
      <c r="O8" s="33"/>
      <c r="P8" s="33"/>
      <c r="R8" s="32"/>
    </row>
    <row r="9" spans="1:18">
      <c r="A9" s="32" t="s">
        <v>50</v>
      </c>
      <c r="B9" s="37">
        <f t="shared" si="0"/>
        <v>957.14511433735106</v>
      </c>
      <c r="C9" s="33"/>
      <c r="D9" s="37">
        <f>IF(ISERROR(TER_gezond_gas_kWh/1000),0,TER_gezond_gas_kWh/1000)*0.903</f>
        <v>1980.5723531560338</v>
      </c>
      <c r="E9" s="33">
        <f>$C$29*'E Balans VL '!I10/100/3.6*1000000</f>
        <v>0</v>
      </c>
      <c r="F9" s="33">
        <f>$C$29*('E Balans VL '!L10+'E Balans VL '!N10)/100/3.6*1000000</f>
        <v>117.32841501152845</v>
      </c>
      <c r="G9" s="34"/>
      <c r="H9" s="33"/>
      <c r="I9" s="33"/>
      <c r="J9" s="33">
        <f>$C$29*('E Balans VL '!D10+'E Balans VL '!E10)/100/3.6*1000000</f>
        <v>0</v>
      </c>
      <c r="K9" s="33"/>
      <c r="L9" s="33"/>
      <c r="M9" s="33"/>
      <c r="N9" s="33">
        <f>$C$29*'E Balans VL '!Y10/100/3.6*1000000</f>
        <v>7.0582782270369275</v>
      </c>
      <c r="O9" s="33"/>
      <c r="P9" s="33"/>
      <c r="R9" s="32"/>
    </row>
    <row r="10" spans="1:18">
      <c r="A10" s="32" t="s">
        <v>49</v>
      </c>
      <c r="B10" s="37">
        <f t="shared" si="0"/>
        <v>1029.50061726938</v>
      </c>
      <c r="C10" s="33"/>
      <c r="D10" s="37">
        <f>IF(ISERROR(TER_ander_gas_kWh/1000),0,TER_ander_gas_kWh/1000)*0.903</f>
        <v>955.56506147695745</v>
      </c>
      <c r="E10" s="33">
        <f>$C$30*'E Balans VL '!I14/100/3.6*1000000</f>
        <v>14.744721238696139</v>
      </c>
      <c r="F10" s="33">
        <f>$C$30*('E Balans VL '!L14+'E Balans VL '!N14)/100/3.6*1000000</f>
        <v>612.89672220181058</v>
      </c>
      <c r="G10" s="34"/>
      <c r="H10" s="33"/>
      <c r="I10" s="33"/>
      <c r="J10" s="33">
        <f>$C$30*('E Balans VL '!D14+'E Balans VL '!E14)/100/3.6*1000000</f>
        <v>1.0167162896310377E-2</v>
      </c>
      <c r="K10" s="33"/>
      <c r="L10" s="33"/>
      <c r="M10" s="33"/>
      <c r="N10" s="33">
        <f>$C$30*'E Balans VL '!Y14/100/3.6*1000000</f>
        <v>367.43592041521703</v>
      </c>
      <c r="O10" s="33"/>
      <c r="P10" s="33"/>
      <c r="R10" s="32"/>
    </row>
    <row r="11" spans="1:18">
      <c r="A11" s="32" t="s">
        <v>54</v>
      </c>
      <c r="B11" s="37">
        <f t="shared" si="0"/>
        <v>199.73310366095001</v>
      </c>
      <c r="C11" s="33"/>
      <c r="D11" s="37">
        <f>IF(ISERROR(TER_onderwijs_gas_kWh/1000),0,TER_onderwijs_gas_kWh/1000)*0.903</f>
        <v>238.71610736453107</v>
      </c>
      <c r="E11" s="33">
        <f>$C$31*'E Balans VL '!I11/100/3.6*1000000</f>
        <v>0</v>
      </c>
      <c r="F11" s="33">
        <f>$C$31*('E Balans VL '!L11+'E Balans VL '!N11)/100/3.6*1000000</f>
        <v>23.351178322210949</v>
      </c>
      <c r="G11" s="34"/>
      <c r="H11" s="33"/>
      <c r="I11" s="33"/>
      <c r="J11" s="33">
        <f>$C$31*('E Balans VL '!D11+'E Balans VL '!E11)/100/3.6*1000000</f>
        <v>0</v>
      </c>
      <c r="K11" s="33"/>
      <c r="L11" s="33"/>
      <c r="M11" s="33"/>
      <c r="N11" s="33">
        <f>$C$31*'E Balans VL '!Y11/100/3.6*1000000</f>
        <v>0.56242548431380868</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9144.5934385807304</v>
      </c>
      <c r="C16" s="21">
        <f t="shared" ca="1" si="1"/>
        <v>0</v>
      </c>
      <c r="D16" s="21">
        <f t="shared" ca="1" si="1"/>
        <v>10233.274788016251</v>
      </c>
      <c r="E16" s="21">
        <f t="shared" si="1"/>
        <v>25.969848707851924</v>
      </c>
      <c r="F16" s="21">
        <f t="shared" ca="1" si="1"/>
        <v>1384.5650732691199</v>
      </c>
      <c r="G16" s="21">
        <f t="shared" si="1"/>
        <v>0</v>
      </c>
      <c r="H16" s="21">
        <f t="shared" si="1"/>
        <v>0</v>
      </c>
      <c r="I16" s="21">
        <f t="shared" si="1"/>
        <v>0</v>
      </c>
      <c r="J16" s="21">
        <f t="shared" si="1"/>
        <v>1.0167162896310377E-2</v>
      </c>
      <c r="K16" s="21">
        <f t="shared" si="1"/>
        <v>0</v>
      </c>
      <c r="L16" s="21">
        <f t="shared" ca="1" si="1"/>
        <v>0</v>
      </c>
      <c r="M16" s="21">
        <f t="shared" si="1"/>
        <v>0</v>
      </c>
      <c r="N16" s="21">
        <f t="shared" ca="1" si="1"/>
        <v>377.85524407028294</v>
      </c>
      <c r="O16" s="21">
        <f>O5</f>
        <v>4.8972607658411542</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0.1950578246300744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1783.7245032560093</v>
      </c>
      <c r="C20" s="23">
        <f t="shared" ref="C20:P20" ca="1" si="2">C16*C18</f>
        <v>0</v>
      </c>
      <c r="D20" s="23">
        <f t="shared" ca="1" si="2"/>
        <v>2067.1215071792831</v>
      </c>
      <c r="E20" s="23">
        <f t="shared" si="2"/>
        <v>5.8951556566823866</v>
      </c>
      <c r="F20" s="23">
        <f t="shared" ca="1" si="2"/>
        <v>369.67887456285501</v>
      </c>
      <c r="G20" s="23">
        <f t="shared" si="2"/>
        <v>0</v>
      </c>
      <c r="H20" s="23">
        <f t="shared" si="2"/>
        <v>0</v>
      </c>
      <c r="I20" s="23">
        <f t="shared" si="2"/>
        <v>0</v>
      </c>
      <c r="J20" s="23">
        <f t="shared" si="2"/>
        <v>3.5991756652938734E-3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2469.4676823310097</v>
      </c>
      <c r="C26" s="39">
        <f>IF(ISERROR(B26*3.6/1000000/'E Balans VL '!Z12*100),0,B26*3.6/1000000/'E Balans VL '!Z12*100)</f>
        <v>6.9645528123252393E-2</v>
      </c>
      <c r="D26" s="237" t="s">
        <v>702</v>
      </c>
      <c r="F26" s="6"/>
    </row>
    <row r="27" spans="1:18">
      <c r="A27" s="231" t="s">
        <v>52</v>
      </c>
      <c r="B27" s="33">
        <f>IF(ISERROR(TER_horeca_ele_kWh/1000),0,TER_horeca_ele_kWh/1000)</f>
        <v>1463.09816180957</v>
      </c>
      <c r="C27" s="39">
        <f>IF(ISERROR(B27*3.6/1000000/'E Balans VL '!Z9*100),0,B27*3.6/1000000/'E Balans VL '!Z9*100)</f>
        <v>0.10847075500950554</v>
      </c>
      <c r="D27" s="237" t="s">
        <v>702</v>
      </c>
      <c r="F27" s="6"/>
    </row>
    <row r="28" spans="1:18">
      <c r="A28" s="171" t="s">
        <v>51</v>
      </c>
      <c r="B28" s="33">
        <f>IF(ISERROR(TER_handel_ele_kWh/1000),0,TER_handel_ele_kWh/1000)</f>
        <v>3025.6487591724699</v>
      </c>
      <c r="C28" s="39">
        <f>IF(ISERROR(B28*3.6/1000000/'E Balans VL '!Z13*100),0,B28*3.6/1000000/'E Balans VL '!Z13*100)</f>
        <v>9.0641243076297923E-2</v>
      </c>
      <c r="D28" s="237" t="s">
        <v>702</v>
      </c>
      <c r="F28" s="6"/>
    </row>
    <row r="29" spans="1:18">
      <c r="A29" s="231" t="s">
        <v>50</v>
      </c>
      <c r="B29" s="33">
        <f>IF(ISERROR(TER_gezond_ele_kWh/1000),0,TER_gezond_ele_kWh/1000)</f>
        <v>957.14511433735106</v>
      </c>
      <c r="C29" s="39">
        <f>IF(ISERROR(B29*3.6/1000000/'E Balans VL '!Z10*100),0,B29*3.6/1000000/'E Balans VL '!Z10*100)</f>
        <v>9.464288405689765E-2</v>
      </c>
      <c r="D29" s="237" t="s">
        <v>702</v>
      </c>
      <c r="F29" s="6"/>
    </row>
    <row r="30" spans="1:18">
      <c r="A30" s="231" t="s">
        <v>49</v>
      </c>
      <c r="B30" s="33">
        <f>IF(ISERROR(TER_ander_ele_kWh/1000),0,TER_ander_ele_kWh/1000)</f>
        <v>1029.50061726938</v>
      </c>
      <c r="C30" s="39">
        <f>IF(ISERROR(B30*3.6/1000000/'E Balans VL '!Z14*100),0,B30*3.6/1000000/'E Balans VL '!Z14*100)</f>
        <v>4.1640257595810415E-2</v>
      </c>
      <c r="D30" s="237" t="s">
        <v>702</v>
      </c>
      <c r="F30" s="6"/>
    </row>
    <row r="31" spans="1:18">
      <c r="A31" s="231" t="s">
        <v>54</v>
      </c>
      <c r="B31" s="33">
        <f>IF(ISERROR(TER_onderwijs_ele_kWh/1000),0,TER_onderwijs_ele_kWh/1000)</f>
        <v>199.73310366095001</v>
      </c>
      <c r="C31" s="39">
        <f>IF(ISERROR(B31*3.6/1000000/'E Balans VL '!Z11*100),0,B31*3.6/1000000/'E Balans VL '!Z11*100)</f>
        <v>5.4875418830256414E-2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3</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5921.7522011206383</v>
      </c>
      <c r="C5" s="17">
        <f>IF(ISERROR('Eigen informatie GS &amp; warmtenet'!B61),0,'Eigen informatie GS &amp; warmtenet'!B61)</f>
        <v>0</v>
      </c>
      <c r="D5" s="30">
        <f>SUM(D6:D15)</f>
        <v>5050.9610363619049</v>
      </c>
      <c r="E5" s="17">
        <f>SUM(E6:E15)</f>
        <v>15.751813235085832</v>
      </c>
      <c r="F5" s="17">
        <f>SUM(F6:F15)</f>
        <v>897.24409728380726</v>
      </c>
      <c r="G5" s="18"/>
      <c r="H5" s="17"/>
      <c r="I5" s="17"/>
      <c r="J5" s="17">
        <f>SUM(J6:J15)</f>
        <v>0.59234385775478005</v>
      </c>
      <c r="K5" s="17"/>
      <c r="L5" s="17"/>
      <c r="M5" s="17"/>
      <c r="N5" s="17">
        <f>SUM(N6:N15)</f>
        <v>293.96553068494228</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667.43586483496301</v>
      </c>
      <c r="C8" s="33"/>
      <c r="D8" s="37">
        <f>IF( ISERROR(IND_metaal_Gas_kWH/1000),0,IND_metaal_Gas_kWH/1000)*0.903</f>
        <v>539.73047153088658</v>
      </c>
      <c r="E8" s="33">
        <f>C30*'E Balans VL '!I18/100/3.6*1000000</f>
        <v>3.3653280842576003</v>
      </c>
      <c r="F8" s="33">
        <f>C30*'E Balans VL '!L18/100/3.6*1000000+C30*'E Balans VL '!N18/100/3.6*1000000</f>
        <v>45.600582158028281</v>
      </c>
      <c r="G8" s="34"/>
      <c r="H8" s="33"/>
      <c r="I8" s="33"/>
      <c r="J8" s="40">
        <f>C30*'E Balans VL '!D18/100/3.6*1000000+C30*'E Balans VL '!E18/100/3.6*1000000</f>
        <v>0.59173882718890336</v>
      </c>
      <c r="K8" s="33"/>
      <c r="L8" s="33"/>
      <c r="M8" s="33"/>
      <c r="N8" s="33">
        <f>C30*'E Balans VL '!Y18/100/3.6*1000000</f>
        <v>8.8702266045730145</v>
      </c>
      <c r="O8" s="33"/>
      <c r="P8" s="33"/>
      <c r="R8" s="32"/>
    </row>
    <row r="9" spans="1:18">
      <c r="A9" s="6" t="s">
        <v>32</v>
      </c>
      <c r="B9" s="37">
        <f t="shared" si="0"/>
        <v>1258.1684892559799</v>
      </c>
      <c r="C9" s="33"/>
      <c r="D9" s="37">
        <f>IF( ISERROR(IND_andere_gas_kWh/1000),0,IND_andere_gas_kWh/1000)*0.903</f>
        <v>1156.3069267691408</v>
      </c>
      <c r="E9" s="33">
        <f>C31*'E Balans VL '!I19/100/3.6*1000000</f>
        <v>3.9660444378345026</v>
      </c>
      <c r="F9" s="33">
        <f>C31*'E Balans VL '!L19/100/3.6*1000000+C31*'E Balans VL '!N19/100/3.6*1000000</f>
        <v>770.19783217712165</v>
      </c>
      <c r="G9" s="34"/>
      <c r="H9" s="33"/>
      <c r="I9" s="33"/>
      <c r="J9" s="40">
        <f>C31*'E Balans VL '!D19/100/3.6*1000000+C31*'E Balans VL '!E19/100/3.6*1000000</f>
        <v>0</v>
      </c>
      <c r="K9" s="33"/>
      <c r="L9" s="33"/>
      <c r="M9" s="33"/>
      <c r="N9" s="33">
        <f>C31*'E Balans VL '!Y19/100/3.6*1000000</f>
        <v>52.756713121927781</v>
      </c>
      <c r="O9" s="33"/>
      <c r="P9" s="33"/>
      <c r="R9" s="32"/>
    </row>
    <row r="10" spans="1:18">
      <c r="A10" s="6" t="s">
        <v>40</v>
      </c>
      <c r="B10" s="37">
        <f t="shared" si="0"/>
        <v>3180.1255291531502</v>
      </c>
      <c r="C10" s="33"/>
      <c r="D10" s="37">
        <f>IF( ISERROR(IND_voed_gas_kWh/1000),0,IND_voed_gas_kWh/1000)*0.903</f>
        <v>3230.8195804123325</v>
      </c>
      <c r="E10" s="33">
        <f>C32*'E Balans VL '!I20/100/3.6*1000000</f>
        <v>5.0682269768219133</v>
      </c>
      <c r="F10" s="33">
        <f>C32*'E Balans VL '!L20/100/3.6*1000000+C32*'E Balans VL '!N20/100/3.6*1000000</f>
        <v>51.669314448122392</v>
      </c>
      <c r="G10" s="34"/>
      <c r="H10" s="33"/>
      <c r="I10" s="33"/>
      <c r="J10" s="40">
        <f>C32*'E Balans VL '!D20/100/3.6*1000000+C32*'E Balans VL '!E20/100/3.6*1000000</f>
        <v>0</v>
      </c>
      <c r="K10" s="33"/>
      <c r="L10" s="33"/>
      <c r="M10" s="33"/>
      <c r="N10" s="33">
        <f>C32*'E Balans VL '!Y20/100/3.6*1000000</f>
        <v>100.44424694030573</v>
      </c>
      <c r="O10" s="33"/>
      <c r="P10" s="33"/>
      <c r="R10" s="32"/>
    </row>
    <row r="11" spans="1:18">
      <c r="A11" s="6" t="s">
        <v>39</v>
      </c>
      <c r="B11" s="37">
        <f t="shared" si="0"/>
        <v>29.174907843253099</v>
      </c>
      <c r="C11" s="33"/>
      <c r="D11" s="37">
        <f>IF( ISERROR(IND_textiel_gas_kWh/1000),0,IND_textiel_gas_kWh/1000)*0.903</f>
        <v>0</v>
      </c>
      <c r="E11" s="33">
        <f>C33*'E Balans VL '!I21/100/3.6*1000000</f>
        <v>4.2327460189233224E-2</v>
      </c>
      <c r="F11" s="33">
        <f>C33*'E Balans VL '!L21/100/3.6*1000000+C33*'E Balans VL '!N21/100/3.6*1000000</f>
        <v>0.57097169187144292</v>
      </c>
      <c r="G11" s="34"/>
      <c r="H11" s="33"/>
      <c r="I11" s="33"/>
      <c r="J11" s="40">
        <f>C33*'E Balans VL '!D21/100/3.6*1000000+C33*'E Balans VL '!E21/100/3.6*1000000</f>
        <v>0</v>
      </c>
      <c r="K11" s="33"/>
      <c r="L11" s="33"/>
      <c r="M11" s="33"/>
      <c r="N11" s="33">
        <f>C33*'E Balans VL '!Y21/100/3.6*1000000</f>
        <v>1.4213352964139001</v>
      </c>
      <c r="O11" s="33"/>
      <c r="P11" s="33"/>
      <c r="R11" s="32"/>
    </row>
    <row r="12" spans="1:18">
      <c r="A12" s="6" t="s">
        <v>36</v>
      </c>
      <c r="B12" s="37">
        <f t="shared" si="0"/>
        <v>764.89002907601105</v>
      </c>
      <c r="C12" s="33"/>
      <c r="D12" s="37">
        <f>IF( ISERROR(IND_min_gas_kWh/1000),0,IND_min_gas_kWh/1000)*0.903</f>
        <v>0</v>
      </c>
      <c r="E12" s="33">
        <f>C34*'E Balans VL '!I22/100/3.6*1000000</f>
        <v>3.3098862759825831</v>
      </c>
      <c r="F12" s="33">
        <f>C34*'E Balans VL '!L22/100/3.6*1000000+C34*'E Balans VL '!N22/100/3.6*1000000</f>
        <v>29.204445512821252</v>
      </c>
      <c r="G12" s="34"/>
      <c r="H12" s="33"/>
      <c r="I12" s="33"/>
      <c r="J12" s="40">
        <f>C34*'E Balans VL '!D22/100/3.6*1000000+C34*'E Balans VL '!E22/100/3.6*1000000</f>
        <v>0</v>
      </c>
      <c r="K12" s="33"/>
      <c r="L12" s="33"/>
      <c r="M12" s="33"/>
      <c r="N12" s="33">
        <f>C34*'E Balans VL '!Y22/100/3.6*1000000</f>
        <v>130.47300872172187</v>
      </c>
      <c r="O12" s="33"/>
      <c r="P12" s="33"/>
      <c r="R12" s="32"/>
    </row>
    <row r="13" spans="1:18">
      <c r="A13" s="6" t="s">
        <v>38</v>
      </c>
      <c r="B13" s="37">
        <f t="shared" si="0"/>
        <v>21.9573809572809</v>
      </c>
      <c r="C13" s="33"/>
      <c r="D13" s="37">
        <f>IF( ISERROR(IND_papier_gas_kWh/1000),0,IND_papier_gas_kWh/1000)*0.903</f>
        <v>0</v>
      </c>
      <c r="E13" s="33">
        <f>C35*'E Balans VL '!I23/100/3.6*1000000</f>
        <v>0</v>
      </c>
      <c r="F13" s="33">
        <f>C35*'E Balans VL '!L23/100/3.6*1000000+C35*'E Balans VL '!N23/100/3.6*1000000</f>
        <v>9.5129584225290653E-4</v>
      </c>
      <c r="G13" s="34"/>
      <c r="H13" s="33"/>
      <c r="I13" s="33"/>
      <c r="J13" s="40">
        <f>C35*'E Balans VL '!D23/100/3.6*1000000+C35*'E Balans VL '!E23/100/3.6*1000000</f>
        <v>6.0503056587671875E-4</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ISERROR(IND_rest_gas_kWh/1000),0,IND_rest_gas_kWh/1000)*0.903</f>
        <v>124.10405764954558</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5921.7522011206383</v>
      </c>
      <c r="C18" s="21">
        <f>C5+C16</f>
        <v>0</v>
      </c>
      <c r="D18" s="21">
        <f>MAX((D5+D16),0)</f>
        <v>5050.9610363619049</v>
      </c>
      <c r="E18" s="21">
        <f>MAX((E5+E16),0)</f>
        <v>15.751813235085832</v>
      </c>
      <c r="F18" s="21">
        <f>MAX((F5+F16),0)</f>
        <v>897.24409728380726</v>
      </c>
      <c r="G18" s="21"/>
      <c r="H18" s="21"/>
      <c r="I18" s="21"/>
      <c r="J18" s="21">
        <f>MAX((J5+J16),0)</f>
        <v>0.59234385775478005</v>
      </c>
      <c r="K18" s="21"/>
      <c r="L18" s="21">
        <f>MAX((L5+L16),0)</f>
        <v>0</v>
      </c>
      <c r="M18" s="21"/>
      <c r="N18" s="21">
        <f>MAX((N5+N16),0)</f>
        <v>293.96553068494228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0.1950578246300744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1155.0841023489465</v>
      </c>
      <c r="C22" s="23">
        <f ca="1">C18*C20</f>
        <v>0</v>
      </c>
      <c r="D22" s="23">
        <f>D18*D20</f>
        <v>1020.2941293451048</v>
      </c>
      <c r="E22" s="23">
        <f>E18*E20</f>
        <v>3.575661604364484</v>
      </c>
      <c r="F22" s="23">
        <f>F18*F20</f>
        <v>239.56417397477657</v>
      </c>
      <c r="G22" s="23"/>
      <c r="H22" s="23"/>
      <c r="I22" s="23"/>
      <c r="J22" s="23">
        <f>J18*J20</f>
        <v>0.20968972564519212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667.43586483496301</v>
      </c>
      <c r="C30" s="39">
        <f>IF(ISERROR(B30*3.6/1000000/'E Balans VL '!Z18*100),0,B30*3.6/1000000/'E Balans VL '!Z18*100)</f>
        <v>3.3130012097667902E-2</v>
      </c>
      <c r="D30" s="237" t="s">
        <v>702</v>
      </c>
    </row>
    <row r="31" spans="1:18">
      <c r="A31" s="6" t="s">
        <v>32</v>
      </c>
      <c r="B31" s="37">
        <f>IF( ISERROR(IND_ander_ele_kWh/1000),0,IND_ander_ele_kWh/1000)</f>
        <v>1258.1684892559799</v>
      </c>
      <c r="C31" s="39">
        <f>IF(ISERROR(B31*3.6/1000000/'E Balans VL '!Z19*100),0,B31*3.6/1000000/'E Balans VL '!Z19*100)</f>
        <v>4.2456739258126389E-2</v>
      </c>
      <c r="D31" s="237" t="s">
        <v>702</v>
      </c>
    </row>
    <row r="32" spans="1:18">
      <c r="A32" s="171" t="s">
        <v>40</v>
      </c>
      <c r="B32" s="37">
        <f>IF( ISERROR(IND_voed_ele_kWh/1000),0,IND_voed_ele_kWh/1000)</f>
        <v>3180.1255291531502</v>
      </c>
      <c r="C32" s="39">
        <f>IF(ISERROR(B32*3.6/1000000/'E Balans VL '!Z20*100),0,B32*3.6/1000000/'E Balans VL '!Z20*100)</f>
        <v>7.4683063561243337E-2</v>
      </c>
      <c r="D32" s="237" t="s">
        <v>702</v>
      </c>
    </row>
    <row r="33" spans="1:5">
      <c r="A33" s="171" t="s">
        <v>39</v>
      </c>
      <c r="B33" s="37">
        <f>IF( ISERROR(IND_textiel_ele_kWh/1000),0,IND_textiel_ele_kWh/1000)</f>
        <v>29.174907843253099</v>
      </c>
      <c r="C33" s="39">
        <f>IF(ISERROR(B33*3.6/1000000/'E Balans VL '!Z21*100),0,B33*3.6/1000000/'E Balans VL '!Z21*100)</f>
        <v>3.2019091548905147E-3</v>
      </c>
      <c r="D33" s="237" t="s">
        <v>702</v>
      </c>
    </row>
    <row r="34" spans="1:5">
      <c r="A34" s="171" t="s">
        <v>36</v>
      </c>
      <c r="B34" s="37">
        <f>IF( ISERROR(IND_min_ele_kWh/1000),0,IND_min_ele_kWh/1000)</f>
        <v>764.89002907601105</v>
      </c>
      <c r="C34" s="39">
        <f>IF(ISERROR(B34*3.6/1000000/'E Balans VL '!Z22*100),0,B34*3.6/1000000/'E Balans VL '!Z22*100)</f>
        <v>0.10851552863155559</v>
      </c>
      <c r="D34" s="237" t="s">
        <v>702</v>
      </c>
    </row>
    <row r="35" spans="1:5">
      <c r="A35" s="171" t="s">
        <v>38</v>
      </c>
      <c r="B35" s="37">
        <f>IF( ISERROR(IND_papier_ele_kWh/1000),0,IND_papier_ele_kWh/1000)</f>
        <v>21.9573809572809</v>
      </c>
      <c r="C35" s="39">
        <f>IF(ISERROR(B35*3.6/1000000/'E Balans VL '!Z22*100),0,B35*3.6/1000000/'E Balans VL '!Z22*100)</f>
        <v>3.115110292158098E-3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0</v>
      </c>
      <c r="C37" s="39">
        <f>IF(ISERROR(B37*3.6/1000000/'E Balans VL '!Z15*100),0,B37*3.6/1000000/'E Balans VL '!Z15*100)</f>
        <v>0</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2531.7572609623599</v>
      </c>
      <c r="C5" s="17">
        <f>'Eigen informatie GS &amp; warmtenet'!B62</f>
        <v>0</v>
      </c>
      <c r="D5" s="30">
        <f>IF(ISERROR(SUM(LB_lb_gas_kWh,LB_rest_gas_kWh)/1000),0,SUM(LB_lb_gas_kWh,LB_rest_gas_kWh)/1000)*0.903</f>
        <v>328.41517471305099</v>
      </c>
      <c r="E5" s="17">
        <f>B17*'E Balans VL '!I25/3.6*1000000/100</f>
        <v>94.416972354316783</v>
      </c>
      <c r="F5" s="17">
        <f>B17*('E Balans VL '!L25/3.6*1000000+'E Balans VL '!N25/3.6*1000000)/100</f>
        <v>8213.9988640767915</v>
      </c>
      <c r="G5" s="18"/>
      <c r="H5" s="17"/>
      <c r="I5" s="17"/>
      <c r="J5" s="17">
        <f>('E Balans VL '!D25+'E Balans VL '!E25)/3.6*1000000*landbouw!B17/100</f>
        <v>664.59878005310168</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2531.7572609623599</v>
      </c>
      <c r="C8" s="21">
        <f>C5+C6</f>
        <v>0</v>
      </c>
      <c r="D8" s="21">
        <f>MAX((D5+D6),0)</f>
        <v>328.41517471305099</v>
      </c>
      <c r="E8" s="21">
        <f>MAX((E5+E6),0)</f>
        <v>94.416972354316783</v>
      </c>
      <c r="F8" s="21">
        <f>MAX((F5+F6),0)</f>
        <v>8213.9988640767915</v>
      </c>
      <c r="G8" s="21"/>
      <c r="H8" s="21"/>
      <c r="I8" s="21"/>
      <c r="J8" s="21">
        <f>MAX((J5+J6),0)</f>
        <v>664.59878005310168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0.1950578246300744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493.83906381471348</v>
      </c>
      <c r="C12" s="23">
        <f ca="1">C8*C10</f>
        <v>0</v>
      </c>
      <c r="D12" s="23">
        <f>D8*D10</f>
        <v>66.339865292036308</v>
      </c>
      <c r="E12" s="23">
        <f>E8*E10</f>
        <v>21.432652724429911</v>
      </c>
      <c r="F12" s="23">
        <f>F8*F10</f>
        <v>2193.1376967085034</v>
      </c>
      <c r="G12" s="23"/>
      <c r="H12" s="23"/>
      <c r="I12" s="23"/>
      <c r="J12" s="23">
        <f>J8*J10</f>
        <v>235.26796813879798</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0.34773025312613959</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343.85596367327844</v>
      </c>
      <c r="C26" s="247">
        <f>B26*'GWP N2O_CH4'!B5</f>
        <v>7220.9752371388477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85.475195052849415</v>
      </c>
      <c r="C27" s="247">
        <f>B27*'GWP N2O_CH4'!B5</f>
        <v>1794.9790961098377</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4.3946302304644753</v>
      </c>
      <c r="C28" s="247">
        <f>B28*'GWP N2O_CH4'!B4</f>
        <v>1362.3353714439872</v>
      </c>
      <c r="D28" s="50"/>
    </row>
    <row r="29" spans="1:4">
      <c r="A29" s="41" t="s">
        <v>276</v>
      </c>
      <c r="B29" s="247">
        <f>B34*'ha_N2O bodem landbouw'!B4</f>
        <v>16.585618402734298</v>
      </c>
      <c r="C29" s="247">
        <f>B29*'GWP N2O_CH4'!B4</f>
        <v>5141.541704847632</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3.7799097993891548E-3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2.6189194794354803E-4</v>
      </c>
      <c r="C5" s="440" t="s">
        <v>210</v>
      </c>
      <c r="D5" s="425">
        <f>SUM(D6:D11)</f>
        <v>1.1349965555489797E-3</v>
      </c>
      <c r="E5" s="425">
        <f>SUM(E6:E11)</f>
        <v>6.0437550686730994E-4</v>
      </c>
      <c r="F5" s="438" t="s">
        <v>210</v>
      </c>
      <c r="G5" s="425">
        <f>SUM(G6:G11)</f>
        <v>0.26327666275799638</v>
      </c>
      <c r="H5" s="425">
        <f>SUM(H6:H11)</f>
        <v>7.2199583088252306E-2</v>
      </c>
      <c r="I5" s="440" t="s">
        <v>210</v>
      </c>
      <c r="J5" s="440" t="s">
        <v>210</v>
      </c>
      <c r="K5" s="440" t="s">
        <v>210</v>
      </c>
      <c r="L5" s="440" t="s">
        <v>210</v>
      </c>
      <c r="M5" s="425">
        <f>SUM(M6:M11)</f>
        <v>1.9841918165497234E-2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1.86555140259983E-4</v>
      </c>
      <c r="C6" s="426"/>
      <c r="D6" s="893">
        <f>vkm_GW_PW*SUMIFS(TableVerdeelsleutelVkm[CNG],TableVerdeelsleutelVkm[Voertuigtype],"Lichte voertuigen")*SUMIFS(TableECFTransport[EnergieConsumptieFactor (PJ per km)],TableECFTransport[Index],CONCATENATE($A6,"_CNG_CNG"))</f>
        <v>6.7378023561040414E-4</v>
      </c>
      <c r="E6" s="893">
        <f>vkm_GW_PW*SUMIFS(TableVerdeelsleutelVkm[LPG],TableVerdeelsleutelVkm[Voertuigtype],"Lichte voertuigen")*SUMIFS(TableECFTransport[EnergieConsumptieFactor (PJ per km)],TableECFTransport[Index],CONCATENATE($A6,"_LPG_LPG"))</f>
        <v>3.6618226300623138E-4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0.11395366407326896</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4.3126886387615561E-2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9.4138121707643182E-3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6.7807107493447011E-2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7.1384224337039605E-7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3.8176463607940054E-3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7.5336807683565047E-5</v>
      </c>
      <c r="C8" s="426"/>
      <c r="D8" s="428">
        <f>vkm_NGW_PW*SUMIFS(TableVerdeelsleutelVkm[CNG],TableVerdeelsleutelVkm[Voertuigtype],"Lichte voertuigen")*SUMIFS(TableECFTransport[EnergieConsumptieFactor (PJ per km)],TableECFTransport[Index],CONCATENATE($A8,"_CNG_CNG"))</f>
        <v>4.6121631993857555E-4</v>
      </c>
      <c r="E8" s="428">
        <f>vkm_NGW_PW*SUMIFS(TableVerdeelsleutelVkm[LPG],TableVerdeelsleutelVkm[Voertuigtype],"Lichte voertuigen")*SUMIFS(TableECFTransport[EnergieConsumptieFactor (PJ per km)],TableECFTransport[Index],CONCATENATE($A8,"_LPG_LPG"))</f>
        <v>2.3819324386107862E-4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6.8980822210612497E-2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2.9071791187280125E-2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5.9047114653624899E-3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1.2535068980667929E-2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1.9167111324870405E-7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7.0574816857642384E-4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72.747763317652229</v>
      </c>
      <c r="C14" s="21"/>
      <c r="D14" s="21">
        <f t="shared" ref="D14:M14" si="0">((D5)*10^9/3600)+D12</f>
        <v>315.27682098582767</v>
      </c>
      <c r="E14" s="21">
        <f t="shared" si="0"/>
        <v>167.88208524091942</v>
      </c>
      <c r="F14" s="21"/>
      <c r="G14" s="21">
        <f t="shared" si="0"/>
        <v>73132.406321665665</v>
      </c>
      <c r="H14" s="21">
        <f t="shared" si="0"/>
        <v>20055.439746736753</v>
      </c>
      <c r="I14" s="21"/>
      <c r="J14" s="21"/>
      <c r="K14" s="21"/>
      <c r="L14" s="21"/>
      <c r="M14" s="21">
        <f t="shared" si="0"/>
        <v>5511.6439348603426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0.1950578246300744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14.190020459444767</v>
      </c>
      <c r="C18" s="23"/>
      <c r="D18" s="23">
        <f t="shared" ref="D18:M18" si="1">D14*D16</f>
        <v>63.68591783913719</v>
      </c>
      <c r="E18" s="23">
        <f t="shared" si="1"/>
        <v>38.109233349688708</v>
      </c>
      <c r="F18" s="23"/>
      <c r="G18" s="23">
        <f t="shared" si="1"/>
        <v>19526.352487884735</v>
      </c>
      <c r="H18" s="23">
        <f t="shared" si="1"/>
        <v>4993.8044969374514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2.1542729075031786E-3</v>
      </c>
      <c r="H50" s="321">
        <f t="shared" si="2"/>
        <v>0</v>
      </c>
      <c r="I50" s="321">
        <f t="shared" si="2"/>
        <v>0</v>
      </c>
      <c r="J50" s="321">
        <f t="shared" si="2"/>
        <v>0</v>
      </c>
      <c r="K50" s="321">
        <f t="shared" si="2"/>
        <v>0</v>
      </c>
      <c r="L50" s="321">
        <f t="shared" si="2"/>
        <v>0</v>
      </c>
      <c r="M50" s="321">
        <f t="shared" si="2"/>
        <v>1.169031178127982E-4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2.1542729075031786E-3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1.169031178127982E-4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598.40914097310508</v>
      </c>
      <c r="H54" s="21">
        <f t="shared" si="3"/>
        <v>0</v>
      </c>
      <c r="I54" s="21">
        <f t="shared" si="3"/>
        <v>0</v>
      </c>
      <c r="J54" s="21">
        <f t="shared" si="3"/>
        <v>0</v>
      </c>
      <c r="K54" s="21">
        <f t="shared" si="3"/>
        <v>0</v>
      </c>
      <c r="L54" s="21">
        <f t="shared" si="3"/>
        <v>0</v>
      </c>
      <c r="M54" s="21">
        <f t="shared" si="3"/>
        <v>32.473088281332835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0.1950578246300744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159.77524063981906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10197.00443858073</v>
      </c>
      <c r="D10" s="689">
        <f ca="1">tertiair!C16</f>
        <v>0</v>
      </c>
      <c r="E10" s="689">
        <f ca="1">tertiair!D16</f>
        <v>10233.274788016251</v>
      </c>
      <c r="F10" s="689">
        <f>tertiair!E16</f>
        <v>25.969848707851924</v>
      </c>
      <c r="G10" s="689">
        <f ca="1">tertiair!F16</f>
        <v>1384.5650732691199</v>
      </c>
      <c r="H10" s="689">
        <f>tertiair!G16</f>
        <v>0</v>
      </c>
      <c r="I10" s="689">
        <f>tertiair!H16</f>
        <v>0</v>
      </c>
      <c r="J10" s="689">
        <f>tertiair!I16</f>
        <v>0</v>
      </c>
      <c r="K10" s="689">
        <f>tertiair!J16</f>
        <v>1.0167162896310377E-2</v>
      </c>
      <c r="L10" s="689">
        <f>tertiair!K16</f>
        <v>0</v>
      </c>
      <c r="M10" s="689">
        <f ca="1">tertiair!L16</f>
        <v>0</v>
      </c>
      <c r="N10" s="689">
        <f>tertiair!M16</f>
        <v>0</v>
      </c>
      <c r="O10" s="689">
        <f ca="1">tertiair!N16</f>
        <v>377.85524407028294</v>
      </c>
      <c r="P10" s="689">
        <f>tertiair!O16</f>
        <v>4.8972607658411542</v>
      </c>
      <c r="Q10" s="690">
        <f>tertiair!P16</f>
        <v>157.61741491948504</v>
      </c>
      <c r="R10" s="692">
        <f ca="1">SUM(C10:Q10)</f>
        <v>22381.194235492461</v>
      </c>
      <c r="S10" s="67"/>
    </row>
    <row r="11" spans="1:19" s="451" customFormat="1">
      <c r="A11" s="811" t="s">
        <v>224</v>
      </c>
      <c r="B11" s="816"/>
      <c r="C11" s="689">
        <f>huishoudens!B8</f>
        <v>27477.404274559791</v>
      </c>
      <c r="D11" s="689">
        <f>huishoudens!C8</f>
        <v>0</v>
      </c>
      <c r="E11" s="689">
        <f>huishoudens!D8</f>
        <v>38564.550572946166</v>
      </c>
      <c r="F11" s="689">
        <f>huishoudens!E8</f>
        <v>7428.7972988497868</v>
      </c>
      <c r="G11" s="689">
        <f>huishoudens!F8</f>
        <v>21455.647863383321</v>
      </c>
      <c r="H11" s="689">
        <f>huishoudens!G8</f>
        <v>0</v>
      </c>
      <c r="I11" s="689">
        <f>huishoudens!H8</f>
        <v>0</v>
      </c>
      <c r="J11" s="689">
        <f>huishoudens!I8</f>
        <v>0</v>
      </c>
      <c r="K11" s="689">
        <f>huishoudens!J8</f>
        <v>2099.5156652213705</v>
      </c>
      <c r="L11" s="689">
        <f>huishoudens!K8</f>
        <v>0</v>
      </c>
      <c r="M11" s="689">
        <f>huishoudens!L8</f>
        <v>0</v>
      </c>
      <c r="N11" s="689">
        <f>huishoudens!M8</f>
        <v>0</v>
      </c>
      <c r="O11" s="689">
        <f>huishoudens!N8</f>
        <v>11935.003774688661</v>
      </c>
      <c r="P11" s="689">
        <f>huishoudens!O8</f>
        <v>442.42268292330812</v>
      </c>
      <c r="Q11" s="690">
        <f>huishoudens!P8</f>
        <v>1127.1336459222975</v>
      </c>
      <c r="R11" s="692">
        <f>SUM(C11:Q11)</f>
        <v>110530.47577849471</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5921.7522011206383</v>
      </c>
      <c r="D13" s="689">
        <f>industrie!C18</f>
        <v>0</v>
      </c>
      <c r="E13" s="689">
        <f>industrie!D18</f>
        <v>5050.9610363619049</v>
      </c>
      <c r="F13" s="689">
        <f>industrie!E18</f>
        <v>15.751813235085832</v>
      </c>
      <c r="G13" s="689">
        <f>industrie!F18</f>
        <v>897.24409728380726</v>
      </c>
      <c r="H13" s="689">
        <f>industrie!G18</f>
        <v>0</v>
      </c>
      <c r="I13" s="689">
        <f>industrie!H18</f>
        <v>0</v>
      </c>
      <c r="J13" s="689">
        <f>industrie!I18</f>
        <v>0</v>
      </c>
      <c r="K13" s="689">
        <f>industrie!J18</f>
        <v>0.59234385775478005</v>
      </c>
      <c r="L13" s="689">
        <f>industrie!K18</f>
        <v>0</v>
      </c>
      <c r="M13" s="689">
        <f>industrie!L18</f>
        <v>0</v>
      </c>
      <c r="N13" s="689">
        <f>industrie!M18</f>
        <v>0</v>
      </c>
      <c r="O13" s="689">
        <f>industrie!N18</f>
        <v>293.96553068494228</v>
      </c>
      <c r="P13" s="689">
        <f>industrie!O18</f>
        <v>0</v>
      </c>
      <c r="Q13" s="690">
        <f>industrie!P18</f>
        <v>0</v>
      </c>
      <c r="R13" s="692">
        <f>SUM(C13:Q13)</f>
        <v>12180.267022544132</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43596.160914261163</v>
      </c>
      <c r="D16" s="725">
        <f t="shared" ref="D16:R16" ca="1" si="0">SUM(D9:D15)</f>
        <v>0</v>
      </c>
      <c r="E16" s="725">
        <f t="shared" ca="1" si="0"/>
        <v>53848.786397324322</v>
      </c>
      <c r="F16" s="725">
        <f t="shared" si="0"/>
        <v>7470.518960792725</v>
      </c>
      <c r="G16" s="725">
        <f t="shared" ca="1" si="0"/>
        <v>23737.457033936251</v>
      </c>
      <c r="H16" s="725">
        <f t="shared" si="0"/>
        <v>0</v>
      </c>
      <c r="I16" s="725">
        <f t="shared" si="0"/>
        <v>0</v>
      </c>
      <c r="J16" s="725">
        <f t="shared" si="0"/>
        <v>0</v>
      </c>
      <c r="K16" s="725">
        <f t="shared" si="0"/>
        <v>2100.1181762420215</v>
      </c>
      <c r="L16" s="725">
        <f t="shared" si="0"/>
        <v>0</v>
      </c>
      <c r="M16" s="725">
        <f t="shared" ca="1" si="0"/>
        <v>0</v>
      </c>
      <c r="N16" s="725">
        <f t="shared" si="0"/>
        <v>0</v>
      </c>
      <c r="O16" s="725">
        <f t="shared" ca="1" si="0"/>
        <v>12606.824549443885</v>
      </c>
      <c r="P16" s="725">
        <f t="shared" si="0"/>
        <v>447.31994368914928</v>
      </c>
      <c r="Q16" s="725">
        <f t="shared" si="0"/>
        <v>1284.7510608417826</v>
      </c>
      <c r="R16" s="725">
        <f t="shared" ca="1" si="0"/>
        <v>145091.93703653131</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598.40914097310508</v>
      </c>
      <c r="I19" s="689">
        <f>transport!H54</f>
        <v>0</v>
      </c>
      <c r="J19" s="689">
        <f>transport!I54</f>
        <v>0</v>
      </c>
      <c r="K19" s="689">
        <f>transport!J54</f>
        <v>0</v>
      </c>
      <c r="L19" s="689">
        <f>transport!K54</f>
        <v>0</v>
      </c>
      <c r="M19" s="689">
        <f>transport!L54</f>
        <v>0</v>
      </c>
      <c r="N19" s="689">
        <f>transport!M54</f>
        <v>32.473088281332835</v>
      </c>
      <c r="O19" s="689">
        <f>transport!N54</f>
        <v>0</v>
      </c>
      <c r="P19" s="689">
        <f>transport!O54</f>
        <v>0</v>
      </c>
      <c r="Q19" s="690">
        <f>transport!P54</f>
        <v>0</v>
      </c>
      <c r="R19" s="692">
        <f>SUM(C19:Q19)</f>
        <v>630.8822292544379</v>
      </c>
      <c r="S19" s="67"/>
    </row>
    <row r="20" spans="1:19" s="451" customFormat="1">
      <c r="A20" s="811" t="s">
        <v>306</v>
      </c>
      <c r="B20" s="816"/>
      <c r="C20" s="689">
        <f>transport!B14</f>
        <v>72.747763317652229</v>
      </c>
      <c r="D20" s="689">
        <f>transport!C14</f>
        <v>0</v>
      </c>
      <c r="E20" s="689">
        <f>transport!D14</f>
        <v>315.27682098582767</v>
      </c>
      <c r="F20" s="689">
        <f>transport!E14</f>
        <v>167.88208524091942</v>
      </c>
      <c r="G20" s="689">
        <f>transport!F14</f>
        <v>0</v>
      </c>
      <c r="H20" s="689">
        <f>transport!G14</f>
        <v>73132.406321665665</v>
      </c>
      <c r="I20" s="689">
        <f>transport!H14</f>
        <v>20055.439746736753</v>
      </c>
      <c r="J20" s="689">
        <f>transport!I14</f>
        <v>0</v>
      </c>
      <c r="K20" s="689">
        <f>transport!J14</f>
        <v>0</v>
      </c>
      <c r="L20" s="689">
        <f>transport!K14</f>
        <v>0</v>
      </c>
      <c r="M20" s="689">
        <f>transport!L14</f>
        <v>0</v>
      </c>
      <c r="N20" s="689">
        <f>transport!M14</f>
        <v>5511.6439348603426</v>
      </c>
      <c r="O20" s="689">
        <f>transport!N14</f>
        <v>0</v>
      </c>
      <c r="P20" s="689">
        <f>transport!O14</f>
        <v>0</v>
      </c>
      <c r="Q20" s="690">
        <f>transport!P14</f>
        <v>0</v>
      </c>
      <c r="R20" s="692">
        <f>SUM(C20:Q20)</f>
        <v>99255.396672807168</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72.747763317652229</v>
      </c>
      <c r="D22" s="814">
        <f t="shared" ref="D22:R22" si="1">SUM(D18:D21)</f>
        <v>0</v>
      </c>
      <c r="E22" s="814">
        <f t="shared" si="1"/>
        <v>315.27682098582767</v>
      </c>
      <c r="F22" s="814">
        <f t="shared" si="1"/>
        <v>167.88208524091942</v>
      </c>
      <c r="G22" s="814">
        <f t="shared" si="1"/>
        <v>0</v>
      </c>
      <c r="H22" s="814">
        <f t="shared" si="1"/>
        <v>73730.81546263877</v>
      </c>
      <c r="I22" s="814">
        <f t="shared" si="1"/>
        <v>20055.439746736753</v>
      </c>
      <c r="J22" s="814">
        <f t="shared" si="1"/>
        <v>0</v>
      </c>
      <c r="K22" s="814">
        <f t="shared" si="1"/>
        <v>0</v>
      </c>
      <c r="L22" s="814">
        <f t="shared" si="1"/>
        <v>0</v>
      </c>
      <c r="M22" s="814">
        <f t="shared" si="1"/>
        <v>0</v>
      </c>
      <c r="N22" s="814">
        <f t="shared" si="1"/>
        <v>5544.1170231416754</v>
      </c>
      <c r="O22" s="814">
        <f t="shared" si="1"/>
        <v>0</v>
      </c>
      <c r="P22" s="814">
        <f t="shared" si="1"/>
        <v>0</v>
      </c>
      <c r="Q22" s="814">
        <f t="shared" si="1"/>
        <v>0</v>
      </c>
      <c r="R22" s="814">
        <f t="shared" si="1"/>
        <v>99886.278902061604</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2531.7572609623599</v>
      </c>
      <c r="D24" s="689">
        <f>+landbouw!C8</f>
        <v>0</v>
      </c>
      <c r="E24" s="689">
        <f>+landbouw!D8</f>
        <v>328.41517471305099</v>
      </c>
      <c r="F24" s="689">
        <f>+landbouw!E8</f>
        <v>94.416972354316783</v>
      </c>
      <c r="G24" s="689">
        <f>+landbouw!F8</f>
        <v>8213.9988640767915</v>
      </c>
      <c r="H24" s="689">
        <f>+landbouw!G8</f>
        <v>0</v>
      </c>
      <c r="I24" s="689">
        <f>+landbouw!H8</f>
        <v>0</v>
      </c>
      <c r="J24" s="689">
        <f>+landbouw!I8</f>
        <v>0</v>
      </c>
      <c r="K24" s="689">
        <f>+landbouw!J8</f>
        <v>664.59878005310168</v>
      </c>
      <c r="L24" s="689">
        <f>+landbouw!K8</f>
        <v>0</v>
      </c>
      <c r="M24" s="689">
        <f>+landbouw!L8</f>
        <v>0</v>
      </c>
      <c r="N24" s="689">
        <f>+landbouw!M8</f>
        <v>0</v>
      </c>
      <c r="O24" s="689">
        <f>+landbouw!N8</f>
        <v>0</v>
      </c>
      <c r="P24" s="689">
        <f>+landbouw!O8</f>
        <v>0</v>
      </c>
      <c r="Q24" s="690">
        <f>+landbouw!P8</f>
        <v>0</v>
      </c>
      <c r="R24" s="692">
        <f>SUM(C24:Q24)</f>
        <v>11833.187052159621</v>
      </c>
      <c r="S24" s="67"/>
    </row>
    <row r="25" spans="1:19" s="451" customFormat="1" ht="15" thickBot="1">
      <c r="A25" s="833" t="s">
        <v>714</v>
      </c>
      <c r="B25" s="947"/>
      <c r="C25" s="948">
        <f>IF(Onbekend_ele_kWh="---",0,Onbekend_ele_kWh)/1000+IF(REST_rest_ele_kWh="---",0,REST_rest_ele_kWh)/1000</f>
        <v>679.50645610064703</v>
      </c>
      <c r="D25" s="948"/>
      <c r="E25" s="948">
        <f>IF(onbekend_gas_kWh="---",0,onbekend_gas_kWh)/1000+IF(REST_rest_gas_kWh="---",0,REST_rest_gas_kWh)/1000</f>
        <v>1113.0754549382</v>
      </c>
      <c r="F25" s="948"/>
      <c r="G25" s="948"/>
      <c r="H25" s="948"/>
      <c r="I25" s="948"/>
      <c r="J25" s="948"/>
      <c r="K25" s="948"/>
      <c r="L25" s="948"/>
      <c r="M25" s="948"/>
      <c r="N25" s="948"/>
      <c r="O25" s="948"/>
      <c r="P25" s="948"/>
      <c r="Q25" s="949"/>
      <c r="R25" s="692">
        <f>SUM(C25:Q25)</f>
        <v>1792.581911038847</v>
      </c>
      <c r="S25" s="67"/>
    </row>
    <row r="26" spans="1:19" s="451" customFormat="1" ht="15.75" thickBot="1">
      <c r="A26" s="697" t="s">
        <v>715</v>
      </c>
      <c r="B26" s="819"/>
      <c r="C26" s="814">
        <f>SUM(C24:C25)</f>
        <v>3211.2637170630069</v>
      </c>
      <c r="D26" s="814">
        <f t="shared" ref="D26:R26" si="2">SUM(D24:D25)</f>
        <v>0</v>
      </c>
      <c r="E26" s="814">
        <f t="shared" si="2"/>
        <v>1441.4906296512509</v>
      </c>
      <c r="F26" s="814">
        <f t="shared" si="2"/>
        <v>94.416972354316783</v>
      </c>
      <c r="G26" s="814">
        <f t="shared" si="2"/>
        <v>8213.9988640767915</v>
      </c>
      <c r="H26" s="814">
        <f t="shared" si="2"/>
        <v>0</v>
      </c>
      <c r="I26" s="814">
        <f t="shared" si="2"/>
        <v>0</v>
      </c>
      <c r="J26" s="814">
        <f t="shared" si="2"/>
        <v>0</v>
      </c>
      <c r="K26" s="814">
        <f t="shared" si="2"/>
        <v>664.59878005310168</v>
      </c>
      <c r="L26" s="814">
        <f t="shared" si="2"/>
        <v>0</v>
      </c>
      <c r="M26" s="814">
        <f t="shared" si="2"/>
        <v>0</v>
      </c>
      <c r="N26" s="814">
        <f t="shared" si="2"/>
        <v>0</v>
      </c>
      <c r="O26" s="814">
        <f t="shared" si="2"/>
        <v>0</v>
      </c>
      <c r="P26" s="814">
        <f t="shared" si="2"/>
        <v>0</v>
      </c>
      <c r="Q26" s="814">
        <f t="shared" si="2"/>
        <v>0</v>
      </c>
      <c r="R26" s="814">
        <f t="shared" si="2"/>
        <v>13625.768963198469</v>
      </c>
      <c r="S26" s="67"/>
    </row>
    <row r="27" spans="1:19" s="451" customFormat="1" ht="17.25" thickTop="1" thickBot="1">
      <c r="A27" s="698" t="s">
        <v>115</v>
      </c>
      <c r="B27" s="806"/>
      <c r="C27" s="699">
        <f ca="1">C22+C16+C26</f>
        <v>46880.172394641821</v>
      </c>
      <c r="D27" s="699">
        <f t="shared" ref="D27:R27" ca="1" si="3">D22+D16+D26</f>
        <v>0</v>
      </c>
      <c r="E27" s="699">
        <f t="shared" ca="1" si="3"/>
        <v>55605.553847961397</v>
      </c>
      <c r="F27" s="699">
        <f t="shared" si="3"/>
        <v>7732.8180183879613</v>
      </c>
      <c r="G27" s="699">
        <f t="shared" ca="1" si="3"/>
        <v>31951.455898013042</v>
      </c>
      <c r="H27" s="699">
        <f t="shared" si="3"/>
        <v>73730.81546263877</v>
      </c>
      <c r="I27" s="699">
        <f t="shared" si="3"/>
        <v>20055.439746736753</v>
      </c>
      <c r="J27" s="699">
        <f t="shared" si="3"/>
        <v>0</v>
      </c>
      <c r="K27" s="699">
        <f t="shared" si="3"/>
        <v>2764.7169562951231</v>
      </c>
      <c r="L27" s="699">
        <f t="shared" si="3"/>
        <v>0</v>
      </c>
      <c r="M27" s="699">
        <f t="shared" ca="1" si="3"/>
        <v>0</v>
      </c>
      <c r="N27" s="699">
        <f t="shared" si="3"/>
        <v>5544.1170231416754</v>
      </c>
      <c r="O27" s="699">
        <f t="shared" ca="1" si="3"/>
        <v>12606.824549443885</v>
      </c>
      <c r="P27" s="699">
        <f t="shared" si="3"/>
        <v>447.31994368914928</v>
      </c>
      <c r="Q27" s="699">
        <f t="shared" si="3"/>
        <v>1284.7510608417826</v>
      </c>
      <c r="R27" s="699">
        <f t="shared" ca="1" si="3"/>
        <v>258603.98490179138</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1989.0055035327705</v>
      </c>
      <c r="D40" s="689">
        <f ca="1">tertiair!C20</f>
        <v>0</v>
      </c>
      <c r="E40" s="689">
        <f ca="1">tertiair!D20</f>
        <v>2067.1215071792831</v>
      </c>
      <c r="F40" s="689">
        <f>tertiair!E20</f>
        <v>5.8951556566823866</v>
      </c>
      <c r="G40" s="689">
        <f ca="1">tertiair!F20</f>
        <v>369.67887456285501</v>
      </c>
      <c r="H40" s="689">
        <f>tertiair!G20</f>
        <v>0</v>
      </c>
      <c r="I40" s="689">
        <f>tertiair!H20</f>
        <v>0</v>
      </c>
      <c r="J40" s="689">
        <f>tertiair!I20</f>
        <v>0</v>
      </c>
      <c r="K40" s="689">
        <f>tertiair!J20</f>
        <v>3.5991756652938734E-3</v>
      </c>
      <c r="L40" s="689">
        <f>tertiair!K20</f>
        <v>0</v>
      </c>
      <c r="M40" s="689">
        <f ca="1">tertiair!L20</f>
        <v>0</v>
      </c>
      <c r="N40" s="689">
        <f>tertiair!M20</f>
        <v>0</v>
      </c>
      <c r="O40" s="689">
        <f ca="1">tertiair!N20</f>
        <v>0</v>
      </c>
      <c r="P40" s="689">
        <f>tertiair!O20</f>
        <v>0</v>
      </c>
      <c r="Q40" s="772">
        <f>tertiair!P20</f>
        <v>0</v>
      </c>
      <c r="R40" s="852">
        <f t="shared" ca="1" si="4"/>
        <v>4431.7046401072557</v>
      </c>
    </row>
    <row r="41" spans="1:18">
      <c r="A41" s="824" t="s">
        <v>224</v>
      </c>
      <c r="B41" s="831"/>
      <c r="C41" s="689">
        <f ca="1">huishoudens!B12</f>
        <v>5359.68270427674</v>
      </c>
      <c r="D41" s="689">
        <f ca="1">huishoudens!C12</f>
        <v>0</v>
      </c>
      <c r="E41" s="689">
        <f>huishoudens!D12</f>
        <v>7790.0392157351262</v>
      </c>
      <c r="F41" s="689">
        <f>huishoudens!E12</f>
        <v>1686.3369868389016</v>
      </c>
      <c r="G41" s="689">
        <f>huishoudens!F12</f>
        <v>5728.6579795233474</v>
      </c>
      <c r="H41" s="689">
        <f>huishoudens!G12</f>
        <v>0</v>
      </c>
      <c r="I41" s="689">
        <f>huishoudens!H12</f>
        <v>0</v>
      </c>
      <c r="J41" s="689">
        <f>huishoudens!I12</f>
        <v>0</v>
      </c>
      <c r="K41" s="689">
        <f>huishoudens!J12</f>
        <v>743.22854548836506</v>
      </c>
      <c r="L41" s="689">
        <f>huishoudens!K12</f>
        <v>0</v>
      </c>
      <c r="M41" s="689">
        <f>huishoudens!L12</f>
        <v>0</v>
      </c>
      <c r="N41" s="689">
        <f>huishoudens!M12</f>
        <v>0</v>
      </c>
      <c r="O41" s="689">
        <f>huishoudens!N12</f>
        <v>0</v>
      </c>
      <c r="P41" s="689">
        <f>huishoudens!O12</f>
        <v>0</v>
      </c>
      <c r="Q41" s="772">
        <f>huishoudens!P12</f>
        <v>0</v>
      </c>
      <c r="R41" s="852">
        <f t="shared" ca="1" si="4"/>
        <v>21307.945431862481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1155.0841023489465</v>
      </c>
      <c r="D43" s="689">
        <f ca="1">industrie!C22</f>
        <v>0</v>
      </c>
      <c r="E43" s="689">
        <f>industrie!D22</f>
        <v>1020.2941293451048</v>
      </c>
      <c r="F43" s="689">
        <f>industrie!E22</f>
        <v>3.575661604364484</v>
      </c>
      <c r="G43" s="689">
        <f>industrie!F22</f>
        <v>239.56417397477657</v>
      </c>
      <c r="H43" s="689">
        <f>industrie!G22</f>
        <v>0</v>
      </c>
      <c r="I43" s="689">
        <f>industrie!H22</f>
        <v>0</v>
      </c>
      <c r="J43" s="689">
        <f>industrie!I22</f>
        <v>0</v>
      </c>
      <c r="K43" s="689">
        <f>industrie!J22</f>
        <v>0.20968972564519212</v>
      </c>
      <c r="L43" s="689">
        <f>industrie!K22</f>
        <v>0</v>
      </c>
      <c r="M43" s="689">
        <f>industrie!L22</f>
        <v>0</v>
      </c>
      <c r="N43" s="689">
        <f>industrie!M22</f>
        <v>0</v>
      </c>
      <c r="O43" s="689">
        <f>industrie!N22</f>
        <v>0</v>
      </c>
      <c r="P43" s="689">
        <f>industrie!O22</f>
        <v>0</v>
      </c>
      <c r="Q43" s="772">
        <f>industrie!P22</f>
        <v>0</v>
      </c>
      <c r="R43" s="851">
        <f t="shared" ca="1" si="4"/>
        <v>2418.7277569988378</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8503.7723101584561</v>
      </c>
      <c r="D46" s="725">
        <f t="shared" ref="D46:Q46" ca="1" si="5">SUM(D39:D45)</f>
        <v>0</v>
      </c>
      <c r="E46" s="725">
        <f t="shared" ca="1" si="5"/>
        <v>10877.454852259514</v>
      </c>
      <c r="F46" s="725">
        <f t="shared" si="5"/>
        <v>1695.8078040999485</v>
      </c>
      <c r="G46" s="725">
        <f t="shared" ca="1" si="5"/>
        <v>6337.9010280609782</v>
      </c>
      <c r="H46" s="725">
        <f t="shared" si="5"/>
        <v>0</v>
      </c>
      <c r="I46" s="725">
        <f t="shared" si="5"/>
        <v>0</v>
      </c>
      <c r="J46" s="725">
        <f t="shared" si="5"/>
        <v>0</v>
      </c>
      <c r="K46" s="725">
        <f t="shared" si="5"/>
        <v>743.44183438967548</v>
      </c>
      <c r="L46" s="725">
        <f t="shared" si="5"/>
        <v>0</v>
      </c>
      <c r="M46" s="725">
        <f t="shared" ca="1" si="5"/>
        <v>0</v>
      </c>
      <c r="N46" s="725">
        <f t="shared" si="5"/>
        <v>0</v>
      </c>
      <c r="O46" s="725">
        <f t="shared" ca="1" si="5"/>
        <v>0</v>
      </c>
      <c r="P46" s="725">
        <f t="shared" si="5"/>
        <v>0</v>
      </c>
      <c r="Q46" s="725">
        <f t="shared" si="5"/>
        <v>0</v>
      </c>
      <c r="R46" s="725">
        <f ca="1">SUM(R39:R45)</f>
        <v>28158.377828968572</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159.77524063981906</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159.77524063981906</v>
      </c>
    </row>
    <row r="50" spans="1:18">
      <c r="A50" s="827" t="s">
        <v>306</v>
      </c>
      <c r="B50" s="837"/>
      <c r="C50" s="695">
        <f ca="1">transport!B18</f>
        <v>14.190020459444767</v>
      </c>
      <c r="D50" s="695">
        <f>transport!C18</f>
        <v>0</v>
      </c>
      <c r="E50" s="695">
        <f>transport!D18</f>
        <v>63.68591783913719</v>
      </c>
      <c r="F50" s="695">
        <f>transport!E18</f>
        <v>38.109233349688708</v>
      </c>
      <c r="G50" s="695">
        <f>transport!F18</f>
        <v>0</v>
      </c>
      <c r="H50" s="695">
        <f>transport!G18</f>
        <v>19526.352487884735</v>
      </c>
      <c r="I50" s="695">
        <f>transport!H18</f>
        <v>4993.8044969374514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24636.142156470458</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14.190020459444767</v>
      </c>
      <c r="D52" s="725">
        <f t="shared" ref="D52:Q52" ca="1" si="6">SUM(D48:D51)</f>
        <v>0</v>
      </c>
      <c r="E52" s="725">
        <f t="shared" si="6"/>
        <v>63.68591783913719</v>
      </c>
      <c r="F52" s="725">
        <f t="shared" si="6"/>
        <v>38.109233349688708</v>
      </c>
      <c r="G52" s="725">
        <f t="shared" si="6"/>
        <v>0</v>
      </c>
      <c r="H52" s="725">
        <f t="shared" si="6"/>
        <v>19686.127728524552</v>
      </c>
      <c r="I52" s="725">
        <f t="shared" si="6"/>
        <v>4993.8044969374514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24795.917397110275</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493.83906381471348</v>
      </c>
      <c r="D54" s="695">
        <f ca="1">+landbouw!C12</f>
        <v>0</v>
      </c>
      <c r="E54" s="695">
        <f>+landbouw!D12</f>
        <v>66.339865292036308</v>
      </c>
      <c r="F54" s="695">
        <f>+landbouw!E12</f>
        <v>21.432652724429911</v>
      </c>
      <c r="G54" s="695">
        <f>+landbouw!F12</f>
        <v>2193.1376967085034</v>
      </c>
      <c r="H54" s="695">
        <f>+landbouw!G12</f>
        <v>0</v>
      </c>
      <c r="I54" s="695">
        <f>+landbouw!H12</f>
        <v>0</v>
      </c>
      <c r="J54" s="695">
        <f>+landbouw!I12</f>
        <v>0</v>
      </c>
      <c r="K54" s="695">
        <f>+landbouw!J12</f>
        <v>235.26796813879798</v>
      </c>
      <c r="L54" s="695">
        <f>+landbouw!K12</f>
        <v>0</v>
      </c>
      <c r="M54" s="695">
        <f>+landbouw!L12</f>
        <v>0</v>
      </c>
      <c r="N54" s="695">
        <f>+landbouw!M12</f>
        <v>0</v>
      </c>
      <c r="O54" s="695">
        <f>+landbouw!N12</f>
        <v>0</v>
      </c>
      <c r="P54" s="695">
        <f>+landbouw!O12</f>
        <v>0</v>
      </c>
      <c r="Q54" s="696">
        <f>+landbouw!P12</f>
        <v>0</v>
      </c>
      <c r="R54" s="724">
        <f ca="1">SUM(C54:Q54)</f>
        <v>3010.0172466784811</v>
      </c>
    </row>
    <row r="55" spans="1:18" ht="15" thickBot="1">
      <c r="A55" s="827" t="s">
        <v>714</v>
      </c>
      <c r="B55" s="837"/>
      <c r="C55" s="695">
        <f ca="1">C25*'EF ele_warmte'!B12</f>
        <v>132.54305114908337</v>
      </c>
      <c r="D55" s="695"/>
      <c r="E55" s="695">
        <f>E25*EF_CO2_aardgas</f>
        <v>224.8412418975164</v>
      </c>
      <c r="F55" s="695"/>
      <c r="G55" s="695"/>
      <c r="H55" s="695"/>
      <c r="I55" s="695"/>
      <c r="J55" s="695"/>
      <c r="K55" s="695"/>
      <c r="L55" s="695"/>
      <c r="M55" s="695"/>
      <c r="N55" s="695"/>
      <c r="O55" s="695"/>
      <c r="P55" s="695"/>
      <c r="Q55" s="696"/>
      <c r="R55" s="724">
        <f ca="1">SUM(C55:Q55)</f>
        <v>357.38429304659974</v>
      </c>
    </row>
    <row r="56" spans="1:18" ht="15.75" thickBot="1">
      <c r="A56" s="825" t="s">
        <v>715</v>
      </c>
      <c r="B56" s="838"/>
      <c r="C56" s="725">
        <f ca="1">SUM(C54:C55)</f>
        <v>626.38211496379688</v>
      </c>
      <c r="D56" s="725">
        <f t="shared" ref="D56:Q56" ca="1" si="7">SUM(D54:D55)</f>
        <v>0</v>
      </c>
      <c r="E56" s="725">
        <f t="shared" si="7"/>
        <v>291.18110718955268</v>
      </c>
      <c r="F56" s="725">
        <f t="shared" si="7"/>
        <v>21.432652724429911</v>
      </c>
      <c r="G56" s="725">
        <f t="shared" si="7"/>
        <v>2193.1376967085034</v>
      </c>
      <c r="H56" s="725">
        <f t="shared" si="7"/>
        <v>0</v>
      </c>
      <c r="I56" s="725">
        <f t="shared" si="7"/>
        <v>0</v>
      </c>
      <c r="J56" s="725">
        <f t="shared" si="7"/>
        <v>0</v>
      </c>
      <c r="K56" s="725">
        <f t="shared" si="7"/>
        <v>235.26796813879798</v>
      </c>
      <c r="L56" s="725">
        <f t="shared" si="7"/>
        <v>0</v>
      </c>
      <c r="M56" s="725">
        <f t="shared" si="7"/>
        <v>0</v>
      </c>
      <c r="N56" s="725">
        <f t="shared" si="7"/>
        <v>0</v>
      </c>
      <c r="O56" s="725">
        <f t="shared" si="7"/>
        <v>0</v>
      </c>
      <c r="P56" s="725">
        <f t="shared" si="7"/>
        <v>0</v>
      </c>
      <c r="Q56" s="726">
        <f t="shared" si="7"/>
        <v>0</v>
      </c>
      <c r="R56" s="727">
        <f ca="1">SUM(R54:R55)</f>
        <v>3367.401539725081</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9144.3444455816971</v>
      </c>
      <c r="D61" s="733">
        <f t="shared" ref="D61:Q61" ca="1" si="8">D46+D52+D56</f>
        <v>0</v>
      </c>
      <c r="E61" s="733">
        <f t="shared" ca="1" si="8"/>
        <v>11232.321877288203</v>
      </c>
      <c r="F61" s="733">
        <f t="shared" si="8"/>
        <v>1755.3496901740673</v>
      </c>
      <c r="G61" s="733">
        <f t="shared" ca="1" si="8"/>
        <v>8531.0387247694816</v>
      </c>
      <c r="H61" s="733">
        <f t="shared" si="8"/>
        <v>19686.127728524552</v>
      </c>
      <c r="I61" s="733">
        <f t="shared" si="8"/>
        <v>4993.8044969374514</v>
      </c>
      <c r="J61" s="733">
        <f t="shared" si="8"/>
        <v>0</v>
      </c>
      <c r="K61" s="733">
        <f t="shared" si="8"/>
        <v>978.70980252847346</v>
      </c>
      <c r="L61" s="733">
        <f t="shared" si="8"/>
        <v>0</v>
      </c>
      <c r="M61" s="733">
        <f t="shared" ca="1" si="8"/>
        <v>0</v>
      </c>
      <c r="N61" s="733">
        <f t="shared" si="8"/>
        <v>0</v>
      </c>
      <c r="O61" s="733">
        <f t="shared" ca="1" si="8"/>
        <v>0</v>
      </c>
      <c r="P61" s="733">
        <f t="shared" si="8"/>
        <v>0</v>
      </c>
      <c r="Q61" s="733">
        <f t="shared" si="8"/>
        <v>0</v>
      </c>
      <c r="R61" s="733">
        <f ca="1">R46+R52+R56</f>
        <v>56321.696765803928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0.19505782463007434</v>
      </c>
      <c r="D63" s="779">
        <f t="shared" ca="1" si="9"/>
        <v>0</v>
      </c>
      <c r="E63" s="973">
        <f t="shared" ca="1" si="9"/>
        <v>0.20200000000000001</v>
      </c>
      <c r="F63" s="779">
        <f t="shared" si="9"/>
        <v>0.22700000000000001</v>
      </c>
      <c r="G63" s="779">
        <f t="shared" ca="1" si="9"/>
        <v>0.26699999999999996</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5503.048206489334</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5503.048206489334</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5503.048206489334</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5503.048206489334</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27477.404274559791</v>
      </c>
      <c r="C4" s="455">
        <f>huishoudens!C8</f>
        <v>0</v>
      </c>
      <c r="D4" s="455">
        <f>huishoudens!D8</f>
        <v>38564.550572946166</v>
      </c>
      <c r="E4" s="455">
        <f>huishoudens!E8</f>
        <v>7428.7972988497868</v>
      </c>
      <c r="F4" s="455">
        <f>huishoudens!F8</f>
        <v>21455.647863383321</v>
      </c>
      <c r="G4" s="455">
        <f>huishoudens!G8</f>
        <v>0</v>
      </c>
      <c r="H4" s="455">
        <f>huishoudens!H8</f>
        <v>0</v>
      </c>
      <c r="I4" s="455">
        <f>huishoudens!I8</f>
        <v>0</v>
      </c>
      <c r="J4" s="455">
        <f>huishoudens!J8</f>
        <v>2099.5156652213705</v>
      </c>
      <c r="K4" s="455">
        <f>huishoudens!K8</f>
        <v>0</v>
      </c>
      <c r="L4" s="455">
        <f>huishoudens!L8</f>
        <v>0</v>
      </c>
      <c r="M4" s="455">
        <f>huishoudens!M8</f>
        <v>0</v>
      </c>
      <c r="N4" s="455">
        <f>huishoudens!N8</f>
        <v>11935.003774688661</v>
      </c>
      <c r="O4" s="455">
        <f>huishoudens!O8</f>
        <v>442.42268292330812</v>
      </c>
      <c r="P4" s="456">
        <f>huishoudens!P8</f>
        <v>1127.1336459222975</v>
      </c>
      <c r="Q4" s="457">
        <f>SUM(B4:P4)</f>
        <v>110530.47577849471</v>
      </c>
    </row>
    <row r="5" spans="1:17">
      <c r="A5" s="454" t="s">
        <v>155</v>
      </c>
      <c r="B5" s="455">
        <f ca="1">tertiair!B16</f>
        <v>9144.5934385807304</v>
      </c>
      <c r="C5" s="455">
        <f ca="1">tertiair!C16</f>
        <v>0</v>
      </c>
      <c r="D5" s="455">
        <f ca="1">tertiair!D16</f>
        <v>10233.274788016251</v>
      </c>
      <c r="E5" s="455">
        <f>tertiair!E16</f>
        <v>25.969848707851924</v>
      </c>
      <c r="F5" s="455">
        <f ca="1">tertiair!F16</f>
        <v>1384.5650732691199</v>
      </c>
      <c r="G5" s="455">
        <f>tertiair!G16</f>
        <v>0</v>
      </c>
      <c r="H5" s="455">
        <f>tertiair!H16</f>
        <v>0</v>
      </c>
      <c r="I5" s="455">
        <f>tertiair!I16</f>
        <v>0</v>
      </c>
      <c r="J5" s="455">
        <f>tertiair!J16</f>
        <v>1.0167162896310377E-2</v>
      </c>
      <c r="K5" s="455">
        <f>tertiair!K16</f>
        <v>0</v>
      </c>
      <c r="L5" s="455">
        <f ca="1">tertiair!L16</f>
        <v>0</v>
      </c>
      <c r="M5" s="455">
        <f>tertiair!M16</f>
        <v>0</v>
      </c>
      <c r="N5" s="455">
        <f ca="1">tertiair!N16</f>
        <v>377.85524407028294</v>
      </c>
      <c r="O5" s="455">
        <f>tertiair!O16</f>
        <v>4.8972607658411542</v>
      </c>
      <c r="P5" s="456">
        <f>tertiair!P16</f>
        <v>157.61741491948504</v>
      </c>
      <c r="Q5" s="454">
        <f t="shared" ref="Q5:Q14" ca="1" si="0">SUM(B5:P5)</f>
        <v>21328.783235492461</v>
      </c>
    </row>
    <row r="6" spans="1:17">
      <c r="A6" s="454" t="s">
        <v>193</v>
      </c>
      <c r="B6" s="455">
        <f>'openbare verlichting'!B8</f>
        <v>1052.4110000000001</v>
      </c>
      <c r="C6" s="455"/>
      <c r="D6" s="455"/>
      <c r="E6" s="455"/>
      <c r="F6" s="455"/>
      <c r="G6" s="455"/>
      <c r="H6" s="455"/>
      <c r="I6" s="455"/>
      <c r="J6" s="455"/>
      <c r="K6" s="455"/>
      <c r="L6" s="455"/>
      <c r="M6" s="455"/>
      <c r="N6" s="455"/>
      <c r="O6" s="455"/>
      <c r="P6" s="456"/>
      <c r="Q6" s="454">
        <f t="shared" si="0"/>
        <v>1052.4110000000001</v>
      </c>
    </row>
    <row r="7" spans="1:17">
      <c r="A7" s="454" t="s">
        <v>111</v>
      </c>
      <c r="B7" s="455">
        <f>landbouw!B8</f>
        <v>2531.7572609623599</v>
      </c>
      <c r="C7" s="455">
        <f>landbouw!C8</f>
        <v>0</v>
      </c>
      <c r="D7" s="455">
        <f>landbouw!D8</f>
        <v>328.41517471305099</v>
      </c>
      <c r="E7" s="455">
        <f>landbouw!E8</f>
        <v>94.416972354316783</v>
      </c>
      <c r="F7" s="455">
        <f>landbouw!F8</f>
        <v>8213.9988640767915</v>
      </c>
      <c r="G7" s="455">
        <f>landbouw!G8</f>
        <v>0</v>
      </c>
      <c r="H7" s="455">
        <f>landbouw!H8</f>
        <v>0</v>
      </c>
      <c r="I7" s="455">
        <f>landbouw!I8</f>
        <v>0</v>
      </c>
      <c r="J7" s="455">
        <f>landbouw!J8</f>
        <v>664.59878005310168</v>
      </c>
      <c r="K7" s="455">
        <f>landbouw!K8</f>
        <v>0</v>
      </c>
      <c r="L7" s="455">
        <f>landbouw!L8</f>
        <v>0</v>
      </c>
      <c r="M7" s="455">
        <f>landbouw!M8</f>
        <v>0</v>
      </c>
      <c r="N7" s="455">
        <f>landbouw!N8</f>
        <v>0</v>
      </c>
      <c r="O7" s="455">
        <f>landbouw!O8</f>
        <v>0</v>
      </c>
      <c r="P7" s="456">
        <f>landbouw!P8</f>
        <v>0</v>
      </c>
      <c r="Q7" s="454">
        <f t="shared" si="0"/>
        <v>11833.187052159621</v>
      </c>
    </row>
    <row r="8" spans="1:17">
      <c r="A8" s="454" t="s">
        <v>626</v>
      </c>
      <c r="B8" s="455">
        <f>industrie!B18</f>
        <v>5921.7522011206383</v>
      </c>
      <c r="C8" s="455">
        <f>industrie!C18</f>
        <v>0</v>
      </c>
      <c r="D8" s="455">
        <f>industrie!D18</f>
        <v>5050.9610363619049</v>
      </c>
      <c r="E8" s="455">
        <f>industrie!E18</f>
        <v>15.751813235085832</v>
      </c>
      <c r="F8" s="455">
        <f>industrie!F18</f>
        <v>897.24409728380726</v>
      </c>
      <c r="G8" s="455">
        <f>industrie!G18</f>
        <v>0</v>
      </c>
      <c r="H8" s="455">
        <f>industrie!H18</f>
        <v>0</v>
      </c>
      <c r="I8" s="455">
        <f>industrie!I18</f>
        <v>0</v>
      </c>
      <c r="J8" s="455">
        <f>industrie!J18</f>
        <v>0.59234385775478005</v>
      </c>
      <c r="K8" s="455">
        <f>industrie!K18</f>
        <v>0</v>
      </c>
      <c r="L8" s="455">
        <f>industrie!L18</f>
        <v>0</v>
      </c>
      <c r="M8" s="455">
        <f>industrie!M18</f>
        <v>0</v>
      </c>
      <c r="N8" s="455">
        <f>industrie!N18</f>
        <v>293.96553068494228</v>
      </c>
      <c r="O8" s="455">
        <f>industrie!O18</f>
        <v>0</v>
      </c>
      <c r="P8" s="456">
        <f>industrie!P18</f>
        <v>0</v>
      </c>
      <c r="Q8" s="454">
        <f t="shared" si="0"/>
        <v>12180.267022544132</v>
      </c>
    </row>
    <row r="9" spans="1:17" s="460" customFormat="1">
      <c r="A9" s="458" t="s">
        <v>552</v>
      </c>
      <c r="B9" s="459">
        <f>transport!B14</f>
        <v>72.747763317652229</v>
      </c>
      <c r="C9" s="459">
        <f>transport!C14</f>
        <v>0</v>
      </c>
      <c r="D9" s="459">
        <f>transport!D14</f>
        <v>315.27682098582767</v>
      </c>
      <c r="E9" s="459">
        <f>transport!E14</f>
        <v>167.88208524091942</v>
      </c>
      <c r="F9" s="459">
        <f>transport!F14</f>
        <v>0</v>
      </c>
      <c r="G9" s="459">
        <f>transport!G14</f>
        <v>73132.406321665665</v>
      </c>
      <c r="H9" s="459">
        <f>transport!H14</f>
        <v>20055.439746736753</v>
      </c>
      <c r="I9" s="459">
        <f>transport!I14</f>
        <v>0</v>
      </c>
      <c r="J9" s="459">
        <f>transport!J14</f>
        <v>0</v>
      </c>
      <c r="K9" s="459">
        <f>transport!K14</f>
        <v>0</v>
      </c>
      <c r="L9" s="459">
        <f>transport!L14</f>
        <v>0</v>
      </c>
      <c r="M9" s="459">
        <f>transport!M14</f>
        <v>5511.6439348603426</v>
      </c>
      <c r="N9" s="459">
        <f>transport!N14</f>
        <v>0</v>
      </c>
      <c r="O9" s="459">
        <f>transport!O14</f>
        <v>0</v>
      </c>
      <c r="P9" s="459">
        <f>transport!P14</f>
        <v>0</v>
      </c>
      <c r="Q9" s="458">
        <f>SUM(B9:P9)</f>
        <v>99255.396672807168</v>
      </c>
    </row>
    <row r="10" spans="1:17">
      <c r="A10" s="454" t="s">
        <v>542</v>
      </c>
      <c r="B10" s="455">
        <f>transport!B54</f>
        <v>0</v>
      </c>
      <c r="C10" s="455">
        <f>transport!C54</f>
        <v>0</v>
      </c>
      <c r="D10" s="455">
        <f>transport!D54</f>
        <v>0</v>
      </c>
      <c r="E10" s="455">
        <f>transport!E54</f>
        <v>0</v>
      </c>
      <c r="F10" s="455">
        <f>transport!F54</f>
        <v>0</v>
      </c>
      <c r="G10" s="455">
        <f>transport!G54</f>
        <v>598.40914097310508</v>
      </c>
      <c r="H10" s="455">
        <f>transport!H54</f>
        <v>0</v>
      </c>
      <c r="I10" s="455">
        <f>transport!I54</f>
        <v>0</v>
      </c>
      <c r="J10" s="455">
        <f>transport!J54</f>
        <v>0</v>
      </c>
      <c r="K10" s="455">
        <f>transport!K54</f>
        <v>0</v>
      </c>
      <c r="L10" s="455">
        <f>transport!L54</f>
        <v>0</v>
      </c>
      <c r="M10" s="455">
        <f>transport!M54</f>
        <v>32.473088281332835</v>
      </c>
      <c r="N10" s="455">
        <f>transport!N54</f>
        <v>0</v>
      </c>
      <c r="O10" s="455">
        <f>transport!O54</f>
        <v>0</v>
      </c>
      <c r="P10" s="456">
        <f>transport!P54</f>
        <v>0</v>
      </c>
      <c r="Q10" s="454">
        <f t="shared" si="0"/>
        <v>630.8822292544379</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679.50645610064703</v>
      </c>
      <c r="C14" s="462"/>
      <c r="D14" s="462">
        <f>'SEAP template'!E25</f>
        <v>1113.0754549382</v>
      </c>
      <c r="E14" s="462"/>
      <c r="F14" s="462"/>
      <c r="G14" s="462"/>
      <c r="H14" s="462"/>
      <c r="I14" s="462"/>
      <c r="J14" s="462"/>
      <c r="K14" s="462"/>
      <c r="L14" s="462"/>
      <c r="M14" s="462"/>
      <c r="N14" s="462"/>
      <c r="O14" s="462"/>
      <c r="P14" s="463"/>
      <c r="Q14" s="454">
        <f t="shared" si="0"/>
        <v>1792.581911038847</v>
      </c>
    </row>
    <row r="15" spans="1:17" s="466" customFormat="1">
      <c r="A15" s="464" t="s">
        <v>546</v>
      </c>
      <c r="B15" s="465">
        <f ca="1">SUM(B4:B14)</f>
        <v>46880.172394641813</v>
      </c>
      <c r="C15" s="465">
        <f t="shared" ref="C15:Q15" ca="1" si="1">SUM(C4:C14)</f>
        <v>0</v>
      </c>
      <c r="D15" s="465">
        <f t="shared" ca="1" si="1"/>
        <v>55605.553847961404</v>
      </c>
      <c r="E15" s="465">
        <f t="shared" si="1"/>
        <v>7732.8180183879613</v>
      </c>
      <c r="F15" s="465">
        <f t="shared" ca="1" si="1"/>
        <v>31951.455898013042</v>
      </c>
      <c r="G15" s="465">
        <f t="shared" si="1"/>
        <v>73730.81546263877</v>
      </c>
      <c r="H15" s="465">
        <f t="shared" si="1"/>
        <v>20055.439746736753</v>
      </c>
      <c r="I15" s="465">
        <f t="shared" si="1"/>
        <v>0</v>
      </c>
      <c r="J15" s="465">
        <f t="shared" si="1"/>
        <v>2764.7169562951231</v>
      </c>
      <c r="K15" s="465">
        <f t="shared" si="1"/>
        <v>0</v>
      </c>
      <c r="L15" s="465">
        <f t="shared" ca="1" si="1"/>
        <v>0</v>
      </c>
      <c r="M15" s="465">
        <f t="shared" si="1"/>
        <v>5544.1170231416754</v>
      </c>
      <c r="N15" s="465">
        <f t="shared" ca="1" si="1"/>
        <v>12606.824549443885</v>
      </c>
      <c r="O15" s="465">
        <f t="shared" si="1"/>
        <v>447.31994368914928</v>
      </c>
      <c r="P15" s="465">
        <f t="shared" si="1"/>
        <v>1284.7510608417826</v>
      </c>
      <c r="Q15" s="465">
        <f t="shared" ca="1" si="1"/>
        <v>258603.98490179138</v>
      </c>
    </row>
    <row r="17" spans="1:17">
      <c r="A17" s="467" t="s">
        <v>547</v>
      </c>
      <c r="B17" s="784">
        <f ca="1">huishoudens!B10</f>
        <v>0.1950578246300744</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5359.68270427674</v>
      </c>
      <c r="C22" s="455">
        <f t="shared" ref="C22:C32" ca="1" si="3">C4*$C$17</f>
        <v>0</v>
      </c>
      <c r="D22" s="455">
        <f t="shared" ref="D22:D32" si="4">D4*$D$17</f>
        <v>7790.0392157351262</v>
      </c>
      <c r="E22" s="455">
        <f t="shared" ref="E22:E32" si="5">E4*$E$17</f>
        <v>1686.3369868389016</v>
      </c>
      <c r="F22" s="455">
        <f t="shared" ref="F22:F32" si="6">F4*$F$17</f>
        <v>5728.6579795233474</v>
      </c>
      <c r="G22" s="455">
        <f t="shared" ref="G22:G32" si="7">G4*$G$17</f>
        <v>0</v>
      </c>
      <c r="H22" s="455">
        <f t="shared" ref="H22:H32" si="8">H4*$H$17</f>
        <v>0</v>
      </c>
      <c r="I22" s="455">
        <f t="shared" ref="I22:I32" si="9">I4*$I$17</f>
        <v>0</v>
      </c>
      <c r="J22" s="455">
        <f t="shared" ref="J22:J32" si="10">J4*$J$17</f>
        <v>743.22854548836506</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21307.945431862481</v>
      </c>
    </row>
    <row r="23" spans="1:17">
      <c r="A23" s="454" t="s">
        <v>155</v>
      </c>
      <c r="B23" s="455">
        <f t="shared" ca="1" si="2"/>
        <v>1783.7245032560093</v>
      </c>
      <c r="C23" s="455">
        <f t="shared" ca="1" si="3"/>
        <v>0</v>
      </c>
      <c r="D23" s="455">
        <f t="shared" ca="1" si="4"/>
        <v>2067.1215071792831</v>
      </c>
      <c r="E23" s="455">
        <f t="shared" si="5"/>
        <v>5.8951556566823866</v>
      </c>
      <c r="F23" s="455">
        <f t="shared" ca="1" si="6"/>
        <v>369.67887456285501</v>
      </c>
      <c r="G23" s="455">
        <f t="shared" si="7"/>
        <v>0</v>
      </c>
      <c r="H23" s="455">
        <f t="shared" si="8"/>
        <v>0</v>
      </c>
      <c r="I23" s="455">
        <f t="shared" si="9"/>
        <v>0</v>
      </c>
      <c r="J23" s="455">
        <f t="shared" si="10"/>
        <v>3.5991756652938734E-3</v>
      </c>
      <c r="K23" s="455">
        <f t="shared" si="11"/>
        <v>0</v>
      </c>
      <c r="L23" s="455">
        <f t="shared" ca="1" si="12"/>
        <v>0</v>
      </c>
      <c r="M23" s="455">
        <f t="shared" si="13"/>
        <v>0</v>
      </c>
      <c r="N23" s="455">
        <f t="shared" ca="1" si="14"/>
        <v>0</v>
      </c>
      <c r="O23" s="455">
        <f t="shared" si="15"/>
        <v>0</v>
      </c>
      <c r="P23" s="456">
        <f t="shared" si="16"/>
        <v>0</v>
      </c>
      <c r="Q23" s="454">
        <f t="shared" ref="Q23:Q31" ca="1" si="17">SUM(B23:P23)</f>
        <v>4226.4236398304947</v>
      </c>
    </row>
    <row r="24" spans="1:17">
      <c r="A24" s="454" t="s">
        <v>193</v>
      </c>
      <c r="B24" s="455">
        <f t="shared" ca="1" si="2"/>
        <v>205.28100027676123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205.28100027676123</v>
      </c>
    </row>
    <row r="25" spans="1:17">
      <c r="A25" s="454" t="s">
        <v>111</v>
      </c>
      <c r="B25" s="455">
        <f t="shared" ca="1" si="2"/>
        <v>493.83906381471348</v>
      </c>
      <c r="C25" s="455">
        <f t="shared" ca="1" si="3"/>
        <v>0</v>
      </c>
      <c r="D25" s="455">
        <f t="shared" si="4"/>
        <v>66.339865292036308</v>
      </c>
      <c r="E25" s="455">
        <f t="shared" si="5"/>
        <v>21.432652724429911</v>
      </c>
      <c r="F25" s="455">
        <f t="shared" si="6"/>
        <v>2193.1376967085034</v>
      </c>
      <c r="G25" s="455">
        <f t="shared" si="7"/>
        <v>0</v>
      </c>
      <c r="H25" s="455">
        <f t="shared" si="8"/>
        <v>0</v>
      </c>
      <c r="I25" s="455">
        <f t="shared" si="9"/>
        <v>0</v>
      </c>
      <c r="J25" s="455">
        <f t="shared" si="10"/>
        <v>235.26796813879798</v>
      </c>
      <c r="K25" s="455">
        <f t="shared" si="11"/>
        <v>0</v>
      </c>
      <c r="L25" s="455">
        <f t="shared" si="12"/>
        <v>0</v>
      </c>
      <c r="M25" s="455">
        <f t="shared" si="13"/>
        <v>0</v>
      </c>
      <c r="N25" s="455">
        <f t="shared" si="14"/>
        <v>0</v>
      </c>
      <c r="O25" s="455">
        <f t="shared" si="15"/>
        <v>0</v>
      </c>
      <c r="P25" s="456">
        <f t="shared" si="16"/>
        <v>0</v>
      </c>
      <c r="Q25" s="454">
        <f t="shared" ca="1" si="17"/>
        <v>3010.0172466784811</v>
      </c>
    </row>
    <row r="26" spans="1:17">
      <c r="A26" s="454" t="s">
        <v>626</v>
      </c>
      <c r="B26" s="455">
        <f t="shared" ca="1" si="2"/>
        <v>1155.0841023489465</v>
      </c>
      <c r="C26" s="455">
        <f t="shared" ca="1" si="3"/>
        <v>0</v>
      </c>
      <c r="D26" s="455">
        <f t="shared" si="4"/>
        <v>1020.2941293451048</v>
      </c>
      <c r="E26" s="455">
        <f t="shared" si="5"/>
        <v>3.575661604364484</v>
      </c>
      <c r="F26" s="455">
        <f t="shared" si="6"/>
        <v>239.56417397477657</v>
      </c>
      <c r="G26" s="455">
        <f t="shared" si="7"/>
        <v>0</v>
      </c>
      <c r="H26" s="455">
        <f t="shared" si="8"/>
        <v>0</v>
      </c>
      <c r="I26" s="455">
        <f t="shared" si="9"/>
        <v>0</v>
      </c>
      <c r="J26" s="455">
        <f t="shared" si="10"/>
        <v>0.20968972564519212</v>
      </c>
      <c r="K26" s="455">
        <f t="shared" si="11"/>
        <v>0</v>
      </c>
      <c r="L26" s="455">
        <f t="shared" si="12"/>
        <v>0</v>
      </c>
      <c r="M26" s="455">
        <f t="shared" si="13"/>
        <v>0</v>
      </c>
      <c r="N26" s="455">
        <f t="shared" si="14"/>
        <v>0</v>
      </c>
      <c r="O26" s="455">
        <f t="shared" si="15"/>
        <v>0</v>
      </c>
      <c r="P26" s="456">
        <f t="shared" si="16"/>
        <v>0</v>
      </c>
      <c r="Q26" s="454">
        <f t="shared" ca="1" si="17"/>
        <v>2418.7277569988378</v>
      </c>
    </row>
    <row r="27" spans="1:17" s="460" customFormat="1">
      <c r="A27" s="458" t="s">
        <v>552</v>
      </c>
      <c r="B27" s="778">
        <f t="shared" ca="1" si="2"/>
        <v>14.190020459444767</v>
      </c>
      <c r="C27" s="459">
        <f t="shared" ca="1" si="3"/>
        <v>0</v>
      </c>
      <c r="D27" s="459">
        <f t="shared" si="4"/>
        <v>63.68591783913719</v>
      </c>
      <c r="E27" s="459">
        <f t="shared" si="5"/>
        <v>38.109233349688708</v>
      </c>
      <c r="F27" s="459">
        <f t="shared" si="6"/>
        <v>0</v>
      </c>
      <c r="G27" s="459">
        <f t="shared" si="7"/>
        <v>19526.352487884735</v>
      </c>
      <c r="H27" s="459">
        <f t="shared" si="8"/>
        <v>4993.8044969374514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24636.142156470458</v>
      </c>
    </row>
    <row r="28" spans="1:17" ht="16.5" customHeight="1">
      <c r="A28" s="454" t="s">
        <v>542</v>
      </c>
      <c r="B28" s="455">
        <f t="shared" ca="1" si="2"/>
        <v>0</v>
      </c>
      <c r="C28" s="455">
        <f t="shared" ca="1" si="3"/>
        <v>0</v>
      </c>
      <c r="D28" s="455">
        <f t="shared" si="4"/>
        <v>0</v>
      </c>
      <c r="E28" s="455">
        <f t="shared" si="5"/>
        <v>0</v>
      </c>
      <c r="F28" s="455">
        <f t="shared" si="6"/>
        <v>0</v>
      </c>
      <c r="G28" s="455">
        <f t="shared" si="7"/>
        <v>159.77524063981906</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159.77524063981906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132.54305114908337</v>
      </c>
      <c r="C32" s="455">
        <f t="shared" ca="1" si="3"/>
        <v>0</v>
      </c>
      <c r="D32" s="455">
        <f t="shared" si="4"/>
        <v>224.8412418975164</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357.38429304659974</v>
      </c>
    </row>
    <row r="33" spans="1:17" s="466" customFormat="1">
      <c r="A33" s="464" t="s">
        <v>546</v>
      </c>
      <c r="B33" s="465">
        <f ca="1">SUM(B22:B32)</f>
        <v>9144.3444455816971</v>
      </c>
      <c r="C33" s="465">
        <f t="shared" ref="C33:Q33" ca="1" si="19">SUM(C22:C32)</f>
        <v>0</v>
      </c>
      <c r="D33" s="465">
        <f t="shared" ca="1" si="19"/>
        <v>11232.321877288205</v>
      </c>
      <c r="E33" s="465">
        <f t="shared" si="19"/>
        <v>1755.3496901740673</v>
      </c>
      <c r="F33" s="465">
        <f t="shared" ca="1" si="19"/>
        <v>8531.0387247694816</v>
      </c>
      <c r="G33" s="465">
        <f t="shared" si="19"/>
        <v>19686.127728524552</v>
      </c>
      <c r="H33" s="465">
        <f t="shared" si="19"/>
        <v>4993.8044969374514</v>
      </c>
      <c r="I33" s="465">
        <f t="shared" si="19"/>
        <v>0</v>
      </c>
      <c r="J33" s="465">
        <f t="shared" si="19"/>
        <v>978.70980252847346</v>
      </c>
      <c r="K33" s="465">
        <f t="shared" si="19"/>
        <v>0</v>
      </c>
      <c r="L33" s="465">
        <f t="shared" ca="1" si="19"/>
        <v>0</v>
      </c>
      <c r="M33" s="465">
        <f t="shared" si="19"/>
        <v>0</v>
      </c>
      <c r="N33" s="465">
        <f t="shared" ca="1" si="19"/>
        <v>0</v>
      </c>
      <c r="O33" s="465">
        <f t="shared" si="19"/>
        <v>0</v>
      </c>
      <c r="P33" s="465">
        <f t="shared" si="19"/>
        <v>0</v>
      </c>
      <c r="Q33" s="465">
        <f t="shared" ca="1" si="19"/>
        <v>56321.696765803936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5503.048206489334</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5503.048206489334</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0.1950578246300744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0.1950578246300744</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2020-06-20T15:25:02Z</dcterms:modified>
</cp:coreProperties>
</file>