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0" i="16"/>
  <c r="C22" i="16" s="1"/>
  <c r="D43"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<sst xmlns="http://schemas.openxmlformats.org/spreadsheetml/2006/main" count="2400" uniqueCount="881">
  <si>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</si>
  <si>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</si>
  <si>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</si>
  <si>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</si>
  <si>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</si>
  <si>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</si>
  <si>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</si>
  <si>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</si>
  <si>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</si>
  <si>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</si>
  <si>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</si>
  <si>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</si>
  <si>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</si>
  <si>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</si>
  <si>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</si>
  <si>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</si>
  <si>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</si>
  <si>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</si>
  <si>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</si>
  <si>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</si>
  <si>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</si>
  <si>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</si>
  <si>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</si>
  <si>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</si>
  <si>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</si>
  <si>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</si>
  <si>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</si>
  <si>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</si>
  <si>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</si>
  <si>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</si>
  <si>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</si>
  <si>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</si>
  <si>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</si>
  <si>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</si>
  <si>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</si>
  <si>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</si>
  <si>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</si>
  <si>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</si>
  <si>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</si>
  <si>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</si>
  <si>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</si>
  <si>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</si>
  <si>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</si>
  <si>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</si>
  <si>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</si>
  <si>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</si>
  <si>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</si>
  <si>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</si>
  <si>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</si>
  <si>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</si>
  <si>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</si>
  <si>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</si>
  <si>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</si>
  <si>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</si>
  <si>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</si>
  <si>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</si>
  <si>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</si>
  <si>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</si>
  <si>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</si>
  <si>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</si>
  <si>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</si>
  <si>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</si>
  <si>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</si>
  <si>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</si>
  <si>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</si>
  <si>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</si>
  <si>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</si>
  <si>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</si>
  <si>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</si>
  <si>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</si>
  <si>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</si>
  <si>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</si>
  <si>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</si>
  <si>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</si>
  <si>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</si>
  <si>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</si>
  <si>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</si>
  <si>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</si>
  <si>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</si>
  <si>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</si>
  <si>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</si>
  <si>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</si>
  <si>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</si>
  <si>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</si>
  <si>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</si>
  <si>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</si>
  <si>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</si>
  <si>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</si>
  <si>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</si>
  <si>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</si>
  <si>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</si>
  <si>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</si>
  <si>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</si>
  <si>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</si>
  <si>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</si>
  <si>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</si>
  <si>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</si>
  <si>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</si>
  <si>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</si>
  <si>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</si>
  <si>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</si>
  <si>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</si>
  <si>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</si>
  <si>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</si>
  <si>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</si>
  <si>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</si>
  <si>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</si>
  <si>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</si>
  <si>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</si>
  <si>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</si>
  <si>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</si>
  <si>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</si>
  <si>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</si>
  <si>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</si>
  <si>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</si>
  <si>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</si>
  <si>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</si>
  <si>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</si>
  <si>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</si>
  <si>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</si>
  <si>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</si>
  <si>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</si>
  <si>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</si>
  <si>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</si>
  <si>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</si>
  <si>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</si>
  <si>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</si>
  <si>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</si>
  <si>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</si>
  <si>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</si>
  <si>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</si>
  <si>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</si>
  <si>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</si>
  <si>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</si>
  <si>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</si>
  <si>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</si>
  <si>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</si>
  <si>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</si>
  <si>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</si>
  <si>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</si>
  <si>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</si>
  <si>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</si>
  <si>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</si>
  <si>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</si>
  <si>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</si>
  <si>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</si>
  <si>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</si>
  <si>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</si>
  <si>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</si>
  <si>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</si>
  <si>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</si>
  <si>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</si>
  <si>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</si>
  <si>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</si>
  <si>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</si>
  <si>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</si>
  <si>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</si>
  <si>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</si>
  <si>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</si>
  <si>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</si>
  <si>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</si>
  <si>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</si>
  <si>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</si>
  <si>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</si>
  <si>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</si>
  <si>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</si>
  <si>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</si>
  <si>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</si>
  <si>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</si>
  <si>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</si>
  <si>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</si>
  <si>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</si>
  <si>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</si>
  <si>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</si>
  <si>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</si>
  <si>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</si>
  <si>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</si>
  <si>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</si>
  <si>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</si>
  <si>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</si>
  <si>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</si>
  <si>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</si>
  <si>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</si>
  <si>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</si>
  <si>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</si>
  <si>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</si>
  <si>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</si>
  <si>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</si>
  <si>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</si>
  <si>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</si>
  <si>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</si>
  <si>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</si>
  <si>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</si>
  <si>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</si>
  <si>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</si>
  <si>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</si>
  <si>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</si>
  <si>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</si>
  <si>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</si>
  <si>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</si>
  <si>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</si>
  <si>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</si>
  <si>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</si>
  <si>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</si>
  <si>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</si>
  <si>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</si>
  <si>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</si>
  <si>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</si>
  <si>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</si>
  <si>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</si>
  <si>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</si>
  <si>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</si>
  <si>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</si>
  <si>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</si>
  <si>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</si>
  <si>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</si>
  <si>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</si>
  <si>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</si>
  <si>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</si>
  <si>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</si>
  <si>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</si>
  <si>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</si>
  <si>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</si>
  <si>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</si>
  <si>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</si>
  <si>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</si>
  <si>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</si>
  <si>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</si>
  <si>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</si>
  <si>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</si>
  <si>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</si>
  <si>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</si>
  <si>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</si>
  <si>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</si>
  <si>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</si>
  <si>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</si>
  <si>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</si>
  <si>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</si>
  <si>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</si>
  <si>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</si>
  <si>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</si>
  <si>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</si>
  <si>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</si>
  <si>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</si>
  <si>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</si>
  <si>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</si>
  <si>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</si>
  <si>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</si>
  <si>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</si>
  <si>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</si>
  <si>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</si>
  <si>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</si>
  <si>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</si>
  <si>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</si>
  <si>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</si>
  <si>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</si>
  <si>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</si>
  <si>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</si>
  <si>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</si>
  <si>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</si>
  <si>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</si>
  <si>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</si>
  <si>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</si>
  <si>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</si>
  <si>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</si>
  <si>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</si>
  <si>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</si>
  <si>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</si>
  <si>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</si>
  <si>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</si>
  <si>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</si>
  <si>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</si>
  <si>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</si>
  <si>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</si>
  <si>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</si>
  <si>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</si>
  <si>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</si>
  <si>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</si>
  <si>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</si>
  <si>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</si>
  <si>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</si>
  <si>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</si>
  <si>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</si>
  <si>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</si>
  <si>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</si>
  <si>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</si>
  <si>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</si>
  <si>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</si>
  <si>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</si>
  <si>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</si>
  <si>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</si>
  <si>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</si>
  <si>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</si>
  <si>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</si>
  <si>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</si>
  <si>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</si>
  <si>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</si>
  <si>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</si>
  <si>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</si>
  <si>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</si>
  <si>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</si>
  <si>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</si>
  <si>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</si>
  <si>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</si>
  <si>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</si>
  <si>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</si>
  <si>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</si>
  <si>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</si>
  <si>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</si>
  <si>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</si>
  <si>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</si>
  <si>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</si>
  <si>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</si>
  <si>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</si>
  <si>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</si>
  <si>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</si>
  <si>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</si>
  <si>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</si>
  <si>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</si>
  <si>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</si>
  <si>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</si>
  <si>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</si>
  <si>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</si>
  <si>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</si>
  <si>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</si>
  <si>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</si>
  <si>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</si>
  <si>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</si>
  <si>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</si>
  <si>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</si>
  <si>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</si>
  <si>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</si>
  <si>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</si>
  <si>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</si>
  <si>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</si>
  <si>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</si>
  <si>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</si>
  <si>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</si>
  <si>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</si>
  <si>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</si>
  <si>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</si>
  <si>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</si>
  <si>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</si>
  <si>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</si>
  <si>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</si>
  <si>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</si>
  <si>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</si>
  <si>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</si>
  <si>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</si>
  <si>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</si>
  <si>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</si>
  <si>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</si>
  <si>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</si>
  <si>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</si>
  <si>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</si>
  <si>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</si>
  <si>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</si>
  <si>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</si>
  <si>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</si>
  <si>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</si>
  <si>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</si>
  <si>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</si>
  <si>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</si>
  <si>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</si>
  <si>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</si>
  <si>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</si>
  <si>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</si>
  <si>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</si>
  <si>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</si>
  <si>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</si>
  <si>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</si>
  <si>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</si>
  <si>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</si>
  <si>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</si>
  <si>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</si>
  <si>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</si>
  <si>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</si>
  <si>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</si>
  <si>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</si>
  <si>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</si>
  <si>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</si>
  <si>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</si>
  <si>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</si>
  <si>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</si>
  <si>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</si>
  <si>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</si>
  <si>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</si>
  <si>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</si>
  <si>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</si>
  <si>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</si>
  <si>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</si>
  <si>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</si>
  <si>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</si>
  <si>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</si>
  <si>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</si>
  <si>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</si>
  <si>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</si>
  <si>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</si>
  <si>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</si>
  <si>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</si>
  <si>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</si>
  <si>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</si>
  <si>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</si>
  <si>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</si>
  <si>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</si>
  <si>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</si>
  <si>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</si>
  <si>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</si>
  <si>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</si>
  <si>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</si>
  <si>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</si>
  <si>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</si>
  <si>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</si>
  <si>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</si>
  <si>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</si>
  <si>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</si>
  <si>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</si>
  <si>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</si>
  <si>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</si>
  <si>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</si>
  <si>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</si>
  <si>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</si>
  <si>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</si>
  <si>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</si>
  <si>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</si>
  <si>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</si>
  <si>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</si>
  <si>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</si>
  <si>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</si>
  <si>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</si>
  <si>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</si>
  <si>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</si>
  <si>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</si>
  <si>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</si>
  <si>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</si>
  <si>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</si>
  <si>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</si>
  <si>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</si>
  <si>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</si>
  <si>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</si>
  <si>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</si>
  <si>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</si>
  <si>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</si>
  <si>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</si>
  <si>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</si>
  <si>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</si>
  <si>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</si>
  <si>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</si>
  <si>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</si>
  <si>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</si>
  <si>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</si>
  <si>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</si>
  <si>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</si>
  <si>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</si>
  <si>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</si>
  <si>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</si>
  <si>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</si>
  <si>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</si>
  <si>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</si>
  <si>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</si>
  <si>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</si>
  <si>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</si>
  <si>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</si>
  <si>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</si>
  <si>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</si>
  <si>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</si>
  <si>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</si>
  <si>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</si>
  <si>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</si>
  <si>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</si>
  <si>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</si>
  <si>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</si>
  <si>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</si>
  <si>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</si>
  <si>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</si>
  <si>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</si>
  <si>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</si>
  <si>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</si>
  <si>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</si>
  <si>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</si>
  <si>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</si>
  <si>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</si>
  <si>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</si>
  <si>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</si>
  <si>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</si>
  <si>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</si>
  <si>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</si>
  <si>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</si>
  <si>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</si>
  <si>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</si>
  <si>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</si>
  <si>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</si>
  <si>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</si>
  <si>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</si>
  <si>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</si>
  <si>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</si>
  <si>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</si>
  <si>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</si>
  <si>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</si>
  <si>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</si>
  <si>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</si>
  <si>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</si>
  <si>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</si>
  <si>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</si>
  <si>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</si>
  <si>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</si>
  <si>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</si>
  <si>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</si>
  <si>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</si>
  <si>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</si>
  <si>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</si>
  <si>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</si>
  <si>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</si>
  <si>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</si>
  <si>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</si>
  <si>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</si>
  <si>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</si>
  <si>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</si>
  <si>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</si>
  <si>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</si>
  <si>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</si>
  <si>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</si>
  <si>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</si>
  <si>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</si>
  <si>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</si>
  <si>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</si>
  <si>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</si>
  <si>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</si>
  <si>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</si>
  <si>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</si>
  <si>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</si>
  <si>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</si>
  <si>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</si>
  <si>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</si>
  <si>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</si>
  <si>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</si>
  <si>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</si>
  <si>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</si>
  <si>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</si>
  <si>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</si>
  <si>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</si>
  <si>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</si>
  <si>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</si>
  <si>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</si>
  <si>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</si>
  <si>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</si>
  <si>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</si>
  <si>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</si>
  <si>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</si>
  <si>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</si>
  <si>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</si>
  <si>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</si>
  <si>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</si>
  <si>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</si>
  <si>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</si>
  <si>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</si>
  <si>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</si>
  <si>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</si>
  <si>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</si>
  <si>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</si>
  <si>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</si>
  <si>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</si>
  <si>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</si>
  <si>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</si>
  <si>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</si>
  <si>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</si>
  <si>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</si>
  <si>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</si>
  <si>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</si>
  <si>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</si>
  <si>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</si>
  <si>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</si>
  <si>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</si>
  <si>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</si>
  <si>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</si>
  <si>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</si>
  <si>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</si>
  <si>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</si>
  <si>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</si>
  <si>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</si>
  <si>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</si>
  <si>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</si>
  <si>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</si>
  <si>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</si>
  <si>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</si>
  <si>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</si>
  <si>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</si>
  <si>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</si>
  <si>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</si>
  <si>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</si>
  <si>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</si>
  <si>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</si>
  <si>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</si>
  <si>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</si>
  <si>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</si>
  <si>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</si>
  <si>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</si>
  <si>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</si>
  <si>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</si>
  <si>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</si>
  <si>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</si>
  <si>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</si>
  <si>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</si>
  <si>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</si>
  <si>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</si>
  <si>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</si>
  <si>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</si>
  <si>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</si>
  <si>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</si>
  <si>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</si>
  <si>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</si>
  <si>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</si>
  <si>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</si>
  <si>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</si>
  <si>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</si>
  <si>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</si>
  <si>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</si>
  <si>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</si>
  <si>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</si>
  <si>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</si>
  <si>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</si>
  <si>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</si>
  <si>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</si>
  <si>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</si>
  <si>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</si>
  <si>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</si>
  <si>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</si>
  <si>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</si>
  <si>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</si>
  <si>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</si>
  <si>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</si>
  <si>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</si>
  <si>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</si>
  <si>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</si>
  <si>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</si>
  <si>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</si>
  <si>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</si>
  <si>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</si>
  <si>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</si>
  <si>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</si>
  <si>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</si>
  <si>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</si>
  <si>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</si>
  <si>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</si>
  <si>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</si>
  <si>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</si>
  <si>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</si>
  <si>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</si>
  <si>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</si>
  <si>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</si>
  <si>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</si>
  <si>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</si>
  <si>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</si>
  <si>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</si>
  <si>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</si>
  <si>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</si>
  <si>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</si>
  <si>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</si>
  <si>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</si>
  <si>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</si>
  <si>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</si>
  <si>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</si>
  <si>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</si>
  <si>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</si>
  <si>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</si>
  <si>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</si>
  <si>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</si>
  <si>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</si>
  <si>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</si>
  <si>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</si>
  <si>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</si>
  <si>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</si>
  <si>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</si>
  <si>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</si>
  <si>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</si>
  <si>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</si>
  <si>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</si>
  <si>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</si>
  <si>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</si>
  <si>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</si>
  <si>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</si>
  <si>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</si>
  <si>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</si>
  <si>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</si>
  <si>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</si>
  <si>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</si>
  <si>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</si>
  <si>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</si>
  <si>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</si>
  <si>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</si>
  <si>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</si>
  <si>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</si>
  <si>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</si>
  <si>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</si>
  <si>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</si>
  <si>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</si>
  <si>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</si>
  <si>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</si>
  <si>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</si>
  <si>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</si>
  <si>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</si>
  <si>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</si>
  <si>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</si>
  <si>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</si>
  <si>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</si>
  <si>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</si>
  <si>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</si>
  <si>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</si>
  <si>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</si>
  <si>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</si>
  <si>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</si>
  <si>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</si>
  <si>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</si>
  <si>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</si>
  <si>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</si>
  <si>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</si>
  <si>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</si>
  <si>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</si>
  <si>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</si>
  <si>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</si>
  <si>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</si>
  <si>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</si>
  <si>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</si>
  <si>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</si>
  <si>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</si>
  <si>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</si>
  <si>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</si>
  <si>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</si>
  <si>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</si>
  <si>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</si>
  <si>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</si>
  <si>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</si>
  <si>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</si>
  <si>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</si>
  <si>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</si>
  <si>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</si>
  <si>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</si>
  <si>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</si>
  <si>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</si>
  <si>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</si>
  <si>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</si>
  <si>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</si>
  <si>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</si>
  <si>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</si>
  <si>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</si>
  <si>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</si>
  <si>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</si>
  <si>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</si>
  <si>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</si>
  <si>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</si>
  <si>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</si>
  <si>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</si>
  <si>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</si>
  <si>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</si>
  <si>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</si>
  <si>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</si>
  <si>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</si>
  <si>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</si>
  <si>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</si>
  <si>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</si>
  <si>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</si>
  <si>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</si>
  <si>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</si>
  <si>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</si>
  <si>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</si>
  <si>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</si>
  <si>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</si>
  <si>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</si>
  <si>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</si>
  <si>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</si>
  <si>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</si>
  <si>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</si>
  <si>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</si>
  <si>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</si>
  <si>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</si>
  <si>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</si>
  <si>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</si>
  <si>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</si>
  <si>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</si>
  <si>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</si>
  <si>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</si>
  <si>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</si>
  <si>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</si>
  <si>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</si>
  <si>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</si>
  <si>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</si>
  <si>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</si>
  <si>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</si>
  <si>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</si>
  <si>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</si>
  <si>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</si>
  <si>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</si>
  <si>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</si>
  <si>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</si>
  <si>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</si>
  <si>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</si>
  <si>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</si>
  <si>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</si>
  <si>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</si>
  <si>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</si>
  <si>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</si>
  <si>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</si>
  <si>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</si>
  <si>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</si>
  <si>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</si>
  <si>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</si>
  <si>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</si>
  <si>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</si>
  <si>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</si>
  <si>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</si>
  <si>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</si>
  <si>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</si>
  <si>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</si>
  <si>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</si>
  <si>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</si>
  <si>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</si>
  <si>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</si>
  <si>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</si>
  <si>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</si>
  <si>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</si>
  <si>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</si>
  <si>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</si>
  <si>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</si>
  <si>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</si>
  <si>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</si>
  <si>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</si>
  <si>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</si>
  <si>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</si>
  <si>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</si>
  <si>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</si>
  <si>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</si>
  <si>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</si>
  <si>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</si>
  <si>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</si>
  <si>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</si>
  <si>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</si>
  <si>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</si>
  <si>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</si>
  <si>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</si>
  <si>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</si>
  <si>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</si>
  <si>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</si>
  <si>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</si>
  <si>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</si>
  <si>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</si>
  <si>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</si>
  <si>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</si>
  <si>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</si>
  <si>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</si>
  <si>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</si>
  <si>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</si>
  <si>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</si>
  <si>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</si>
  <si>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</si>
  <si>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</si>
  <si>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</si>
  <si>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</si>
  <si>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</si>
  <si>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</si>
  <si>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</si>
  <si>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</si>
  <si>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</si>
  <si>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44019</t>
  </si>
  <si>
    <t>EVERGEM</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</si>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</sst>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251425.72527790067</c:v>
                </c:pt>
                <c:pt idx="1">
                  <c:v>85379.367635505987</c:v>
                </c:pt>
                <c:pt idx="2">
                  <c:v>2164.6509999999998</c:v>
                </c:pt>
                <c:pt idx="3">
                  <c:v>25625.791998526471</c:v>
                </c:pt>
                <c:pt idx="4">
                  <c:v>135021.44938172042</c:v>
                </c:pt>
                <c:pt idx="5">
                  <c:v>171850.92251273704</c:v>
                </c:pt>
                <c:pt idx="6">
                  <c:v>3859.6164158824822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251425.72527790067</c:v>
                </c:pt>
                <c:pt idx="1">
                  <c:v>85379.367635505987</c:v>
                </c:pt>
                <c:pt idx="2">
                  <c:v>2164.6509999999998</c:v>
                </c:pt>
                <c:pt idx="3">
                  <c:v>25625.791998526471</c:v>
                </c:pt>
                <c:pt idx="4">
                  <c:v>135021.44938172042</c:v>
                </c:pt>
                <c:pt idx="5">
                  <c:v>171850.92251273704</c:v>
                </c:pt>
                <c:pt idx="6">
                  <c:v>3859.6164158824822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38563.537350762381</c:v>
                </c:pt>
                <c:pt idx="1">
                  <c:v>13896.94981631329</c:v>
                </c:pt>
                <c:pt idx="2">
                  <c:v>234.01489644272203</c:v>
                </c:pt>
                <c:pt idx="3">
                  <c:v>5985.1587755846494</c:v>
                </c:pt>
                <c:pt idx="4">
                  <c:v>23497.56356611201</c:v>
                </c:pt>
                <c:pt idx="5">
                  <c:v>42674.852524852453</c:v>
                </c:pt>
                <c:pt idx="6">
                  <c:v>820.85796620451879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38563.537350762381</c:v>
                </c:pt>
                <c:pt idx="1">
                  <c:v>13896.94981631329</c:v>
                </c:pt>
                <c:pt idx="2">
                  <c:v>234.01489644272203</c:v>
                </c:pt>
                <c:pt idx="3">
                  <c:v>5985.1587755846494</c:v>
                </c:pt>
                <c:pt idx="4">
                  <c:v>23497.56356611201</c:v>
                </c:pt>
                <c:pt idx="5">
                  <c:v>42674.852524852453</c:v>
                </c:pt>
                <c:pt idx="6">
                  <c:v>820.85796620451879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44019</v>
      </c>
      <c r="B6" s="392"/>
      <c r="C6" s="393"/>
    </row>
    <row r="7" spans="1:7" s="390" customFormat="1" ht="15.75" customHeight="1">
      <c r="A7" s="394" t="str">
        <f>txtMunicipality</f>
        <v>EVERGEM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37795.867474858642</v>
      </c>
      <c r="D10" s="689">
        <f ca="1">tertiair!C16</f>
        <v>81</v>
      </c>
      <c r="E10" s="689">
        <f ca="1">tertiair!D16</f>
        <v>42147.111275058123</v>
      </c>
      <c r="F10" s="689">
        <f>tertiair!E16</f>
        <v>111.69918288636393</v>
      </c>
      <c r="G10" s="689">
        <f ca="1">tertiair!F16</f>
        <v>5572.8267516546066</v>
      </c>
      <c r="H10" s="689">
        <f>tertiair!G16</f>
        <v>0</v>
      </c>
      <c r="I10" s="689">
        <f>tertiair!H16</f>
        <v>0</v>
      </c>
      <c r="J10" s="689">
        <f>tertiair!I16</f>
        <v>0</v>
      </c>
      <c r="K10" s="689">
        <f>tertiair!J16</f>
        <v>4.254468088946816E-2</v>
      </c>
      <c r="L10" s="689">
        <f>tertiair!K16</f>
        <v>0</v>
      </c>
      <c r="M10" s="689">
        <f ca="1">tertiair!L16</f>
        <v>0</v>
      </c>
      <c r="N10" s="689">
        <f>tertiair!M16</f>
        <v>0</v>
      </c>
      <c r="O10" s="689">
        <f ca="1">tertiair!N16</f>
        <v>1576.3422454829702</v>
      </c>
      <c r="P10" s="689">
        <f>tertiair!O16</f>
        <v>48.972607658411548</v>
      </c>
      <c r="Q10" s="690">
        <f>tertiair!P16</f>
        <v>210.15655322598008</v>
      </c>
      <c r="R10" s="692">
        <f ca="1">SUM(C10:Q10)</f>
        <v>87544.018635506</v>
      </c>
      <c r="S10" s="67"/>
    </row>
    <row r="11" spans="1:19" s="451" customFormat="1">
      <c r="A11" s="811" t="s">
        <v>224</v>
      </c>
      <c r="B11" s="816"/>
      <c r="C11" s="689">
        <f>huishoudens!B8</f>
        <v>66096.562092362932</v>
      </c>
      <c r="D11" s="689">
        <f>huishoudens!C8</f>
        <v>0</v>
      </c>
      <c r="E11" s="689">
        <f>huishoudens!D8</f>
        <v>110637.14931270033</v>
      </c>
      <c r="F11" s="689">
        <f>huishoudens!E8</f>
        <v>18626.975682014545</v>
      </c>
      <c r="G11" s="689">
        <f>huishoudens!F8</f>
        <v>18131.007599970708</v>
      </c>
      <c r="H11" s="689">
        <f>huishoudens!G8</f>
        <v>0</v>
      </c>
      <c r="I11" s="689">
        <f>huishoudens!H8</f>
        <v>0</v>
      </c>
      <c r="J11" s="689">
        <f>huishoudens!I8</f>
        <v>0</v>
      </c>
      <c r="K11" s="689">
        <f>huishoudens!J8</f>
        <v>0</v>
      </c>
      <c r="L11" s="689">
        <f>huishoudens!K8</f>
        <v>0</v>
      </c>
      <c r="M11" s="689">
        <f>huishoudens!L8</f>
        <v>0</v>
      </c>
      <c r="N11" s="689">
        <f>huishoudens!M8</f>
        <v>0</v>
      </c>
      <c r="O11" s="689">
        <f>huishoudens!N8</f>
        <v>35483.500104874285</v>
      </c>
      <c r="P11" s="689">
        <f>huishoudens!O8</f>
        <v>1049.5138980557399</v>
      </c>
      <c r="Q11" s="690">
        <f>huishoudens!P8</f>
        <v>1401.0165879221083</v>
      </c>
      <c r="R11" s="692">
        <f>SUM(C11:Q11)</f>
        <v>251425.72527790067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43049.902546748825</v>
      </c>
      <c r="D13" s="689">
        <f>industrie!C18</f>
        <v>0</v>
      </c>
      <c r="E13" s="689">
        <f>industrie!D18</f>
        <v>84318.690237091636</v>
      </c>
      <c r="F13" s="689">
        <f>industrie!E18</f>
        <v>1197.0565206302829</v>
      </c>
      <c r="G13" s="689">
        <f>industrie!F18</f>
        <v>5755.8888340931999</v>
      </c>
      <c r="H13" s="689">
        <f>industrie!G18</f>
        <v>0</v>
      </c>
      <c r="I13" s="689">
        <f>industrie!H18</f>
        <v>0</v>
      </c>
      <c r="J13" s="689">
        <f>industrie!I18</f>
        <v>0</v>
      </c>
      <c r="K13" s="689">
        <f>industrie!J18</f>
        <v>7.3979322856923986</v>
      </c>
      <c r="L13" s="689">
        <f>industrie!K18</f>
        <v>0</v>
      </c>
      <c r="M13" s="689">
        <f>industrie!L18</f>
        <v>0</v>
      </c>
      <c r="N13" s="689">
        <f>industrie!M18</f>
        <v>0</v>
      </c>
      <c r="O13" s="689">
        <f>industrie!N18</f>
        <v>692.51331087075346</v>
      </c>
      <c r="P13" s="689">
        <f>industrie!O18</f>
        <v>0</v>
      </c>
      <c r="Q13" s="690">
        <f>industrie!P18</f>
        <v>0</v>
      </c>
      <c r="R13" s="692">
        <f>SUM(C13:Q13)</f>
        <v>135021.44938172042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146942.33211397042</v>
      </c>
      <c r="D16" s="725">
        <f t="shared" ref="D16:R16" ca="1" si="0">SUM(D9:D15)</f>
        <v>81</v>
      </c>
      <c r="E16" s="725">
        <f t="shared" ca="1" si="0"/>
        <v>237102.95082485006</v>
      </c>
      <c r="F16" s="725">
        <f t="shared" si="0"/>
        <v>19935.731385531191</v>
      </c>
      <c r="G16" s="725">
        <f t="shared" ca="1" si="0"/>
        <v>29459.723185718514</v>
      </c>
      <c r="H16" s="725">
        <f t="shared" si="0"/>
        <v>0</v>
      </c>
      <c r="I16" s="725">
        <f t="shared" si="0"/>
        <v>0</v>
      </c>
      <c r="J16" s="725">
        <f t="shared" si="0"/>
        <v>0</v>
      </c>
      <c r="K16" s="725">
        <f t="shared" si="0"/>
        <v>7.4404769665818664</v>
      </c>
      <c r="L16" s="725">
        <f t="shared" si="0"/>
        <v>0</v>
      </c>
      <c r="M16" s="725">
        <f t="shared" ca="1" si="0"/>
        <v>0</v>
      </c>
      <c r="N16" s="725">
        <f t="shared" si="0"/>
        <v>0</v>
      </c>
      <c r="O16" s="725">
        <f t="shared" ca="1" si="0"/>
        <v>37752.355661228008</v>
      </c>
      <c r="P16" s="725">
        <f t="shared" si="0"/>
        <v>1098.4865057141515</v>
      </c>
      <c r="Q16" s="725">
        <f t="shared" si="0"/>
        <v>1611.1731411480885</v>
      </c>
      <c r="R16" s="725">
        <f t="shared" ca="1" si="0"/>
        <v>473991.19329512713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1079.0006969869846</v>
      </c>
      <c r="D19" s="689">
        <f>transport!C54</f>
        <v>0</v>
      </c>
      <c r="E19" s="689">
        <f>transport!D54</f>
        <v>0</v>
      </c>
      <c r="F19" s="689">
        <f>transport!E54</f>
        <v>0</v>
      </c>
      <c r="G19" s="689">
        <f>transport!F54</f>
        <v>0</v>
      </c>
      <c r="H19" s="689">
        <f>transport!G54</f>
        <v>2637.4904642455704</v>
      </c>
      <c r="I19" s="689">
        <f>transport!H54</f>
        <v>0</v>
      </c>
      <c r="J19" s="689">
        <f>transport!I54</f>
        <v>0</v>
      </c>
      <c r="K19" s="689">
        <f>transport!J54</f>
        <v>0</v>
      </c>
      <c r="L19" s="689">
        <f>transport!K54</f>
        <v>0</v>
      </c>
      <c r="M19" s="689">
        <f>transport!L54</f>
        <v>0</v>
      </c>
      <c r="N19" s="689">
        <f>transport!M54</f>
        <v>143.12525464992729</v>
      </c>
      <c r="O19" s="689">
        <f>transport!N54</f>
        <v>0</v>
      </c>
      <c r="P19" s="689">
        <f>transport!O54</f>
        <v>0</v>
      </c>
      <c r="Q19" s="690">
        <f>transport!P54</f>
        <v>0</v>
      </c>
      <c r="R19" s="692">
        <f>SUM(C19:Q19)</f>
        <v>3859.6164158824822</v>
      </c>
      <c r="S19" s="67"/>
    </row>
    <row r="20" spans="1:19" s="451" customFormat="1">
      <c r="A20" s="811" t="s">
        <v>306</v>
      </c>
      <c r="B20" s="816"/>
      <c r="C20" s="689">
        <f>transport!B14</f>
        <v>119.5362346728141</v>
      </c>
      <c r="D20" s="689">
        <f>transport!C14</f>
        <v>0</v>
      </c>
      <c r="E20" s="689">
        <f>transport!D14</f>
        <v>525.1114844621477</v>
      </c>
      <c r="F20" s="689">
        <f>transport!E14</f>
        <v>279.22928647311477</v>
      </c>
      <c r="G20" s="689">
        <f>transport!F14</f>
        <v>0</v>
      </c>
      <c r="H20" s="689">
        <f>transport!G14</f>
        <v>128009.25087150512</v>
      </c>
      <c r="I20" s="689">
        <f>transport!H14</f>
        <v>33389.567136302707</v>
      </c>
      <c r="J20" s="689">
        <f>transport!I14</f>
        <v>0</v>
      </c>
      <c r="K20" s="689">
        <f>transport!J14</f>
        <v>0</v>
      </c>
      <c r="L20" s="689">
        <f>transport!K14</f>
        <v>0</v>
      </c>
      <c r="M20" s="689">
        <f>transport!L14</f>
        <v>0</v>
      </c>
      <c r="N20" s="689">
        <f>transport!M14</f>
        <v>9528.2274993211395</v>
      </c>
      <c r="O20" s="689">
        <f>transport!N14</f>
        <v>0</v>
      </c>
      <c r="P20" s="689">
        <f>transport!O14</f>
        <v>0</v>
      </c>
      <c r="Q20" s="690">
        <f>transport!P14</f>
        <v>0</v>
      </c>
      <c r="R20" s="692">
        <f>SUM(C20:Q20)</f>
        <v>171850.92251273704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1198.5369316597987</v>
      </c>
      <c r="D22" s="814">
        <f t="shared" ref="D22:R22" si="1">SUM(D18:D21)</f>
        <v>0</v>
      </c>
      <c r="E22" s="814">
        <f t="shared" si="1"/>
        <v>525.1114844621477</v>
      </c>
      <c r="F22" s="814">
        <f t="shared" si="1"/>
        <v>279.22928647311477</v>
      </c>
      <c r="G22" s="814">
        <f t="shared" si="1"/>
        <v>0</v>
      </c>
      <c r="H22" s="814">
        <f t="shared" si="1"/>
        <v>130646.74133575069</v>
      </c>
      <c r="I22" s="814">
        <f t="shared" si="1"/>
        <v>33389.567136302707</v>
      </c>
      <c r="J22" s="814">
        <f t="shared" si="1"/>
        <v>0</v>
      </c>
      <c r="K22" s="814">
        <f t="shared" si="1"/>
        <v>0</v>
      </c>
      <c r="L22" s="814">
        <f t="shared" si="1"/>
        <v>0</v>
      </c>
      <c r="M22" s="814">
        <f t="shared" si="1"/>
        <v>0</v>
      </c>
      <c r="N22" s="814">
        <f t="shared" si="1"/>
        <v>9671.3527539710667</v>
      </c>
      <c r="O22" s="814">
        <f t="shared" si="1"/>
        <v>0</v>
      </c>
      <c r="P22" s="814">
        <f t="shared" si="1"/>
        <v>0</v>
      </c>
      <c r="Q22" s="814">
        <f t="shared" si="1"/>
        <v>0</v>
      </c>
      <c r="R22" s="814">
        <f t="shared" si="1"/>
        <v>175710.53892861953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4805.0127121935893</v>
      </c>
      <c r="D24" s="689">
        <f>+landbouw!C8</f>
        <v>2623.5</v>
      </c>
      <c r="E24" s="689">
        <f>+landbouw!D8</f>
        <v>1167.428137602823</v>
      </c>
      <c r="F24" s="689">
        <f>+landbouw!E8</f>
        <v>179.19362152312897</v>
      </c>
      <c r="G24" s="689">
        <f>+landbouw!F8</f>
        <v>15589.317968354575</v>
      </c>
      <c r="H24" s="689">
        <f>+landbouw!G8</f>
        <v>0</v>
      </c>
      <c r="I24" s="689">
        <f>+landbouw!H8</f>
        <v>0</v>
      </c>
      <c r="J24" s="689">
        <f>+landbouw!I8</f>
        <v>0</v>
      </c>
      <c r="K24" s="689">
        <f>+landbouw!J8</f>
        <v>1261.3395588523529</v>
      </c>
      <c r="L24" s="689">
        <f>+landbouw!K8</f>
        <v>0</v>
      </c>
      <c r="M24" s="689">
        <f>+landbouw!L8</f>
        <v>0</v>
      </c>
      <c r="N24" s="689">
        <f>+landbouw!M8</f>
        <v>0</v>
      </c>
      <c r="O24" s="689">
        <f>+landbouw!N8</f>
        <v>0</v>
      </c>
      <c r="P24" s="689">
        <f>+landbouw!O8</f>
        <v>0</v>
      </c>
      <c r="Q24" s="690">
        <f>+landbouw!P8</f>
        <v>0</v>
      </c>
      <c r="R24" s="692">
        <f>SUM(C24:Q24)</f>
        <v>25625.791998526471</v>
      </c>
      <c r="S24" s="67"/>
    </row>
    <row r="25" spans="1:19" s="451" customFormat="1" ht="15" thickBot="1">
      <c r="A25" s="833" t="s">
        <v>714</v>
      </c>
      <c r="B25" s="947"/>
      <c r="C25" s="948">
        <f>IF(Onbekend_ele_kWh="---",0,Onbekend_ele_kWh)/1000+IF(REST_rest_ele_kWh="---",0,REST_rest_ele_kWh)/1000</f>
        <v>2335.2053806137901</v>
      </c>
      <c r="D25" s="948"/>
      <c r="E25" s="948">
        <f>IF(onbekend_gas_kWh="---",0,onbekend_gas_kWh)/1000+IF(REST_rest_gas_kWh="---",0,REST_rest_gas_kWh)/1000</f>
        <v>2673.33308616468</v>
      </c>
      <c r="F25" s="948"/>
      <c r="G25" s="948"/>
      <c r="H25" s="948"/>
      <c r="I25" s="948"/>
      <c r="J25" s="948"/>
      <c r="K25" s="948"/>
      <c r="L25" s="948"/>
      <c r="M25" s="948"/>
      <c r="N25" s="948"/>
      <c r="O25" s="948"/>
      <c r="P25" s="948"/>
      <c r="Q25" s="949"/>
      <c r="R25" s="692">
        <f>SUM(C25:Q25)</f>
        <v>5008.5384667784701</v>
      </c>
      <c r="S25" s="67"/>
    </row>
    <row r="26" spans="1:19" s="451" customFormat="1" ht="15.75" thickBot="1">
      <c r="A26" s="697" t="s">
        <v>715</v>
      </c>
      <c r="B26" s="819"/>
      <c r="C26" s="814">
        <f>SUM(C24:C25)</f>
        <v>7140.2180928073794</v>
      </c>
      <c r="D26" s="814">
        <f t="shared" ref="D26:R26" si="2">SUM(D24:D25)</f>
        <v>2623.5</v>
      </c>
      <c r="E26" s="814">
        <f t="shared" si="2"/>
        <v>3840.761223767503</v>
      </c>
      <c r="F26" s="814">
        <f t="shared" si="2"/>
        <v>179.19362152312897</v>
      </c>
      <c r="G26" s="814">
        <f t="shared" si="2"/>
        <v>15589.317968354575</v>
      </c>
      <c r="H26" s="814">
        <f t="shared" si="2"/>
        <v>0</v>
      </c>
      <c r="I26" s="814">
        <f t="shared" si="2"/>
        <v>0</v>
      </c>
      <c r="J26" s="814">
        <f t="shared" si="2"/>
        <v>0</v>
      </c>
      <c r="K26" s="814">
        <f t="shared" si="2"/>
        <v>1261.3395588523529</v>
      </c>
      <c r="L26" s="814">
        <f t="shared" si="2"/>
        <v>0</v>
      </c>
      <c r="M26" s="814">
        <f t="shared" si="2"/>
        <v>0</v>
      </c>
      <c r="N26" s="814">
        <f t="shared" si="2"/>
        <v>0</v>
      </c>
      <c r="O26" s="814">
        <f t="shared" si="2"/>
        <v>0</v>
      </c>
      <c r="P26" s="814">
        <f t="shared" si="2"/>
        <v>0</v>
      </c>
      <c r="Q26" s="814">
        <f t="shared" si="2"/>
        <v>0</v>
      </c>
      <c r="R26" s="814">
        <f t="shared" si="2"/>
        <v>30634.330465304942</v>
      </c>
      <c r="S26" s="67"/>
    </row>
    <row r="27" spans="1:19" s="451" customFormat="1" ht="17.25" thickTop="1" thickBot="1">
      <c r="A27" s="698" t="s">
        <v>115</v>
      </c>
      <c r="B27" s="806"/>
      <c r="C27" s="699">
        <f ca="1">C22+C16+C26</f>
        <v>155281.08713843761</v>
      </c>
      <c r="D27" s="699">
        <f t="shared" ref="D27:R27" ca="1" si="3">D22+D16+D26</f>
        <v>2704.5</v>
      </c>
      <c r="E27" s="699">
        <f t="shared" ca="1" si="3"/>
        <v>241468.8235330797</v>
      </c>
      <c r="F27" s="699">
        <f t="shared" si="3"/>
        <v>20394.154293527434</v>
      </c>
      <c r="G27" s="699">
        <f t="shared" ca="1" si="3"/>
        <v>45049.041154073086</v>
      </c>
      <c r="H27" s="699">
        <f t="shared" si="3"/>
        <v>130646.74133575069</v>
      </c>
      <c r="I27" s="699">
        <f t="shared" si="3"/>
        <v>33389.567136302707</v>
      </c>
      <c r="J27" s="699">
        <f t="shared" si="3"/>
        <v>0</v>
      </c>
      <c r="K27" s="699">
        <f t="shared" si="3"/>
        <v>1268.7800358189347</v>
      </c>
      <c r="L27" s="699">
        <f t="shared" si="3"/>
        <v>0</v>
      </c>
      <c r="M27" s="699">
        <f t="shared" ca="1" si="3"/>
        <v>0</v>
      </c>
      <c r="N27" s="699">
        <f t="shared" si="3"/>
        <v>9671.3527539710667</v>
      </c>
      <c r="O27" s="699">
        <f t="shared" ca="1" si="3"/>
        <v>37752.355661228008</v>
      </c>
      <c r="P27" s="699">
        <f t="shared" si="3"/>
        <v>1098.4865057141515</v>
      </c>
      <c r="Q27" s="699">
        <f t="shared" si="3"/>
        <v>1611.1731411480885</v>
      </c>
      <c r="R27" s="699">
        <f t="shared" ca="1" si="3"/>
        <v>680336.0626890515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4086.0147954990862</v>
      </c>
      <c r="D40" s="689">
        <f ca="1">tertiair!C20</f>
        <v>17.917921671164308</v>
      </c>
      <c r="E40" s="689">
        <f ca="1">tertiair!D20</f>
        <v>8513.7164775617421</v>
      </c>
      <c r="F40" s="689">
        <f>tertiair!E20</f>
        <v>25.355714515204614</v>
      </c>
      <c r="G40" s="689">
        <f ca="1">tertiair!F20</f>
        <v>1487.94474269178</v>
      </c>
      <c r="H40" s="689">
        <f>tertiair!G20</f>
        <v>0</v>
      </c>
      <c r="I40" s="689">
        <f>tertiair!H20</f>
        <v>0</v>
      </c>
      <c r="J40" s="689">
        <f>tertiair!I20</f>
        <v>0</v>
      </c>
      <c r="K40" s="689">
        <f>tertiair!J20</f>
        <v>1.5060817034871728E-2</v>
      </c>
      <c r="L40" s="689">
        <f>tertiair!K20</f>
        <v>0</v>
      </c>
      <c r="M40" s="689">
        <f ca="1">tertiair!L20</f>
        <v>0</v>
      </c>
      <c r="N40" s="689">
        <f>tertiair!M20</f>
        <v>0</v>
      </c>
      <c r="O40" s="689">
        <f ca="1">tertiair!N20</f>
        <v>0</v>
      </c>
      <c r="P40" s="689">
        <f>tertiair!O20</f>
        <v>0</v>
      </c>
      <c r="Q40" s="772">
        <f>tertiair!P20</f>
        <v>0</v>
      </c>
      <c r="R40" s="852">
        <f t="shared" ca="1" si="4"/>
        <v>14130.964712756011</v>
      </c>
    </row>
    <row r="41" spans="1:18">
      <c r="A41" s="824" t="s">
        <v>224</v>
      </c>
      <c r="B41" s="831"/>
      <c r="C41" s="689">
        <f ca="1">huishoudens!B12</f>
        <v>7145.5306805874297</v>
      </c>
      <c r="D41" s="689">
        <f ca="1">huishoudens!C12</f>
        <v>0</v>
      </c>
      <c r="E41" s="689">
        <f>huishoudens!D12</f>
        <v>22348.704161165468</v>
      </c>
      <c r="F41" s="689">
        <f>huishoudens!E12</f>
        <v>4228.3234798173016</v>
      </c>
      <c r="G41" s="689">
        <f>huishoudens!F12</f>
        <v>4840.979029192179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38563.537350762381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4654.0151213044055</v>
      </c>
      <c r="D43" s="689">
        <f ca="1">industrie!C22</f>
        <v>0</v>
      </c>
      <c r="E43" s="689">
        <f>industrie!D22</f>
        <v>17032.375427892512</v>
      </c>
      <c r="F43" s="689">
        <f>industrie!E22</f>
        <v>271.73183018307424</v>
      </c>
      <c r="G43" s="689">
        <f>industrie!F22</f>
        <v>1536.8223187028846</v>
      </c>
      <c r="H43" s="689">
        <f>industrie!G22</f>
        <v>0</v>
      </c>
      <c r="I43" s="689">
        <f>industrie!H22</f>
        <v>0</v>
      </c>
      <c r="J43" s="689">
        <f>industrie!I22</f>
        <v>0</v>
      </c>
      <c r="K43" s="689">
        <f>industrie!J22</f>
        <v>2.618868029135109</v>
      </c>
      <c r="L43" s="689">
        <f>industrie!K22</f>
        <v>0</v>
      </c>
      <c r="M43" s="689">
        <f>industrie!L22</f>
        <v>0</v>
      </c>
      <c r="N43" s="689">
        <f>industrie!M22</f>
        <v>0</v>
      </c>
      <c r="O43" s="689">
        <f>industrie!N22</f>
        <v>0</v>
      </c>
      <c r="P43" s="689">
        <f>industrie!O22</f>
        <v>0</v>
      </c>
      <c r="Q43" s="772">
        <f>industrie!P22</f>
        <v>0</v>
      </c>
      <c r="R43" s="851">
        <f t="shared" ca="1" si="4"/>
        <v>23497.56356611201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15885.560597390922</v>
      </c>
      <c r="D46" s="725">
        <f t="shared" ref="D46:Q46" ca="1" si="5">SUM(D39:D45)</f>
        <v>17.917921671164308</v>
      </c>
      <c r="E46" s="725">
        <f t="shared" ca="1" si="5"/>
        <v>47894.796066619718</v>
      </c>
      <c r="F46" s="725">
        <f t="shared" si="5"/>
        <v>4525.4110245155807</v>
      </c>
      <c r="G46" s="725">
        <f t="shared" ca="1" si="5"/>
        <v>7865.7460905868438</v>
      </c>
      <c r="H46" s="725">
        <f t="shared" si="5"/>
        <v>0</v>
      </c>
      <c r="I46" s="725">
        <f t="shared" si="5"/>
        <v>0</v>
      </c>
      <c r="J46" s="725">
        <f t="shared" si="5"/>
        <v>0</v>
      </c>
      <c r="K46" s="725">
        <f t="shared" si="5"/>
        <v>2.6339288461699808</v>
      </c>
      <c r="L46" s="725">
        <f t="shared" si="5"/>
        <v>0</v>
      </c>
      <c r="M46" s="725">
        <f t="shared" ca="1" si="5"/>
        <v>0</v>
      </c>
      <c r="N46" s="725">
        <f t="shared" si="5"/>
        <v>0</v>
      </c>
      <c r="O46" s="725">
        <f t="shared" ca="1" si="5"/>
        <v>0</v>
      </c>
      <c r="P46" s="725">
        <f t="shared" si="5"/>
        <v>0</v>
      </c>
      <c r="Q46" s="725">
        <f t="shared" si="5"/>
        <v>0</v>
      </c>
      <c r="R46" s="725">
        <f ca="1">SUM(R39:R45)</f>
        <v>76192.065629630408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116.64801225095137</v>
      </c>
      <c r="D49" s="689">
        <f ca="1">transport!C58</f>
        <v>0</v>
      </c>
      <c r="E49" s="689">
        <f>transport!D58</f>
        <v>0</v>
      </c>
      <c r="F49" s="689">
        <f>transport!E58</f>
        <v>0</v>
      </c>
      <c r="G49" s="689">
        <f>transport!F58</f>
        <v>0</v>
      </c>
      <c r="H49" s="689">
        <f>transport!G58</f>
        <v>704.20995395356738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820.85796620451879</v>
      </c>
    </row>
    <row r="50" spans="1:18">
      <c r="A50" s="827" t="s">
        <v>306</v>
      </c>
      <c r="B50" s="837"/>
      <c r="C50" s="695">
        <f ca="1">transport!B18</f>
        <v>12.922757330447963</v>
      </c>
      <c r="D50" s="695">
        <f>transport!C18</f>
        <v>0</v>
      </c>
      <c r="E50" s="695">
        <f>transport!D18</f>
        <v>106.07251986135384</v>
      </c>
      <c r="F50" s="695">
        <f>transport!E18</f>
        <v>63.385048029397055</v>
      </c>
      <c r="G50" s="695">
        <f>transport!F18</f>
        <v>0</v>
      </c>
      <c r="H50" s="695">
        <f>transport!G18</f>
        <v>34178.469982691873</v>
      </c>
      <c r="I50" s="695">
        <f>transport!H18</f>
        <v>8314.0022169393742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42674.852524852453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129.57076958139933</v>
      </c>
      <c r="D52" s="725">
        <f t="shared" ref="D52:Q52" ca="1" si="6">SUM(D48:D51)</f>
        <v>0</v>
      </c>
      <c r="E52" s="725">
        <f t="shared" si="6"/>
        <v>106.07251986135384</v>
      </c>
      <c r="F52" s="725">
        <f t="shared" si="6"/>
        <v>63.385048029397055</v>
      </c>
      <c r="G52" s="725">
        <f t="shared" si="6"/>
        <v>0</v>
      </c>
      <c r="H52" s="725">
        <f t="shared" si="6"/>
        <v>34882.679936645443</v>
      </c>
      <c r="I52" s="725">
        <f t="shared" si="6"/>
        <v>8314.0022169393742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43495.710491056969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519.45766419156985</v>
      </c>
      <c r="D54" s="695">
        <f ca="1">+landbouw!C12</f>
        <v>580.34157412715513</v>
      </c>
      <c r="E54" s="695">
        <f>+landbouw!D12</f>
        <v>235.82048379577026</v>
      </c>
      <c r="F54" s="695">
        <f>+landbouw!E12</f>
        <v>40.67695208575028</v>
      </c>
      <c r="G54" s="695">
        <f>+landbouw!F12</f>
        <v>4162.3478975506714</v>
      </c>
      <c r="H54" s="695">
        <f>+landbouw!G12</f>
        <v>0</v>
      </c>
      <c r="I54" s="695">
        <f>+landbouw!H12</f>
        <v>0</v>
      </c>
      <c r="J54" s="695">
        <f>+landbouw!I12</f>
        <v>0</v>
      </c>
      <c r="K54" s="695">
        <f>+landbouw!J12</f>
        <v>446.51420383373289</v>
      </c>
      <c r="L54" s="695">
        <f>+landbouw!K12</f>
        <v>0</v>
      </c>
      <c r="M54" s="695">
        <f>+landbouw!L12</f>
        <v>0</v>
      </c>
      <c r="N54" s="695">
        <f>+landbouw!M12</f>
        <v>0</v>
      </c>
      <c r="O54" s="695">
        <f>+landbouw!N12</f>
        <v>0</v>
      </c>
      <c r="P54" s="695">
        <f>+landbouw!O12</f>
        <v>0</v>
      </c>
      <c r="Q54" s="696">
        <f>+landbouw!P12</f>
        <v>0</v>
      </c>
      <c r="R54" s="724">
        <f ca="1">SUM(C54:Q54)</f>
        <v>5985.1587755846494</v>
      </c>
    </row>
    <row r="55" spans="1:18" ht="15" thickBot="1">
      <c r="A55" s="827" t="s">
        <v>714</v>
      </c>
      <c r="B55" s="837"/>
      <c r="C55" s="695">
        <f ca="1">C25*'EF ele_warmte'!B12</f>
        <v>252.45309535662952</v>
      </c>
      <c r="D55" s="695"/>
      <c r="E55" s="695">
        <f>E25*EF_CO2_aardgas</f>
        <v>540.01328340526538</v>
      </c>
      <c r="F55" s="695"/>
      <c r="G55" s="695"/>
      <c r="H55" s="695"/>
      <c r="I55" s="695"/>
      <c r="J55" s="695"/>
      <c r="K55" s="695"/>
      <c r="L55" s="695"/>
      <c r="M55" s="695"/>
      <c r="N55" s="695"/>
      <c r="O55" s="695"/>
      <c r="P55" s="695"/>
      <c r="Q55" s="696"/>
      <c r="R55" s="724">
        <f ca="1">SUM(C55:Q55)</f>
        <v>792.46637876189493</v>
      </c>
    </row>
    <row r="56" spans="1:18" ht="15.75" thickBot="1">
      <c r="A56" s="825" t="s">
        <v>715</v>
      </c>
      <c r="B56" s="838"/>
      <c r="C56" s="725">
        <f ca="1">SUM(C54:C55)</f>
        <v>771.91075954819939</v>
      </c>
      <c r="D56" s="725">
        <f t="shared" ref="D56:Q56" ca="1" si="7">SUM(D54:D55)</f>
        <v>580.34157412715513</v>
      </c>
      <c r="E56" s="725">
        <f t="shared" si="7"/>
        <v>775.8337672010357</v>
      </c>
      <c r="F56" s="725">
        <f t="shared" si="7"/>
        <v>40.67695208575028</v>
      </c>
      <c r="G56" s="725">
        <f t="shared" si="7"/>
        <v>4162.3478975506714</v>
      </c>
      <c r="H56" s="725">
        <f t="shared" si="7"/>
        <v>0</v>
      </c>
      <c r="I56" s="725">
        <f t="shared" si="7"/>
        <v>0</v>
      </c>
      <c r="J56" s="725">
        <f t="shared" si="7"/>
        <v>0</v>
      </c>
      <c r="K56" s="725">
        <f t="shared" si="7"/>
        <v>446.51420383373289</v>
      </c>
      <c r="L56" s="725">
        <f t="shared" si="7"/>
        <v>0</v>
      </c>
      <c r="M56" s="725">
        <f t="shared" si="7"/>
        <v>0</v>
      </c>
      <c r="N56" s="725">
        <f t="shared" si="7"/>
        <v>0</v>
      </c>
      <c r="O56" s="725">
        <f t="shared" si="7"/>
        <v>0</v>
      </c>
      <c r="P56" s="725">
        <f t="shared" si="7"/>
        <v>0</v>
      </c>
      <c r="Q56" s="726">
        <f t="shared" si="7"/>
        <v>0</v>
      </c>
      <c r="R56" s="727">
        <f ca="1">SUM(R54:R55)</f>
        <v>6777.6251543465442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16787.042126520522</v>
      </c>
      <c r="D61" s="733">
        <f t="shared" ref="D61:Q61" ca="1" si="8">D46+D52+D56</f>
        <v>598.25949579831945</v>
      </c>
      <c r="E61" s="733">
        <f t="shared" ca="1" si="8"/>
        <v>48776.702353682107</v>
      </c>
      <c r="F61" s="733">
        <f t="shared" si="8"/>
        <v>4629.4730246307281</v>
      </c>
      <c r="G61" s="733">
        <f t="shared" ca="1" si="8"/>
        <v>12028.093988137516</v>
      </c>
      <c r="H61" s="733">
        <f t="shared" si="8"/>
        <v>34882.679936645443</v>
      </c>
      <c r="I61" s="733">
        <f t="shared" si="8"/>
        <v>8314.0022169393742</v>
      </c>
      <c r="J61" s="733">
        <f t="shared" si="8"/>
        <v>0</v>
      </c>
      <c r="K61" s="733">
        <f t="shared" si="8"/>
        <v>449.14813267990286</v>
      </c>
      <c r="L61" s="733">
        <f t="shared" si="8"/>
        <v>0</v>
      </c>
      <c r="M61" s="733">
        <f t="shared" ca="1" si="8"/>
        <v>0</v>
      </c>
      <c r="N61" s="733">
        <f t="shared" si="8"/>
        <v>0</v>
      </c>
      <c r="O61" s="733">
        <f t="shared" ca="1" si="8"/>
        <v>0</v>
      </c>
      <c r="P61" s="733">
        <f t="shared" si="8"/>
        <v>0</v>
      </c>
      <c r="Q61" s="733">
        <f t="shared" si="8"/>
        <v>0</v>
      </c>
      <c r="R61" s="733">
        <f ca="1">R46+R52+R56</f>
        <v>126465.40127503392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0.10810744847216575</v>
      </c>
      <c r="D63" s="779">
        <f t="shared" ca="1" si="9"/>
        <v>0.22120890952054703</v>
      </c>
      <c r="E63" s="973">
        <f t="shared" ca="1" si="9"/>
        <v>0.20200000000000004</v>
      </c>
      <c r="F63" s="779">
        <f t="shared" si="9"/>
        <v>0.22700000000000004</v>
      </c>
      <c r="G63" s="779">
        <f t="shared" ca="1" si="9"/>
        <v>0.26700000000000007</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50543.467815825308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28779.942266224538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130.94999999999999</v>
      </c>
      <c r="C76" s="746">
        <f>'lokale energieproductie'!B8*IFERROR(SUM(D76:H76)/SUM(D76:O76),0)</f>
        <v>1762.2</v>
      </c>
      <c r="D76" s="956">
        <f>'lokale energieproductie'!C8</f>
        <v>2073.1764705882356</v>
      </c>
      <c r="E76" s="957">
        <f>'lokale energieproductie'!D8</f>
        <v>0</v>
      </c>
      <c r="F76" s="957">
        <f>'lokale energieproductie'!E8</f>
        <v>0</v>
      </c>
      <c r="G76" s="957">
        <f>'lokale energieproductie'!F8</f>
        <v>0</v>
      </c>
      <c r="H76" s="957">
        <f>'lokale energieproductie'!G8</f>
        <v>0</v>
      </c>
      <c r="I76" s="957">
        <f>'lokale energieproductie'!I8</f>
        <v>0</v>
      </c>
      <c r="J76" s="957">
        <f>'lokale energieproductie'!J8</f>
        <v>154.05882352941177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418.78164705882364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79454.36008204984</v>
      </c>
      <c r="C78" s="751">
        <f>SUM(C72:C77)</f>
        <v>1762.2</v>
      </c>
      <c r="D78" s="752">
        <f t="shared" ref="D78:H78" si="10">SUM(D76:D77)</f>
        <v>2073.1764705882356</v>
      </c>
      <c r="E78" s="752">
        <f t="shared" si="10"/>
        <v>0</v>
      </c>
      <c r="F78" s="752">
        <f t="shared" si="10"/>
        <v>0</v>
      </c>
      <c r="G78" s="752">
        <f t="shared" si="10"/>
        <v>0</v>
      </c>
      <c r="H78" s="752">
        <f t="shared" si="10"/>
        <v>0</v>
      </c>
      <c r="I78" s="752">
        <f>SUM(I76:I77)</f>
        <v>0</v>
      </c>
      <c r="J78" s="752">
        <f>SUM(J76:J77)</f>
        <v>154.05882352941177</v>
      </c>
      <c r="K78" s="752">
        <f t="shared" ref="K78:L78" si="11">SUM(K76:K77)</f>
        <v>0</v>
      </c>
      <c r="L78" s="752">
        <f t="shared" si="11"/>
        <v>0</v>
      </c>
      <c r="M78" s="752">
        <f>SUM(M76:M77)</f>
        <v>0</v>
      </c>
      <c r="N78" s="752">
        <f>SUM(N76:N77)</f>
        <v>0</v>
      </c>
      <c r="O78" s="862">
        <f>SUM(O76:O77)</f>
        <v>0</v>
      </c>
      <c r="P78" s="753">
        <v>0</v>
      </c>
      <c r="Q78" s="753">
        <f>SUM(Q76:Q77)</f>
        <v>418.78164705882364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187.07142857142856</v>
      </c>
      <c r="C87" s="764">
        <f>'lokale energieproductie'!B17*IFERROR(SUM(D87:H87)/SUM(D87:O87),0)</f>
        <v>2517.4285714285716</v>
      </c>
      <c r="D87" s="775">
        <f>'lokale energieproductie'!C17</f>
        <v>2961.680672268908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220.08403361344537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598.25949579831945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187.07142857142856</v>
      </c>
      <c r="C90" s="751">
        <f>SUM(C87:C89)</f>
        <v>2517.4285714285716</v>
      </c>
      <c r="D90" s="751">
        <f t="shared" ref="D90:H90" si="12">SUM(D87:D89)</f>
        <v>2961.680672268908</v>
      </c>
      <c r="E90" s="751">
        <f t="shared" si="12"/>
        <v>0</v>
      </c>
      <c r="F90" s="751">
        <f t="shared" si="12"/>
        <v>0</v>
      </c>
      <c r="G90" s="751">
        <f t="shared" si="12"/>
        <v>0</v>
      </c>
      <c r="H90" s="751">
        <f t="shared" si="12"/>
        <v>0</v>
      </c>
      <c r="I90" s="751">
        <f>SUM(I87:I89)</f>
        <v>0</v>
      </c>
      <c r="J90" s="751">
        <f>SUM(J87:J89)</f>
        <v>220.08403361344537</v>
      </c>
      <c r="K90" s="751">
        <f t="shared" ref="K90:L90" si="13">SUM(K87:K89)</f>
        <v>0</v>
      </c>
      <c r="L90" s="751">
        <f t="shared" si="13"/>
        <v>0</v>
      </c>
      <c r="M90" s="751">
        <f>SUM(M87:M89)</f>
        <v>0</v>
      </c>
      <c r="N90" s="751">
        <f>SUM(N87:N89)</f>
        <v>0</v>
      </c>
      <c r="O90" s="751">
        <f>SUM(O87:O89)</f>
        <v>0</v>
      </c>
      <c r="P90" s="751">
        <v>0</v>
      </c>
      <c r="Q90" s="751">
        <f>SUM(Q87:Q89)</f>
        <v>598.25949579831945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66096.562092362932</v>
      </c>
      <c r="C4" s="455">
        <f>huishoudens!C8</f>
        <v>0</v>
      </c>
      <c r="D4" s="455">
        <f>huishoudens!D8</f>
        <v>110637.14931270033</v>
      </c>
      <c r="E4" s="455">
        <f>huishoudens!E8</f>
        <v>18626.975682014545</v>
      </c>
      <c r="F4" s="455">
        <f>huishoudens!F8</f>
        <v>18131.007599970708</v>
      </c>
      <c r="G4" s="455">
        <f>huishoudens!G8</f>
        <v>0</v>
      </c>
      <c r="H4" s="455">
        <f>huishoudens!H8</f>
        <v>0</v>
      </c>
      <c r="I4" s="455">
        <f>huishoudens!I8</f>
        <v>0</v>
      </c>
      <c r="J4" s="455">
        <f>huishoudens!J8</f>
        <v>0</v>
      </c>
      <c r="K4" s="455">
        <f>huishoudens!K8</f>
        <v>0</v>
      </c>
      <c r="L4" s="455">
        <f>huishoudens!L8</f>
        <v>0</v>
      </c>
      <c r="M4" s="455">
        <f>huishoudens!M8</f>
        <v>0</v>
      </c>
      <c r="N4" s="455">
        <f>huishoudens!N8</f>
        <v>35483.500104874285</v>
      </c>
      <c r="O4" s="455">
        <f>huishoudens!O8</f>
        <v>1049.5138980557399</v>
      </c>
      <c r="P4" s="456">
        <f>huishoudens!P8</f>
        <v>1401.0165879221083</v>
      </c>
      <c r="Q4" s="457">
        <f>SUM(B4:P4)</f>
        <v>251425.72527790067</v>
      </c>
    </row>
    <row r="5" spans="1:17">
      <c r="A5" s="454" t="s">
        <v>155</v>
      </c>
      <c r="B5" s="455">
        <f ca="1">tertiair!B16</f>
        <v>35631.216474858644</v>
      </c>
      <c r="C5" s="455">
        <f ca="1">tertiair!C16</f>
        <v>81</v>
      </c>
      <c r="D5" s="455">
        <f ca="1">tertiair!D16</f>
        <v>42147.111275058123</v>
      </c>
      <c r="E5" s="455">
        <f>tertiair!E16</f>
        <v>111.69918288636393</v>
      </c>
      <c r="F5" s="455">
        <f ca="1">tertiair!F16</f>
        <v>5572.8267516546066</v>
      </c>
      <c r="G5" s="455">
        <f>tertiair!G16</f>
        <v>0</v>
      </c>
      <c r="H5" s="455">
        <f>tertiair!H16</f>
        <v>0</v>
      </c>
      <c r="I5" s="455">
        <f>tertiair!I16</f>
        <v>0</v>
      </c>
      <c r="J5" s="455">
        <f>tertiair!J16</f>
        <v>4.254468088946816E-2</v>
      </c>
      <c r="K5" s="455">
        <f>tertiair!K16</f>
        <v>0</v>
      </c>
      <c r="L5" s="455">
        <f ca="1">tertiair!L16</f>
        <v>0</v>
      </c>
      <c r="M5" s="455">
        <f>tertiair!M16</f>
        <v>0</v>
      </c>
      <c r="N5" s="455">
        <f ca="1">tertiair!N16</f>
        <v>1576.3422454829702</v>
      </c>
      <c r="O5" s="455">
        <f>tertiair!O16</f>
        <v>48.972607658411548</v>
      </c>
      <c r="P5" s="456">
        <f>tertiair!P16</f>
        <v>210.15655322598008</v>
      </c>
      <c r="Q5" s="454">
        <f t="shared" ref="Q5:Q14" ca="1" si="0">SUM(B5:P5)</f>
        <v>85379.367635505987</v>
      </c>
    </row>
    <row r="6" spans="1:17">
      <c r="A6" s="454" t="s">
        <v>193</v>
      </c>
      <c r="B6" s="455">
        <f>'openbare verlichting'!B8</f>
        <v>2164.6509999999998</v>
      </c>
      <c r="C6" s="455"/>
      <c r="D6" s="455"/>
      <c r="E6" s="455"/>
      <c r="F6" s="455"/>
      <c r="G6" s="455"/>
      <c r="H6" s="455"/>
      <c r="I6" s="455"/>
      <c r="J6" s="455"/>
      <c r="K6" s="455"/>
      <c r="L6" s="455"/>
      <c r="M6" s="455"/>
      <c r="N6" s="455"/>
      <c r="O6" s="455"/>
      <c r="P6" s="456"/>
      <c r="Q6" s="454">
        <f t="shared" si="0"/>
        <v>2164.6509999999998</v>
      </c>
    </row>
    <row r="7" spans="1:17">
      <c r="A7" s="454" t="s">
        <v>111</v>
      </c>
      <c r="B7" s="455">
        <f>landbouw!B8</f>
        <v>4805.0127121935893</v>
      </c>
      <c r="C7" s="455">
        <f>landbouw!C8</f>
        <v>2623.5</v>
      </c>
      <c r="D7" s="455">
        <f>landbouw!D8</f>
        <v>1167.428137602823</v>
      </c>
      <c r="E7" s="455">
        <f>landbouw!E8</f>
        <v>179.19362152312897</v>
      </c>
      <c r="F7" s="455">
        <f>landbouw!F8</f>
        <v>15589.317968354575</v>
      </c>
      <c r="G7" s="455">
        <f>landbouw!G8</f>
        <v>0</v>
      </c>
      <c r="H7" s="455">
        <f>landbouw!H8</f>
        <v>0</v>
      </c>
      <c r="I7" s="455">
        <f>landbouw!I8</f>
        <v>0</v>
      </c>
      <c r="J7" s="455">
        <f>landbouw!J8</f>
        <v>1261.3395588523529</v>
      </c>
      <c r="K7" s="455">
        <f>landbouw!K8</f>
        <v>0</v>
      </c>
      <c r="L7" s="455">
        <f>landbouw!L8</f>
        <v>0</v>
      </c>
      <c r="M7" s="455">
        <f>landbouw!M8</f>
        <v>0</v>
      </c>
      <c r="N7" s="455">
        <f>landbouw!N8</f>
        <v>0</v>
      </c>
      <c r="O7" s="455">
        <f>landbouw!O8</f>
        <v>0</v>
      </c>
      <c r="P7" s="456">
        <f>landbouw!P8</f>
        <v>0</v>
      </c>
      <c r="Q7" s="454">
        <f t="shared" si="0"/>
        <v>25625.791998526471</v>
      </c>
    </row>
    <row r="8" spans="1:17">
      <c r="A8" s="454" t="s">
        <v>626</v>
      </c>
      <c r="B8" s="455">
        <f>industrie!B18</f>
        <v>43049.902546748825</v>
      </c>
      <c r="C8" s="455">
        <f>industrie!C18</f>
        <v>0</v>
      </c>
      <c r="D8" s="455">
        <f>industrie!D18</f>
        <v>84318.690237091636</v>
      </c>
      <c r="E8" s="455">
        <f>industrie!E18</f>
        <v>1197.0565206302829</v>
      </c>
      <c r="F8" s="455">
        <f>industrie!F18</f>
        <v>5755.8888340931999</v>
      </c>
      <c r="G8" s="455">
        <f>industrie!G18</f>
        <v>0</v>
      </c>
      <c r="H8" s="455">
        <f>industrie!H18</f>
        <v>0</v>
      </c>
      <c r="I8" s="455">
        <f>industrie!I18</f>
        <v>0</v>
      </c>
      <c r="J8" s="455">
        <f>industrie!J18</f>
        <v>7.3979322856923986</v>
      </c>
      <c r="K8" s="455">
        <f>industrie!K18</f>
        <v>0</v>
      </c>
      <c r="L8" s="455">
        <f>industrie!L18</f>
        <v>0</v>
      </c>
      <c r="M8" s="455">
        <f>industrie!M18</f>
        <v>0</v>
      </c>
      <c r="N8" s="455">
        <f>industrie!N18</f>
        <v>692.51331087075346</v>
      </c>
      <c r="O8" s="455">
        <f>industrie!O18</f>
        <v>0</v>
      </c>
      <c r="P8" s="456">
        <f>industrie!P18</f>
        <v>0</v>
      </c>
      <c r="Q8" s="454">
        <f t="shared" si="0"/>
        <v>135021.44938172042</v>
      </c>
    </row>
    <row r="9" spans="1:17" s="460" customFormat="1">
      <c r="A9" s="458" t="s">
        <v>552</v>
      </c>
      <c r="B9" s="459">
        <f>transport!B14</f>
        <v>119.5362346728141</v>
      </c>
      <c r="C9" s="459">
        <f>transport!C14</f>
        <v>0</v>
      </c>
      <c r="D9" s="459">
        <f>transport!D14</f>
        <v>525.1114844621477</v>
      </c>
      <c r="E9" s="459">
        <f>transport!E14</f>
        <v>279.22928647311477</v>
      </c>
      <c r="F9" s="459">
        <f>transport!F14</f>
        <v>0</v>
      </c>
      <c r="G9" s="459">
        <f>transport!G14</f>
        <v>128009.25087150512</v>
      </c>
      <c r="H9" s="459">
        <f>transport!H14</f>
        <v>33389.567136302707</v>
      </c>
      <c r="I9" s="459">
        <f>transport!I14</f>
        <v>0</v>
      </c>
      <c r="J9" s="459">
        <f>transport!J14</f>
        <v>0</v>
      </c>
      <c r="K9" s="459">
        <f>transport!K14</f>
        <v>0</v>
      </c>
      <c r="L9" s="459">
        <f>transport!L14</f>
        <v>0</v>
      </c>
      <c r="M9" s="459">
        <f>transport!M14</f>
        <v>9528.2274993211395</v>
      </c>
      <c r="N9" s="459">
        <f>transport!N14</f>
        <v>0</v>
      </c>
      <c r="O9" s="459">
        <f>transport!O14</f>
        <v>0</v>
      </c>
      <c r="P9" s="459">
        <f>transport!P14</f>
        <v>0</v>
      </c>
      <c r="Q9" s="458">
        <f>SUM(B9:P9)</f>
        <v>171850.92251273704</v>
      </c>
    </row>
    <row r="10" spans="1:17">
      <c r="A10" s="454" t="s">
        <v>542</v>
      </c>
      <c r="B10" s="455">
        <f>transport!B54</f>
        <v>1079.0006969869846</v>
      </c>
      <c r="C10" s="455">
        <f>transport!C54</f>
        <v>0</v>
      </c>
      <c r="D10" s="455">
        <f>transport!D54</f>
        <v>0</v>
      </c>
      <c r="E10" s="455">
        <f>transport!E54</f>
        <v>0</v>
      </c>
      <c r="F10" s="455">
        <f>transport!F54</f>
        <v>0</v>
      </c>
      <c r="G10" s="455">
        <f>transport!G54</f>
        <v>2637.4904642455704</v>
      </c>
      <c r="H10" s="455">
        <f>transport!H54</f>
        <v>0</v>
      </c>
      <c r="I10" s="455">
        <f>transport!I54</f>
        <v>0</v>
      </c>
      <c r="J10" s="455">
        <f>transport!J54</f>
        <v>0</v>
      </c>
      <c r="K10" s="455">
        <f>transport!K54</f>
        <v>0</v>
      </c>
      <c r="L10" s="455">
        <f>transport!L54</f>
        <v>0</v>
      </c>
      <c r="M10" s="455">
        <f>transport!M54</f>
        <v>143.12525464992729</v>
      </c>
      <c r="N10" s="455">
        <f>transport!N54</f>
        <v>0</v>
      </c>
      <c r="O10" s="455">
        <f>transport!O54</f>
        <v>0</v>
      </c>
      <c r="P10" s="456">
        <f>transport!P54</f>
        <v>0</v>
      </c>
      <c r="Q10" s="454">
        <f t="shared" si="0"/>
        <v>3859.6164158824822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2335.2053806137901</v>
      </c>
      <c r="C14" s="462"/>
      <c r="D14" s="462">
        <f>'SEAP template'!E25</f>
        <v>2673.33308616468</v>
      </c>
      <c r="E14" s="462"/>
      <c r="F14" s="462"/>
      <c r="G14" s="462"/>
      <c r="H14" s="462"/>
      <c r="I14" s="462"/>
      <c r="J14" s="462"/>
      <c r="K14" s="462"/>
      <c r="L14" s="462"/>
      <c r="M14" s="462"/>
      <c r="N14" s="462"/>
      <c r="O14" s="462"/>
      <c r="P14" s="463"/>
      <c r="Q14" s="454">
        <f t="shared" si="0"/>
        <v>5008.5384667784701</v>
      </c>
    </row>
    <row r="15" spans="1:17" s="466" customFormat="1">
      <c r="A15" s="464" t="s">
        <v>546</v>
      </c>
      <c r="B15" s="465">
        <f ca="1">SUM(B4:B14)</f>
        <v>155281.08713843758</v>
      </c>
      <c r="C15" s="465">
        <f t="shared" ref="C15:Q15" ca="1" si="1">SUM(C4:C14)</f>
        <v>2704.5</v>
      </c>
      <c r="D15" s="465">
        <f t="shared" ca="1" si="1"/>
        <v>241468.82353307967</v>
      </c>
      <c r="E15" s="465">
        <f t="shared" si="1"/>
        <v>20394.154293527434</v>
      </c>
      <c r="F15" s="465">
        <f t="shared" ca="1" si="1"/>
        <v>45049.041154073093</v>
      </c>
      <c r="G15" s="465">
        <f t="shared" si="1"/>
        <v>130646.74133575069</v>
      </c>
      <c r="H15" s="465">
        <f t="shared" si="1"/>
        <v>33389.567136302707</v>
      </c>
      <c r="I15" s="465">
        <f t="shared" si="1"/>
        <v>0</v>
      </c>
      <c r="J15" s="465">
        <f t="shared" si="1"/>
        <v>1268.7800358189347</v>
      </c>
      <c r="K15" s="465">
        <f t="shared" si="1"/>
        <v>0</v>
      </c>
      <c r="L15" s="465">
        <f t="shared" ca="1" si="1"/>
        <v>0</v>
      </c>
      <c r="M15" s="465">
        <f t="shared" si="1"/>
        <v>9671.3527539710667</v>
      </c>
      <c r="N15" s="465">
        <f t="shared" ca="1" si="1"/>
        <v>37752.355661228008</v>
      </c>
      <c r="O15" s="465">
        <f t="shared" si="1"/>
        <v>1098.4865057141515</v>
      </c>
      <c r="P15" s="465">
        <f t="shared" si="1"/>
        <v>1611.1731411480885</v>
      </c>
      <c r="Q15" s="465">
        <f t="shared" ca="1" si="1"/>
        <v>680336.06268905161</v>
      </c>
    </row>
    <row r="17" spans="1:17">
      <c r="A17" s="467" t="s">
        <v>547</v>
      </c>
      <c r="B17" s="784">
        <f ca="1">huishoudens!B10</f>
        <v>0.10810744847216575</v>
      </c>
      <c r="C17" s="784">
        <f ca="1">huishoudens!C10</f>
        <v>0.22120890952054703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7145.5306805874297</v>
      </c>
      <c r="C22" s="455">
        <f t="shared" ref="C22:C32" ca="1" si="3">C4*$C$17</f>
        <v>0</v>
      </c>
      <c r="D22" s="455">
        <f t="shared" ref="D22:D32" si="4">D4*$D$17</f>
        <v>22348.704161165468</v>
      </c>
      <c r="E22" s="455">
        <f t="shared" ref="E22:E32" si="5">E4*$E$17</f>
        <v>4228.3234798173016</v>
      </c>
      <c r="F22" s="455">
        <f t="shared" ref="F22:F32" si="6">F4*$F$17</f>
        <v>4840.979029192179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38563.537350762381</v>
      </c>
    </row>
    <row r="23" spans="1:17">
      <c r="A23" s="454" t="s">
        <v>155</v>
      </c>
      <c r="B23" s="455">
        <f t="shared" ca="1" si="2"/>
        <v>3851.999899056364</v>
      </c>
      <c r="C23" s="455">
        <f t="shared" ca="1" si="3"/>
        <v>17.917921671164308</v>
      </c>
      <c r="D23" s="455">
        <f t="shared" ca="1" si="4"/>
        <v>8513.7164775617421</v>
      </c>
      <c r="E23" s="455">
        <f t="shared" si="5"/>
        <v>25.355714515204614</v>
      </c>
      <c r="F23" s="455">
        <f t="shared" ca="1" si="6"/>
        <v>1487.94474269178</v>
      </c>
      <c r="G23" s="455">
        <f t="shared" si="7"/>
        <v>0</v>
      </c>
      <c r="H23" s="455">
        <f t="shared" si="8"/>
        <v>0</v>
      </c>
      <c r="I23" s="455">
        <f t="shared" si="9"/>
        <v>0</v>
      </c>
      <c r="J23" s="455">
        <f t="shared" si="10"/>
        <v>1.5060817034871728E-2</v>
      </c>
      <c r="K23" s="455">
        <f t="shared" si="11"/>
        <v>0</v>
      </c>
      <c r="L23" s="455">
        <f t="shared" ca="1" si="12"/>
        <v>0</v>
      </c>
      <c r="M23" s="455">
        <f t="shared" si="13"/>
        <v>0</v>
      </c>
      <c r="N23" s="455">
        <f t="shared" ca="1" si="14"/>
        <v>0</v>
      </c>
      <c r="O23" s="455">
        <f t="shared" si="15"/>
        <v>0</v>
      </c>
      <c r="P23" s="456">
        <f t="shared" si="16"/>
        <v>0</v>
      </c>
      <c r="Q23" s="454">
        <f t="shared" ref="Q23:Q31" ca="1" si="17">SUM(B23:P23)</f>
        <v>13896.94981631329</v>
      </c>
    </row>
    <row r="24" spans="1:17">
      <c r="A24" s="454" t="s">
        <v>193</v>
      </c>
      <c r="B24" s="455">
        <f t="shared" ca="1" si="2"/>
        <v>234.01489644272203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234.01489644272203</v>
      </c>
    </row>
    <row r="25" spans="1:17">
      <c r="A25" s="454" t="s">
        <v>111</v>
      </c>
      <c r="B25" s="455">
        <f t="shared" ca="1" si="2"/>
        <v>519.45766419156985</v>
      </c>
      <c r="C25" s="455">
        <f t="shared" ca="1" si="3"/>
        <v>580.34157412715513</v>
      </c>
      <c r="D25" s="455">
        <f t="shared" si="4"/>
        <v>235.82048379577026</v>
      </c>
      <c r="E25" s="455">
        <f t="shared" si="5"/>
        <v>40.67695208575028</v>
      </c>
      <c r="F25" s="455">
        <f t="shared" si="6"/>
        <v>4162.3478975506714</v>
      </c>
      <c r="G25" s="455">
        <f t="shared" si="7"/>
        <v>0</v>
      </c>
      <c r="H25" s="455">
        <f t="shared" si="8"/>
        <v>0</v>
      </c>
      <c r="I25" s="455">
        <f t="shared" si="9"/>
        <v>0</v>
      </c>
      <c r="J25" s="455">
        <f t="shared" si="10"/>
        <v>446.51420383373289</v>
      </c>
      <c r="K25" s="455">
        <f t="shared" si="11"/>
        <v>0</v>
      </c>
      <c r="L25" s="455">
        <f t="shared" si="12"/>
        <v>0</v>
      </c>
      <c r="M25" s="455">
        <f t="shared" si="13"/>
        <v>0</v>
      </c>
      <c r="N25" s="455">
        <f t="shared" si="14"/>
        <v>0</v>
      </c>
      <c r="O25" s="455">
        <f t="shared" si="15"/>
        <v>0</v>
      </c>
      <c r="P25" s="456">
        <f t="shared" si="16"/>
        <v>0</v>
      </c>
      <c r="Q25" s="454">
        <f t="shared" ca="1" si="17"/>
        <v>5985.1587755846494</v>
      </c>
    </row>
    <row r="26" spans="1:17">
      <c r="A26" s="454" t="s">
        <v>626</v>
      </c>
      <c r="B26" s="455">
        <f t="shared" ca="1" si="2"/>
        <v>4654.0151213044055</v>
      </c>
      <c r="C26" s="455">
        <f t="shared" ca="1" si="3"/>
        <v>0</v>
      </c>
      <c r="D26" s="455">
        <f t="shared" si="4"/>
        <v>17032.375427892512</v>
      </c>
      <c r="E26" s="455">
        <f t="shared" si="5"/>
        <v>271.73183018307424</v>
      </c>
      <c r="F26" s="455">
        <f t="shared" si="6"/>
        <v>1536.8223187028846</v>
      </c>
      <c r="G26" s="455">
        <f t="shared" si="7"/>
        <v>0</v>
      </c>
      <c r="H26" s="455">
        <f t="shared" si="8"/>
        <v>0</v>
      </c>
      <c r="I26" s="455">
        <f t="shared" si="9"/>
        <v>0</v>
      </c>
      <c r="J26" s="455">
        <f t="shared" si="10"/>
        <v>2.618868029135109</v>
      </c>
      <c r="K26" s="455">
        <f t="shared" si="11"/>
        <v>0</v>
      </c>
      <c r="L26" s="455">
        <f t="shared" si="12"/>
        <v>0</v>
      </c>
      <c r="M26" s="455">
        <f t="shared" si="13"/>
        <v>0</v>
      </c>
      <c r="N26" s="455">
        <f t="shared" si="14"/>
        <v>0</v>
      </c>
      <c r="O26" s="455">
        <f t="shared" si="15"/>
        <v>0</v>
      </c>
      <c r="P26" s="456">
        <f t="shared" si="16"/>
        <v>0</v>
      </c>
      <c r="Q26" s="454">
        <f t="shared" ca="1" si="17"/>
        <v>23497.56356611201</v>
      </c>
    </row>
    <row r="27" spans="1:17" s="460" customFormat="1">
      <c r="A27" s="458" t="s">
        <v>552</v>
      </c>
      <c r="B27" s="778">
        <f t="shared" ca="1" si="2"/>
        <v>12.922757330447963</v>
      </c>
      <c r="C27" s="459">
        <f t="shared" ca="1" si="3"/>
        <v>0</v>
      </c>
      <c r="D27" s="459">
        <f t="shared" si="4"/>
        <v>106.07251986135384</v>
      </c>
      <c r="E27" s="459">
        <f t="shared" si="5"/>
        <v>63.385048029397055</v>
      </c>
      <c r="F27" s="459">
        <f t="shared" si="6"/>
        <v>0</v>
      </c>
      <c r="G27" s="459">
        <f t="shared" si="7"/>
        <v>34178.469982691873</v>
      </c>
      <c r="H27" s="459">
        <f t="shared" si="8"/>
        <v>8314.0022169393742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42674.852524852453</v>
      </c>
    </row>
    <row r="28" spans="1:17" ht="16.5" customHeight="1">
      <c r="A28" s="454" t="s">
        <v>542</v>
      </c>
      <c r="B28" s="455">
        <f t="shared" ca="1" si="2"/>
        <v>116.64801225095137</v>
      </c>
      <c r="C28" s="455">
        <f t="shared" ca="1" si="3"/>
        <v>0</v>
      </c>
      <c r="D28" s="455">
        <f t="shared" si="4"/>
        <v>0</v>
      </c>
      <c r="E28" s="455">
        <f t="shared" si="5"/>
        <v>0</v>
      </c>
      <c r="F28" s="455">
        <f t="shared" si="6"/>
        <v>0</v>
      </c>
      <c r="G28" s="455">
        <f t="shared" si="7"/>
        <v>704.20995395356738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820.85796620451879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252.45309535662952</v>
      </c>
      <c r="C32" s="455">
        <f t="shared" ca="1" si="3"/>
        <v>0</v>
      </c>
      <c r="D32" s="455">
        <f t="shared" si="4"/>
        <v>540.01328340526538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792.46637876189493</v>
      </c>
    </row>
    <row r="33" spans="1:17" s="466" customFormat="1">
      <c r="A33" s="464" t="s">
        <v>546</v>
      </c>
      <c r="B33" s="465">
        <f ca="1">SUM(B22:B32)</f>
        <v>16787.042126520522</v>
      </c>
      <c r="C33" s="465">
        <f t="shared" ref="C33:Q33" ca="1" si="19">SUM(C22:C32)</f>
        <v>598.25949579831945</v>
      </c>
      <c r="D33" s="465">
        <f t="shared" ca="1" si="19"/>
        <v>48776.702353682107</v>
      </c>
      <c r="E33" s="465">
        <f t="shared" si="19"/>
        <v>4629.4730246307281</v>
      </c>
      <c r="F33" s="465">
        <f t="shared" ca="1" si="19"/>
        <v>12028.093988137516</v>
      </c>
      <c r="G33" s="465">
        <f t="shared" si="19"/>
        <v>34882.679936645443</v>
      </c>
      <c r="H33" s="465">
        <f t="shared" si="19"/>
        <v>8314.0022169393742</v>
      </c>
      <c r="I33" s="465">
        <f t="shared" si="19"/>
        <v>0</v>
      </c>
      <c r="J33" s="465">
        <f t="shared" si="19"/>
        <v>449.14813267990286</v>
      </c>
      <c r="K33" s="465">
        <f t="shared" si="19"/>
        <v>0</v>
      </c>
      <c r="L33" s="465">
        <f t="shared" ca="1" si="19"/>
        <v>0</v>
      </c>
      <c r="M33" s="465">
        <f t="shared" si="19"/>
        <v>0</v>
      </c>
      <c r="N33" s="465">
        <f t="shared" ca="1" si="19"/>
        <v>0</v>
      </c>
      <c r="O33" s="465">
        <f t="shared" si="19"/>
        <v>0</v>
      </c>
      <c r="P33" s="465">
        <f t="shared" si="19"/>
        <v>0</v>
      </c>
      <c r="Q33" s="465">
        <f t="shared" ca="1" si="19"/>
        <v>126465.40127503392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50543.467815825308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28779.942266224538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130.94999999999999</v>
      </c>
      <c r="C8" s="1026">
        <f>'SEAP template'!C76</f>
        <v>1762.2</v>
      </c>
      <c r="D8" s="1026">
        <f>'SEAP template'!D76</f>
        <v>2073.1764705882356</v>
      </c>
      <c r="E8" s="1026">
        <f>'SEAP template'!E76</f>
        <v>0</v>
      </c>
      <c r="F8" s="1026">
        <f>'SEAP template'!F76</f>
        <v>0</v>
      </c>
      <c r="G8" s="1026">
        <f>'SEAP template'!G76</f>
        <v>0</v>
      </c>
      <c r="H8" s="1026">
        <f>'SEAP template'!H76</f>
        <v>0</v>
      </c>
      <c r="I8" s="1026">
        <f>'SEAP template'!I76</f>
        <v>0</v>
      </c>
      <c r="J8" s="1026">
        <f>'SEAP template'!J76</f>
        <v>154.05882352941177</v>
      </c>
      <c r="K8" s="1026">
        <f>'SEAP template'!K76</f>
        <v>0</v>
      </c>
      <c r="L8" s="1026">
        <f>'SEAP template'!L76</f>
        <v>0</v>
      </c>
      <c r="M8" s="1026">
        <f>'SEAP template'!M76</f>
        <v>0</v>
      </c>
      <c r="N8" s="1026">
        <f>'SEAP template'!N76</f>
        <v>0</v>
      </c>
      <c r="O8" s="1026">
        <f>'SEAP template'!O76</f>
        <v>0</v>
      </c>
      <c r="P8" s="1027">
        <f>'SEAP template'!Q76</f>
        <v>418.78164705882364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79454.36008204984</v>
      </c>
      <c r="C10" s="1028">
        <f>SUM(C4:C9)</f>
        <v>1762.2</v>
      </c>
      <c r="D10" s="1028">
        <f t="shared" ref="D10:H10" si="0">SUM(D8:D9)</f>
        <v>2073.1764705882356</v>
      </c>
      <c r="E10" s="1028">
        <f t="shared" si="0"/>
        <v>0</v>
      </c>
      <c r="F10" s="1028">
        <f t="shared" si="0"/>
        <v>0</v>
      </c>
      <c r="G10" s="1028">
        <f t="shared" si="0"/>
        <v>0</v>
      </c>
      <c r="H10" s="1028">
        <f t="shared" si="0"/>
        <v>0</v>
      </c>
      <c r="I10" s="1028">
        <f>SUM(I8:I9)</f>
        <v>0</v>
      </c>
      <c r="J10" s="1028">
        <f>SUM(J8:J9)</f>
        <v>154.05882352941177</v>
      </c>
      <c r="K10" s="1028">
        <f t="shared" ref="K10:L10" si="1">SUM(K8:K9)</f>
        <v>0</v>
      </c>
      <c r="L10" s="1028">
        <f t="shared" si="1"/>
        <v>0</v>
      </c>
      <c r="M10" s="1028">
        <f>SUM(M8:M9)</f>
        <v>0</v>
      </c>
      <c r="N10" s="1028">
        <f>SUM(N8:N9)</f>
        <v>0</v>
      </c>
      <c r="O10" s="1028">
        <f>SUM(O8:O9)</f>
        <v>0</v>
      </c>
      <c r="P10" s="1028">
        <f>SUM(P8:P9)</f>
        <v>418.78164705882364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0.10810744847216575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187.07142857142856</v>
      </c>
      <c r="C17" s="1029">
        <f>'SEAP template'!C87</f>
        <v>2517.4285714285716</v>
      </c>
      <c r="D17" s="1027">
        <f>'SEAP template'!D87</f>
        <v>2961.680672268908</v>
      </c>
      <c r="E17" s="1027">
        <f>'SEAP template'!E87</f>
        <v>0</v>
      </c>
      <c r="F17" s="1027">
        <f>'SEAP template'!F87</f>
        <v>0</v>
      </c>
      <c r="G17" s="1027">
        <f>'SEAP template'!G87</f>
        <v>0</v>
      </c>
      <c r="H17" s="1027">
        <f>'SEAP template'!H87</f>
        <v>0</v>
      </c>
      <c r="I17" s="1027">
        <f>'SEAP template'!I87</f>
        <v>0</v>
      </c>
      <c r="J17" s="1027">
        <f>'SEAP template'!J87</f>
        <v>220.08403361344537</v>
      </c>
      <c r="K17" s="1027">
        <f>'SEAP template'!K87</f>
        <v>0</v>
      </c>
      <c r="L17" s="1027">
        <f>'SEAP template'!L87</f>
        <v>0</v>
      </c>
      <c r="M17" s="1027">
        <f>'SEAP template'!M87</f>
        <v>0</v>
      </c>
      <c r="N17" s="1027">
        <f>'SEAP template'!N87</f>
        <v>0</v>
      </c>
      <c r="O17" s="1027">
        <f>'SEAP template'!O87</f>
        <v>0</v>
      </c>
      <c r="P17" s="1027">
        <f>'SEAP template'!Q87</f>
        <v>598.25949579831945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187.07142857142856</v>
      </c>
      <c r="C20" s="1028">
        <f>SUM(C17:C19)</f>
        <v>2517.4285714285716</v>
      </c>
      <c r="D20" s="1028">
        <f t="shared" ref="D20:H20" si="2">SUM(D17:D19)</f>
        <v>2961.680672268908</v>
      </c>
      <c r="E20" s="1028">
        <f t="shared" si="2"/>
        <v>0</v>
      </c>
      <c r="F20" s="1028">
        <f t="shared" si="2"/>
        <v>0</v>
      </c>
      <c r="G20" s="1028">
        <f t="shared" si="2"/>
        <v>0</v>
      </c>
      <c r="H20" s="1028">
        <f t="shared" si="2"/>
        <v>0</v>
      </c>
      <c r="I20" s="1028">
        <f>SUM(I17:I19)</f>
        <v>0</v>
      </c>
      <c r="J20" s="1028">
        <f>SUM(J17:J19)</f>
        <v>220.08403361344537</v>
      </c>
      <c r="K20" s="1028">
        <f t="shared" ref="K20:L20" si="3">SUM(K17:K19)</f>
        <v>0</v>
      </c>
      <c r="L20" s="1028">
        <f t="shared" si="3"/>
        <v>0</v>
      </c>
      <c r="M20" s="1028">
        <f>SUM(M17:M19)</f>
        <v>0</v>
      </c>
      <c r="N20" s="1028">
        <f>SUM(N17:N19)</f>
        <v>0</v>
      </c>
      <c r="O20" s="1028">
        <f>SUM(O17:O19)</f>
        <v>0</v>
      </c>
      <c r="P20" s="1028">
        <f>SUM(P17:P19)</f>
        <v>598.25949579831945</v>
      </c>
    </row>
    <row r="21" spans="1:16">
      <c r="B21" s="890"/>
    </row>
    <row r="22" spans="1:16">
      <c r="A22" s="467" t="s">
        <v>773</v>
      </c>
      <c r="B22" s="784" t="s">
        <v>771</v>
      </c>
      <c r="C22" s="784">
        <f ca="1">'EF ele_warmte'!B22</f>
        <v>0.22120890952054703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0.10810744847216575</v>
      </c>
      <c r="C17" s="504">
        <f ca="1">'EF ele_warmte'!B22</f>
        <v>0.22120890952054703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0.10810744847216575</v>
      </c>
      <c r="C17" s="504">
        <f ca="1">'EF ele_warmte'!B22</f>
        <v>0.22120890952054703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0.10810744847216575</v>
      </c>
      <c r="C29" s="505">
        <f ca="1">'EF ele_warmte'!B22</f>
        <v>0.22120890952054703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14524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4214.1499999999996</v>
      </c>
      <c r="C14" s="332"/>
      <c r="D14" s="332"/>
      <c r="E14" s="332"/>
      <c r="F14" s="332"/>
    </row>
    <row r="15" spans="1:6">
      <c r="A15" s="1310" t="s">
        <v>183</v>
      </c>
      <c r="B15" s="1311">
        <v>73</v>
      </c>
      <c r="C15" s="332"/>
      <c r="D15" s="332"/>
      <c r="E15" s="332"/>
      <c r="F15" s="332"/>
    </row>
    <row r="16" spans="1:6">
      <c r="A16" s="1310" t="s">
        <v>6</v>
      </c>
      <c r="B16" s="1311">
        <v>2935</v>
      </c>
      <c r="C16" s="332"/>
      <c r="D16" s="332"/>
      <c r="E16" s="332"/>
      <c r="F16" s="332"/>
    </row>
    <row r="17" spans="1:6">
      <c r="A17" s="1310" t="s">
        <v>7</v>
      </c>
      <c r="B17" s="1311">
        <v>1405</v>
      </c>
      <c r="C17" s="332"/>
      <c r="D17" s="332"/>
      <c r="E17" s="332"/>
      <c r="F17" s="332"/>
    </row>
    <row r="18" spans="1:6">
      <c r="A18" s="1310" t="s">
        <v>8</v>
      </c>
      <c r="B18" s="1311">
        <v>2478</v>
      </c>
      <c r="C18" s="332"/>
      <c r="D18" s="332"/>
      <c r="E18" s="332"/>
      <c r="F18" s="332"/>
    </row>
    <row r="19" spans="1:6">
      <c r="A19" s="1310" t="s">
        <v>9</v>
      </c>
      <c r="B19" s="1311">
        <v>2767</v>
      </c>
      <c r="C19" s="332"/>
      <c r="D19" s="332"/>
      <c r="E19" s="332"/>
      <c r="F19" s="332"/>
    </row>
    <row r="20" spans="1:6">
      <c r="A20" s="1310" t="s">
        <v>10</v>
      </c>
      <c r="B20" s="1311">
        <v>1281</v>
      </c>
      <c r="C20" s="332"/>
      <c r="D20" s="332"/>
      <c r="E20" s="332"/>
      <c r="F20" s="332"/>
    </row>
    <row r="21" spans="1:6">
      <c r="A21" s="1310" t="s">
        <v>11</v>
      </c>
      <c r="B21" s="1311">
        <v>11096</v>
      </c>
      <c r="C21" s="332"/>
      <c r="D21" s="332"/>
      <c r="E21" s="332"/>
      <c r="F21" s="332"/>
    </row>
    <row r="22" spans="1:6">
      <c r="A22" s="1310" t="s">
        <v>12</v>
      </c>
      <c r="B22" s="1311">
        <v>21365</v>
      </c>
      <c r="C22" s="332"/>
      <c r="D22" s="332"/>
      <c r="E22" s="332"/>
      <c r="F22" s="332"/>
    </row>
    <row r="23" spans="1:6">
      <c r="A23" s="1310" t="s">
        <v>13</v>
      </c>
      <c r="B23" s="1311">
        <v>539</v>
      </c>
      <c r="C23" s="332"/>
      <c r="D23" s="332"/>
      <c r="E23" s="332"/>
      <c r="F23" s="332"/>
    </row>
    <row r="24" spans="1:6">
      <c r="A24" s="1310" t="s">
        <v>14</v>
      </c>
      <c r="B24" s="1311">
        <v>39</v>
      </c>
      <c r="C24" s="332"/>
      <c r="D24" s="332"/>
      <c r="E24" s="332"/>
      <c r="F24" s="332"/>
    </row>
    <row r="25" spans="1:6">
      <c r="A25" s="1310" t="s">
        <v>15</v>
      </c>
      <c r="B25" s="1311">
        <v>2765</v>
      </c>
      <c r="C25" s="332"/>
      <c r="D25" s="332"/>
      <c r="E25" s="332"/>
      <c r="F25" s="332"/>
    </row>
    <row r="26" spans="1:6">
      <c r="A26" s="1310" t="s">
        <v>16</v>
      </c>
      <c r="B26" s="1311">
        <v>207</v>
      </c>
      <c r="C26" s="332"/>
      <c r="D26" s="332"/>
      <c r="E26" s="332"/>
      <c r="F26" s="332"/>
    </row>
    <row r="27" spans="1:6">
      <c r="A27" s="1310" t="s">
        <v>17</v>
      </c>
      <c r="B27" s="1311">
        <v>0</v>
      </c>
      <c r="C27" s="332"/>
      <c r="D27" s="332"/>
      <c r="E27" s="332"/>
      <c r="F27" s="332"/>
    </row>
    <row r="28" spans="1:6" s="43" customFormat="1">
      <c r="A28" s="1312" t="s">
        <v>18</v>
      </c>
      <c r="B28" s="1313">
        <v>40302</v>
      </c>
      <c r="C28" s="338"/>
      <c r="D28" s="338"/>
      <c r="E28" s="338"/>
      <c r="F28" s="338"/>
    </row>
    <row r="29" spans="1:6">
      <c r="A29" s="1312" t="s">
        <v>699</v>
      </c>
      <c r="B29" s="1313">
        <v>414</v>
      </c>
      <c r="C29" s="338"/>
      <c r="D29" s="338"/>
      <c r="E29" s="338"/>
      <c r="F29" s="338"/>
    </row>
    <row r="30" spans="1:6">
      <c r="A30" s="1305" t="s">
        <v>700</v>
      </c>
      <c r="B30" s="1314">
        <v>74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5</v>
      </c>
      <c r="F35" s="1311">
        <v>94307.225445976597</v>
      </c>
    </row>
    <row r="36" spans="1:6">
      <c r="A36" s="1310" t="s">
        <v>24</v>
      </c>
      <c r="B36" s="1310" t="s">
        <v>26</v>
      </c>
      <c r="C36" s="1311">
        <v>0</v>
      </c>
      <c r="D36" s="1311">
        <v>0</v>
      </c>
      <c r="E36" s="1311">
        <v>10</v>
      </c>
      <c r="F36" s="1311">
        <v>217536.32679299999</v>
      </c>
    </row>
    <row r="37" spans="1:6">
      <c r="A37" s="1310" t="s">
        <v>24</v>
      </c>
      <c r="B37" s="1310" t="s">
        <v>27</v>
      </c>
      <c r="C37" s="1311">
        <v>0</v>
      </c>
      <c r="D37" s="1311">
        <v>0</v>
      </c>
      <c r="E37" s="1311">
        <v>0</v>
      </c>
      <c r="F37" s="1311">
        <v>0</v>
      </c>
    </row>
    <row r="38" spans="1:6">
      <c r="A38" s="1310" t="s">
        <v>24</v>
      </c>
      <c r="B38" s="1310" t="s">
        <v>28</v>
      </c>
      <c r="C38" s="1311">
        <v>1</v>
      </c>
      <c r="D38" s="1311">
        <v>0</v>
      </c>
      <c r="E38" s="1311">
        <v>1</v>
      </c>
      <c r="F38" s="1311">
        <v>9076</v>
      </c>
    </row>
    <row r="39" spans="1:6">
      <c r="A39" s="1310" t="s">
        <v>29</v>
      </c>
      <c r="B39" s="1310" t="s">
        <v>30</v>
      </c>
      <c r="C39" s="1311">
        <v>8707</v>
      </c>
      <c r="D39" s="1311">
        <v>122521760.036213</v>
      </c>
      <c r="E39" s="1311">
        <v>13989</v>
      </c>
      <c r="F39" s="1311">
        <v>54990441.903268598</v>
      </c>
    </row>
    <row r="40" spans="1:6">
      <c r="A40" s="1310" t="s">
        <v>29</v>
      </c>
      <c r="B40" s="1310" t="s">
        <v>28</v>
      </c>
      <c r="C40" s="1311">
        <v>0</v>
      </c>
      <c r="D40" s="1311">
        <v>0</v>
      </c>
      <c r="E40" s="1311">
        <v>0</v>
      </c>
      <c r="F40" s="1311">
        <v>0</v>
      </c>
    </row>
    <row r="41" spans="1:6">
      <c r="A41" s="1310" t="s">
        <v>31</v>
      </c>
      <c r="B41" s="1310" t="s">
        <v>32</v>
      </c>
      <c r="C41" s="1311">
        <v>145</v>
      </c>
      <c r="D41" s="1311">
        <v>41836903.339579098</v>
      </c>
      <c r="E41" s="1311">
        <v>357</v>
      </c>
      <c r="F41" s="1311">
        <v>8074246.7067353502</v>
      </c>
    </row>
    <row r="42" spans="1:6">
      <c r="A42" s="1310" t="s">
        <v>31</v>
      </c>
      <c r="B42" s="1310" t="s">
        <v>33</v>
      </c>
      <c r="C42" s="1311">
        <v>3</v>
      </c>
      <c r="D42" s="1311">
        <v>19893063.8032386</v>
      </c>
      <c r="E42" s="1311">
        <v>4</v>
      </c>
      <c r="F42" s="1311">
        <v>19129406.242569201</v>
      </c>
    </row>
    <row r="43" spans="1:6">
      <c r="A43" s="1310" t="s">
        <v>31</v>
      </c>
      <c r="B43" s="1310" t="s">
        <v>34</v>
      </c>
      <c r="C43" s="1311">
        <v>0</v>
      </c>
      <c r="D43" s="1311">
        <v>0</v>
      </c>
      <c r="E43" s="1311">
        <v>0</v>
      </c>
      <c r="F43" s="1311">
        <v>0</v>
      </c>
    </row>
    <row r="44" spans="1:6">
      <c r="A44" s="1310" t="s">
        <v>31</v>
      </c>
      <c r="B44" s="1310" t="s">
        <v>35</v>
      </c>
      <c r="C44" s="1311">
        <v>24</v>
      </c>
      <c r="D44" s="1311">
        <v>19330807.311336201</v>
      </c>
      <c r="E44" s="1311">
        <v>68</v>
      </c>
      <c r="F44" s="1311">
        <v>8305929.9323662501</v>
      </c>
    </row>
    <row r="45" spans="1:6">
      <c r="A45" s="1310" t="s">
        <v>31</v>
      </c>
      <c r="B45" s="1310" t="s">
        <v>36</v>
      </c>
      <c r="C45" s="1311">
        <v>0</v>
      </c>
      <c r="D45" s="1311">
        <v>0</v>
      </c>
      <c r="E45" s="1311">
        <v>6</v>
      </c>
      <c r="F45" s="1311">
        <v>282219.99725324998</v>
      </c>
    </row>
    <row r="46" spans="1:6">
      <c r="A46" s="1310" t="s">
        <v>31</v>
      </c>
      <c r="B46" s="1310" t="s">
        <v>37</v>
      </c>
      <c r="C46" s="1311">
        <v>0</v>
      </c>
      <c r="D46" s="1311">
        <v>0</v>
      </c>
      <c r="E46" s="1311">
        <v>0</v>
      </c>
      <c r="F46" s="1311">
        <v>0</v>
      </c>
    </row>
    <row r="47" spans="1:6">
      <c r="A47" s="1310" t="s">
        <v>31</v>
      </c>
      <c r="B47" s="1310" t="s">
        <v>38</v>
      </c>
      <c r="C47" s="1311">
        <v>14</v>
      </c>
      <c r="D47" s="1311">
        <v>3019920.7804539902</v>
      </c>
      <c r="E47" s="1311">
        <v>18</v>
      </c>
      <c r="F47" s="1311">
        <v>1148573.82755628</v>
      </c>
    </row>
    <row r="48" spans="1:6">
      <c r="A48" s="1310" t="s">
        <v>31</v>
      </c>
      <c r="B48" s="1310" t="s">
        <v>28</v>
      </c>
      <c r="C48" s="1311">
        <v>4</v>
      </c>
      <c r="D48" s="1311">
        <v>347565.91398761998</v>
      </c>
      <c r="E48" s="1311">
        <v>1</v>
      </c>
      <c r="F48" s="1311">
        <v>1160</v>
      </c>
    </row>
    <row r="49" spans="1:6">
      <c r="A49" s="1310" t="s">
        <v>31</v>
      </c>
      <c r="B49" s="1310" t="s">
        <v>39</v>
      </c>
      <c r="C49" s="1311">
        <v>0</v>
      </c>
      <c r="D49" s="1311">
        <v>0</v>
      </c>
      <c r="E49" s="1311">
        <v>5</v>
      </c>
      <c r="F49" s="1311">
        <v>68955.787658503599</v>
      </c>
    </row>
    <row r="50" spans="1:6">
      <c r="A50" s="1310" t="s">
        <v>31</v>
      </c>
      <c r="B50" s="1310" t="s">
        <v>40</v>
      </c>
      <c r="C50" s="1311">
        <v>27</v>
      </c>
      <c r="D50" s="1311">
        <v>8947918.5159578007</v>
      </c>
      <c r="E50" s="1311">
        <v>50</v>
      </c>
      <c r="F50" s="1311">
        <v>6039410.0526099904</v>
      </c>
    </row>
    <row r="51" spans="1:6">
      <c r="A51" s="1310" t="s">
        <v>41</v>
      </c>
      <c r="B51" s="1310" t="s">
        <v>42</v>
      </c>
      <c r="C51" s="1311">
        <v>33</v>
      </c>
      <c r="D51" s="1311">
        <v>6689130.9861129196</v>
      </c>
      <c r="E51" s="1311">
        <v>223</v>
      </c>
      <c r="F51" s="1311">
        <v>4805012.7121935897</v>
      </c>
    </row>
    <row r="52" spans="1:6">
      <c r="A52" s="1310" t="s">
        <v>41</v>
      </c>
      <c r="B52" s="1310" t="s">
        <v>28</v>
      </c>
      <c r="C52" s="1311">
        <v>0</v>
      </c>
      <c r="D52" s="1311">
        <v>0</v>
      </c>
      <c r="E52" s="1311">
        <v>0</v>
      </c>
      <c r="F52" s="1311">
        <v>0</v>
      </c>
    </row>
    <row r="53" spans="1:6">
      <c r="A53" s="1310" t="s">
        <v>43</v>
      </c>
      <c r="B53" s="1310" t="s">
        <v>44</v>
      </c>
      <c r="C53" s="1311">
        <v>179</v>
      </c>
      <c r="D53" s="1311">
        <v>2673333.0861646798</v>
      </c>
      <c r="E53" s="1311">
        <v>412</v>
      </c>
      <c r="F53" s="1311">
        <v>2335205.3806137899</v>
      </c>
    </row>
    <row r="54" spans="1:6">
      <c r="A54" s="1310" t="s">
        <v>45</v>
      </c>
      <c r="B54" s="1310" t="s">
        <v>46</v>
      </c>
      <c r="C54" s="1311">
        <v>0</v>
      </c>
      <c r="D54" s="1311">
        <v>0</v>
      </c>
      <c r="E54" s="1311">
        <v>1</v>
      </c>
      <c r="F54" s="1311">
        <v>2164651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108</v>
      </c>
      <c r="D57" s="1311">
        <v>9539403.9777831193</v>
      </c>
      <c r="E57" s="1311">
        <v>195</v>
      </c>
      <c r="F57" s="1311">
        <v>4307964.3440286601</v>
      </c>
    </row>
    <row r="58" spans="1:6">
      <c r="A58" s="1310" t="s">
        <v>48</v>
      </c>
      <c r="B58" s="1310" t="s">
        <v>50</v>
      </c>
      <c r="C58" s="1311">
        <v>83</v>
      </c>
      <c r="D58" s="1311">
        <v>9333227.47369924</v>
      </c>
      <c r="E58" s="1311">
        <v>127</v>
      </c>
      <c r="F58" s="1311">
        <v>3351607.8185981601</v>
      </c>
    </row>
    <row r="59" spans="1:6">
      <c r="A59" s="1310" t="s">
        <v>48</v>
      </c>
      <c r="B59" s="1310" t="s">
        <v>51</v>
      </c>
      <c r="C59" s="1311">
        <v>181</v>
      </c>
      <c r="D59" s="1311">
        <v>8356806.89120246</v>
      </c>
      <c r="E59" s="1311">
        <v>399</v>
      </c>
      <c r="F59" s="1311">
        <v>13451599.753539801</v>
      </c>
    </row>
    <row r="60" spans="1:6">
      <c r="A60" s="1310" t="s">
        <v>48</v>
      </c>
      <c r="B60" s="1310" t="s">
        <v>52</v>
      </c>
      <c r="C60" s="1311">
        <v>80</v>
      </c>
      <c r="D60" s="1311">
        <v>7186540.6369259898</v>
      </c>
      <c r="E60" s="1311">
        <v>125</v>
      </c>
      <c r="F60" s="1311">
        <v>2099112.21435752</v>
      </c>
    </row>
    <row r="61" spans="1:6">
      <c r="A61" s="1310" t="s">
        <v>48</v>
      </c>
      <c r="B61" s="1310" t="s">
        <v>53</v>
      </c>
      <c r="C61" s="1311">
        <v>266</v>
      </c>
      <c r="D61" s="1311">
        <v>11264437.116997199</v>
      </c>
      <c r="E61" s="1311">
        <v>587</v>
      </c>
      <c r="F61" s="1311">
        <v>11372595.095010201</v>
      </c>
    </row>
    <row r="62" spans="1:6">
      <c r="A62" s="1310" t="s">
        <v>48</v>
      </c>
      <c r="B62" s="1310" t="s">
        <v>54</v>
      </c>
      <c r="C62" s="1311">
        <v>17</v>
      </c>
      <c r="D62" s="1311">
        <v>1173527.72959146</v>
      </c>
      <c r="E62" s="1311">
        <v>29</v>
      </c>
      <c r="F62" s="1311">
        <v>991637.24932430196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40362.174207999298</v>
      </c>
      <c r="E65" s="1311">
        <v>1</v>
      </c>
      <c r="F65" s="1311">
        <v>447.04310813320001</v>
      </c>
    </row>
    <row r="66" spans="1:6">
      <c r="A66" s="1310" t="s">
        <v>55</v>
      </c>
      <c r="B66" s="1310" t="s">
        <v>57</v>
      </c>
      <c r="C66" s="1311">
        <v>0</v>
      </c>
      <c r="D66" s="1311">
        <v>0</v>
      </c>
      <c r="E66" s="1311">
        <v>19</v>
      </c>
      <c r="F66" s="1311">
        <v>303299.86140506802</v>
      </c>
    </row>
    <row r="67" spans="1:6">
      <c r="A67" s="1312" t="s">
        <v>55</v>
      </c>
      <c r="B67" s="1312" t="s">
        <v>58</v>
      </c>
      <c r="C67" s="1311">
        <v>0</v>
      </c>
      <c r="D67" s="1311">
        <v>0</v>
      </c>
      <c r="E67" s="1311">
        <v>0</v>
      </c>
      <c r="F67" s="1311">
        <v>0</v>
      </c>
    </row>
    <row r="68" spans="1:6">
      <c r="A68" s="1305" t="s">
        <v>55</v>
      </c>
      <c r="B68" s="1305" t="s">
        <v>59</v>
      </c>
      <c r="C68" s="1314">
        <v>16</v>
      </c>
      <c r="D68" s="1314">
        <v>3508663.4161749501</v>
      </c>
      <c r="E68" s="1314">
        <v>43</v>
      </c>
      <c r="F68" s="1314">
        <v>1912144.5801563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121888375</v>
      </c>
      <c r="E73" s="453"/>
      <c r="F73" s="332"/>
    </row>
    <row r="74" spans="1:6">
      <c r="A74" s="1310" t="s">
        <v>63</v>
      </c>
      <c r="B74" s="1310" t="s">
        <v>648</v>
      </c>
      <c r="C74" s="1324" t="s">
        <v>650</v>
      </c>
      <c r="D74" s="1325">
        <v>13693848.366734978</v>
      </c>
      <c r="E74" s="453"/>
      <c r="F74" s="332"/>
    </row>
    <row r="75" spans="1:6">
      <c r="A75" s="1310" t="s">
        <v>64</v>
      </c>
      <c r="B75" s="1310" t="s">
        <v>647</v>
      </c>
      <c r="C75" s="1324" t="s">
        <v>651</v>
      </c>
      <c r="D75" s="1325">
        <v>55067809</v>
      </c>
      <c r="E75" s="453"/>
      <c r="F75" s="332"/>
    </row>
    <row r="76" spans="1:6">
      <c r="A76" s="1310" t="s">
        <v>64</v>
      </c>
      <c r="B76" s="1310" t="s">
        <v>648</v>
      </c>
      <c r="C76" s="1324" t="s">
        <v>652</v>
      </c>
      <c r="D76" s="1325">
        <v>2287603.3667349769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771275.26653004601</v>
      </c>
      <c r="C83" s="453"/>
      <c r="D83" s="332"/>
      <c r="E83" s="332"/>
      <c r="F83" s="332"/>
    </row>
    <row r="84" spans="1:6">
      <c r="A84" s="1305" t="s">
        <v>336</v>
      </c>
      <c r="B84" s="1326">
        <v>306099.48850694601</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50543.467815825308</v>
      </c>
      <c r="C90" s="332"/>
      <c r="D90" s="332"/>
      <c r="E90" s="332"/>
      <c r="F90" s="332"/>
    </row>
    <row r="91" spans="1:6">
      <c r="A91" s="1310" t="s">
        <v>67</v>
      </c>
      <c r="B91" s="1311">
        <v>11106.12018909433</v>
      </c>
      <c r="C91" s="332"/>
      <c r="D91" s="332"/>
      <c r="E91" s="332"/>
      <c r="F91" s="332"/>
    </row>
    <row r="92" spans="1:6">
      <c r="A92" s="1305" t="s">
        <v>68</v>
      </c>
      <c r="B92" s="1306">
        <v>17673.822077130208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2815</v>
      </c>
      <c r="C97" s="332"/>
      <c r="D97" s="332"/>
      <c r="E97" s="332"/>
      <c r="F97" s="332"/>
    </row>
    <row r="98" spans="1:6">
      <c r="A98" s="1310" t="s">
        <v>71</v>
      </c>
      <c r="B98" s="1311">
        <v>1</v>
      </c>
      <c r="C98" s="332"/>
      <c r="D98" s="332"/>
      <c r="E98" s="332"/>
      <c r="F98" s="332"/>
    </row>
    <row r="99" spans="1:6">
      <c r="A99" s="1310" t="s">
        <v>72</v>
      </c>
      <c r="B99" s="1311">
        <v>245</v>
      </c>
      <c r="C99" s="332"/>
      <c r="D99" s="332"/>
      <c r="E99" s="332"/>
      <c r="F99" s="332"/>
    </row>
    <row r="100" spans="1:6">
      <c r="A100" s="1310" t="s">
        <v>73</v>
      </c>
      <c r="B100" s="1311">
        <v>1781</v>
      </c>
      <c r="C100" s="332"/>
      <c r="D100" s="332"/>
      <c r="E100" s="332"/>
      <c r="F100" s="332"/>
    </row>
    <row r="101" spans="1:6">
      <c r="A101" s="1310" t="s">
        <v>74</v>
      </c>
      <c r="B101" s="1311">
        <v>249</v>
      </c>
      <c r="C101" s="332"/>
      <c r="D101" s="332"/>
      <c r="E101" s="332"/>
      <c r="F101" s="332"/>
    </row>
    <row r="102" spans="1:6">
      <c r="A102" s="1310" t="s">
        <v>75</v>
      </c>
      <c r="B102" s="1311">
        <v>206</v>
      </c>
      <c r="C102" s="332"/>
      <c r="D102" s="332"/>
      <c r="E102" s="332"/>
      <c r="F102" s="332"/>
    </row>
    <row r="103" spans="1:6">
      <c r="A103" s="1310" t="s">
        <v>76</v>
      </c>
      <c r="B103" s="1311">
        <v>399</v>
      </c>
      <c r="C103" s="332"/>
      <c r="D103" s="332"/>
      <c r="E103" s="332"/>
      <c r="F103" s="332"/>
    </row>
    <row r="104" spans="1:6">
      <c r="A104" s="1310" t="s">
        <v>77</v>
      </c>
      <c r="B104" s="1311">
        <v>6177</v>
      </c>
      <c r="C104" s="332"/>
      <c r="D104" s="332"/>
      <c r="E104" s="332"/>
      <c r="F104" s="332"/>
    </row>
    <row r="105" spans="1:6">
      <c r="A105" s="1305" t="s">
        <v>78</v>
      </c>
      <c r="B105" s="1314">
        <v>16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92</v>
      </c>
      <c r="C123" s="1311">
        <v>106</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421</v>
      </c>
      <c r="C129" s="332"/>
      <c r="D129" s="332"/>
      <c r="E129" s="332"/>
      <c r="F129" s="332"/>
    </row>
    <row r="130" spans="1:6">
      <c r="A130" s="1310" t="s">
        <v>294</v>
      </c>
      <c r="B130" s="1311">
        <v>10</v>
      </c>
      <c r="C130" s="332"/>
      <c r="D130" s="332"/>
      <c r="E130" s="332"/>
      <c r="F130" s="332"/>
    </row>
    <row r="131" spans="1:6">
      <c r="A131" s="1310" t="s">
        <v>295</v>
      </c>
      <c r="B131" s="1311">
        <v>4</v>
      </c>
      <c r="C131" s="332"/>
      <c r="D131" s="332"/>
      <c r="E131" s="332"/>
      <c r="F131" s="332"/>
    </row>
    <row r="132" spans="1:6">
      <c r="A132" s="1305" t="s">
        <v>296</v>
      </c>
      <c r="B132" s="1306">
        <v>39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155281.08713843761</v>
      </c>
      <c r="C3" s="43" t="s">
        <v>169</v>
      </c>
      <c r="D3" s="43"/>
      <c r="E3" s="154"/>
      <c r="F3" s="43"/>
      <c r="G3" s="43"/>
      <c r="H3" s="43"/>
      <c r="I3" s="43"/>
      <c r="J3" s="43"/>
      <c r="K3" s="96"/>
    </row>
    <row r="4" spans="1:11">
      <c r="A4" s="360" t="s">
        <v>170</v>
      </c>
      <c r="B4" s="49">
        <f>IF(ISERROR('SEAP template'!B78+'SEAP template'!C78),0,'SEAP template'!B78+'SEAP template'!C78)</f>
        <v>81216.560082049837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418.78164705882364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0.10810744847216575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598.25949579831945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2704.5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0.22120890952054703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2164.6509999999998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2164.6509999999998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0.10810744847216575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234.01489644272203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54990.441903268598</v>
      </c>
      <c r="C5" s="17">
        <f>IF(ISERROR('Eigen informatie GS &amp; warmtenet'!B59),0,'Eigen informatie GS &amp; warmtenet'!B59)</f>
        <v>0</v>
      </c>
      <c r="D5" s="30">
        <f>(SUM(HH_hh_gas_kWh,HH_rest_gas_kWh)/1000)*0.903</f>
        <v>110637.14931270033</v>
      </c>
      <c r="E5" s="17">
        <f>B46*B57</f>
        <v>18626.975682014545</v>
      </c>
      <c r="F5" s="17">
        <f>B51*B62</f>
        <v>18131.007599970708</v>
      </c>
      <c r="G5" s="18"/>
      <c r="H5" s="17"/>
      <c r="I5" s="17"/>
      <c r="J5" s="17">
        <f>B50*B61+C50*C61</f>
        <v>0</v>
      </c>
      <c r="K5" s="17"/>
      <c r="L5" s="17"/>
      <c r="M5" s="17"/>
      <c r="N5" s="17">
        <f>B48*B59+C48*C59</f>
        <v>35483.500104874285</v>
      </c>
      <c r="O5" s="17">
        <f>B69*B70*B71</f>
        <v>1049.5138980557399</v>
      </c>
      <c r="P5" s="17">
        <f>B77*B78*B79/1000-B77*B78*B79/1000/B80</f>
        <v>1401.0165879221083</v>
      </c>
    </row>
    <row r="6" spans="1:16">
      <c r="A6" s="16" t="s">
        <v>612</v>
      </c>
      <c r="B6" s="786">
        <f>kWh_PV_kleiner_dan_10kW</f>
        <v>11106.12018909433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66096.562092362932</v>
      </c>
      <c r="C8" s="21">
        <f>C5</f>
        <v>0</v>
      </c>
      <c r="D8" s="21">
        <f>D5</f>
        <v>110637.14931270033</v>
      </c>
      <c r="E8" s="21">
        <f>E5</f>
        <v>18626.975682014545</v>
      </c>
      <c r="F8" s="21">
        <f>F5</f>
        <v>18131.007599970708</v>
      </c>
      <c r="G8" s="21"/>
      <c r="H8" s="21"/>
      <c r="I8" s="21"/>
      <c r="J8" s="21">
        <f>J5</f>
        <v>0</v>
      </c>
      <c r="K8" s="21"/>
      <c r="L8" s="21">
        <f>L5</f>
        <v>0</v>
      </c>
      <c r="M8" s="21">
        <f>M5</f>
        <v>0</v>
      </c>
      <c r="N8" s="21">
        <f>N5</f>
        <v>35483.500104874285</v>
      </c>
      <c r="O8" s="21">
        <f>O5</f>
        <v>1049.5138980557399</v>
      </c>
      <c r="P8" s="21">
        <f>P5</f>
        <v>1401.0165879221083</v>
      </c>
    </row>
    <row r="9" spans="1:16">
      <c r="B9" s="19"/>
      <c r="C9" s="19"/>
      <c r="D9" s="258"/>
      <c r="E9" s="19"/>
      <c r="F9" s="19"/>
      <c r="G9" s="19"/>
      <c r="H9" s="19"/>
      <c r="I9" s="19"/>
      <c r="J9" s="19"/>
      <c r="K9" s="19"/>
      <c r="L9" s="19"/>
      <c r="M9" s="19"/>
      <c r="N9" s="19"/>
      <c r="O9" s="19"/>
      <c r="P9" s="19"/>
    </row>
    <row r="10" spans="1:16">
      <c r="A10" s="24" t="s">
        <v>213</v>
      </c>
      <c r="B10" s="25">
        <f ca="1">'EF ele_warmte'!B12</f>
        <v>0.10810744847216575</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7145.5306805874297</v>
      </c>
      <c r="C12" s="23">
        <f ca="1">C10*C8</f>
        <v>0</v>
      </c>
      <c r="D12" s="23">
        <f>D8*D10</f>
        <v>22348.704161165468</v>
      </c>
      <c r="E12" s="23">
        <f>E10*E8</f>
        <v>4228.3234798173016</v>
      </c>
      <c r="F12" s="23">
        <f>F10*F8</f>
        <v>4840.979029192179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2815</v>
      </c>
      <c r="C18" s="166" t="s">
        <v>110</v>
      </c>
      <c r="D18" s="228"/>
      <c r="E18" s="15"/>
    </row>
    <row r="19" spans="1:7">
      <c r="A19" s="171" t="s">
        <v>71</v>
      </c>
      <c r="B19" s="37">
        <f>aantalw2001_ander</f>
        <v>1</v>
      </c>
      <c r="C19" s="166" t="s">
        <v>110</v>
      </c>
      <c r="D19" s="229"/>
      <c r="E19" s="15"/>
    </row>
    <row r="20" spans="1:7">
      <c r="A20" s="171" t="s">
        <v>72</v>
      </c>
      <c r="B20" s="37">
        <f>aantalw2001_propaan</f>
        <v>245</v>
      </c>
      <c r="C20" s="167">
        <f>IF(ISERROR(B20/SUM($B$20,$B$21,$B$22)*100),0,B20/SUM($B$20,$B$21,$B$22)*100)</f>
        <v>10.76923076923077</v>
      </c>
      <c r="D20" s="229"/>
      <c r="E20" s="15"/>
    </row>
    <row r="21" spans="1:7">
      <c r="A21" s="171" t="s">
        <v>73</v>
      </c>
      <c r="B21" s="37">
        <f>aantalw2001_elektriciteit</f>
        <v>1781</v>
      </c>
      <c r="C21" s="167">
        <f>IF(ISERROR(B21/SUM($B$20,$B$21,$B$22)*100),0,B21/SUM($B$20,$B$21,$B$22)*100)</f>
        <v>78.285714285714278</v>
      </c>
      <c r="D21" s="229"/>
      <c r="E21" s="15"/>
    </row>
    <row r="22" spans="1:7">
      <c r="A22" s="171" t="s">
        <v>74</v>
      </c>
      <c r="B22" s="37">
        <f>aantalw2001_hout</f>
        <v>249</v>
      </c>
      <c r="C22" s="167">
        <f>IF(ISERROR(B22/SUM($B$20,$B$21,$B$22)*100),0,B22/SUM($B$20,$B$21,$B$22)*100)</f>
        <v>10.945054945054945</v>
      </c>
      <c r="D22" s="229"/>
      <c r="E22" s="15"/>
    </row>
    <row r="23" spans="1:7">
      <c r="A23" s="171" t="s">
        <v>75</v>
      </c>
      <c r="B23" s="37">
        <f>aantalw2001_niet_gespec</f>
        <v>206</v>
      </c>
      <c r="C23" s="166" t="s">
        <v>110</v>
      </c>
      <c r="D23" s="228"/>
      <c r="E23" s="15"/>
    </row>
    <row r="24" spans="1:7">
      <c r="A24" s="171" t="s">
        <v>76</v>
      </c>
      <c r="B24" s="37">
        <f>aantalw2001_steenkool</f>
        <v>399</v>
      </c>
      <c r="C24" s="166" t="s">
        <v>110</v>
      </c>
      <c r="D24" s="229"/>
      <c r="E24" s="15"/>
    </row>
    <row r="25" spans="1:7">
      <c r="A25" s="171" t="s">
        <v>77</v>
      </c>
      <c r="B25" s="37">
        <f>aantalw2001_stookolie</f>
        <v>6177</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838</v>
      </c>
      <c r="B28" s="37">
        <f>aantalHuishoudens</f>
        <v>14524</v>
      </c>
      <c r="C28" s="36"/>
      <c r="D28" s="228"/>
    </row>
    <row r="29" spans="1:7" s="15" customFormat="1">
      <c r="A29" s="230" t="s">
        <v>839</v>
      </c>
      <c r="B29" s="37">
        <f>SUM(HH_hh_gas_aantal,HH_rest_gas_aantal)</f>
        <v>8707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8707</v>
      </c>
      <c r="C32" s="167">
        <f>IF(ISERROR(B32/SUM($B$32,$B$34,$B$35,$B$36,$B$38,$B$39)*100),0,B32/SUM($B$32,$B$34,$B$35,$B$36,$B$38,$B$39)*100)</f>
        <v>60.503092210409278</v>
      </c>
      <c r="D32" s="233"/>
      <c r="G32" s="15"/>
    </row>
    <row r="33" spans="1:7">
      <c r="A33" s="171" t="s">
        <v>71</v>
      </c>
      <c r="B33" s="34" t="s">
        <v>110</v>
      </c>
      <c r="C33" s="167"/>
      <c r="D33" s="233"/>
      <c r="G33" s="15"/>
    </row>
    <row r="34" spans="1:7">
      <c r="A34" s="171" t="s">
        <v>72</v>
      </c>
      <c r="B34" s="33">
        <f>IF((($B$28-$B$32-$B$39-$B$77-$B$38)*C20/100)&lt;0,0,($B$28-$B$32-$B$39-$B$77-$B$38)*C20/100)</f>
        <v>517.9784615384616</v>
      </c>
      <c r="C34" s="167">
        <f>IF(ISERROR(B34/SUM($B$32,$B$34,$B$35,$B$36,$B$38,$B$39)*100),0,B34/SUM($B$32,$B$34,$B$35,$B$36,$B$38,$B$39)*100)</f>
        <v>3.5993222259638773</v>
      </c>
      <c r="D34" s="233"/>
      <c r="G34" s="15"/>
    </row>
    <row r="35" spans="1:7">
      <c r="A35" s="171" t="s">
        <v>73</v>
      </c>
      <c r="B35" s="33">
        <f>IF((($B$28-$B$32-$B$39-$B$77-$B$38)*C21/100)&lt;0,0,($B$28-$B$32-$B$39-$B$77-$B$38)*C21/100)</f>
        <v>3765.3862857142853</v>
      </c>
      <c r="C35" s="167">
        <f>IF(ISERROR(B35/SUM($B$32,$B$34,$B$35,$B$36,$B$38,$B$39)*100),0,B35/SUM($B$32,$B$34,$B$35,$B$36,$B$38,$B$39)*100)</f>
        <v>26.164868916088423</v>
      </c>
      <c r="D35" s="233"/>
      <c r="G35" s="15"/>
    </row>
    <row r="36" spans="1:7">
      <c r="A36" s="171" t="s">
        <v>74</v>
      </c>
      <c r="B36" s="33">
        <f>IF((($B$28-$B$32-$B$39-$B$77-$B$38)*C22/100)&lt;0,0,($B$28-$B$32-$B$39-$B$77-$B$38)*C22/100)</f>
        <v>526.43525274725278</v>
      </c>
      <c r="C36" s="167">
        <f>IF(ISERROR(B36/SUM($B$32,$B$34,$B$35,$B$36,$B$38,$B$39)*100),0,B36/SUM($B$32,$B$34,$B$35,$B$36,$B$38,$B$39)*100)</f>
        <v>3.6580866704694097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874.19999999999982</v>
      </c>
      <c r="C39" s="167">
        <f>IF(ISERROR(B39/SUM($B$32,$B$34,$B$35,$B$36,$B$38,$B$39)*100),0,B39/SUM($B$32,$B$34,$B$35,$B$36,$B$38,$B$39)*100)</f>
        <v>6.0746299770689998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8707</v>
      </c>
      <c r="C44" s="34" t="s">
        <v>110</v>
      </c>
      <c r="D44" s="174"/>
    </row>
    <row r="45" spans="1:7">
      <c r="A45" s="171" t="s">
        <v>71</v>
      </c>
      <c r="B45" s="33" t="str">
        <f t="shared" si="0"/>
        <v>-</v>
      </c>
      <c r="C45" s="34" t="s">
        <v>110</v>
      </c>
      <c r="D45" s="174"/>
    </row>
    <row r="46" spans="1:7">
      <c r="A46" s="171" t="s">
        <v>72</v>
      </c>
      <c r="B46" s="33">
        <f t="shared" si="0"/>
        <v>517.9784615384616</v>
      </c>
      <c r="C46" s="34" t="s">
        <v>110</v>
      </c>
      <c r="D46" s="174"/>
    </row>
    <row r="47" spans="1:7">
      <c r="A47" s="171" t="s">
        <v>73</v>
      </c>
      <c r="B47" s="33">
        <f t="shared" si="0"/>
        <v>3765.3862857142853</v>
      </c>
      <c r="C47" s="34" t="s">
        <v>110</v>
      </c>
      <c r="D47" s="174"/>
    </row>
    <row r="48" spans="1:7">
      <c r="A48" s="171" t="s">
        <v>74</v>
      </c>
      <c r="B48" s="33">
        <f t="shared" si="0"/>
        <v>526.43525274725278</v>
      </c>
      <c r="C48" s="33">
        <f>B48*10</f>
        <v>5264.352527472528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874.19999999999982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529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35574.516474858647</v>
      </c>
      <c r="C5" s="17">
        <f>IF(ISERROR('Eigen informatie GS &amp; warmtenet'!B60),0,'Eigen informatie GS &amp; warmtenet'!B60)</f>
        <v>0</v>
      </c>
      <c r="D5" s="30">
        <f>SUM(D6:D12)</f>
        <v>42309.111275058123</v>
      </c>
      <c r="E5" s="17">
        <f>SUM(E6:E12)</f>
        <v>111.69918288636393</v>
      </c>
      <c r="F5" s="17">
        <f>SUM(F6:F12)</f>
        <v>5572.8267516546066</v>
      </c>
      <c r="G5" s="18"/>
      <c r="H5" s="17"/>
      <c r="I5" s="17"/>
      <c r="J5" s="17">
        <f>SUM(J6:J12)</f>
        <v>4.254468088946816E-2</v>
      </c>
      <c r="K5" s="17"/>
      <c r="L5" s="17"/>
      <c r="M5" s="17"/>
      <c r="N5" s="17">
        <f>SUM(N6:N12)</f>
        <v>1576.3422454829702</v>
      </c>
      <c r="O5" s="17">
        <f>B38*B39*B40</f>
        <v>48.972607658411548</v>
      </c>
      <c r="P5" s="17">
        <f>B46*B47*B48/1000-B46*B47*B48/1000/B49</f>
        <v>210.15655322598008</v>
      </c>
      <c r="R5" s="32"/>
    </row>
    <row r="6" spans="1:18">
      <c r="A6" s="32" t="s">
        <v>53</v>
      </c>
      <c r="B6" s="37">
        <f>B26</f>
        <v>11372.5950950102</v>
      </c>
      <c r="C6" s="33"/>
      <c r="D6" s="37">
        <f>IF(ISERROR(TER_kantoor_gas_kWh/1000),0,TER_kantoor_gas_kWh/1000)*0.903</f>
        <v>10171.78671664847</v>
      </c>
      <c r="E6" s="33">
        <f>$C$26*'E Balans VL '!I12/100/3.6*1000000</f>
        <v>2.7246034625115798</v>
      </c>
      <c r="F6" s="33">
        <f>$C$26*('E Balans VL '!L12+'E Balans VL '!N12)/100/3.6*1000000</f>
        <v>1078.4498353900431</v>
      </c>
      <c r="G6" s="34"/>
      <c r="H6" s="33"/>
      <c r="I6" s="33"/>
      <c r="J6" s="33">
        <f>$C$26*('E Balans VL '!D12+'E Balans VL '!E12)/100/3.6*1000000</f>
        <v>0</v>
      </c>
      <c r="K6" s="33"/>
      <c r="L6" s="33"/>
      <c r="M6" s="33"/>
      <c r="N6" s="33">
        <f>$C$26*'E Balans VL '!Y12/100/3.6*1000000</f>
        <v>5.7766900756157407</v>
      </c>
      <c r="O6" s="33"/>
      <c r="P6" s="33"/>
      <c r="R6" s="32"/>
    </row>
    <row r="7" spans="1:18">
      <c r="A7" s="32" t="s">
        <v>52</v>
      </c>
      <c r="B7" s="37">
        <f t="shared" ref="B7:B12" si="0">B27</f>
        <v>2099.1122143575199</v>
      </c>
      <c r="C7" s="33"/>
      <c r="D7" s="37">
        <f>IF(ISERROR(TER_horeca_gas_kWh/1000),0,TER_horeca_gas_kWh/1000)*0.903</f>
        <v>6489.446195144169</v>
      </c>
      <c r="E7" s="33">
        <f>$C$27*'E Balans VL '!I9/100/3.6*1000000</f>
        <v>0</v>
      </c>
      <c r="F7" s="33">
        <f>$C$27*('E Balans VL '!L9+'E Balans VL '!N9)/100/3.6*1000000</f>
        <v>172.12226721669828</v>
      </c>
      <c r="G7" s="34"/>
      <c r="H7" s="33"/>
      <c r="I7" s="33"/>
      <c r="J7" s="33">
        <f>$C$27*('E Balans VL '!D9+'E Balans VL '!E9)/100/3.6*1000000</f>
        <v>0</v>
      </c>
      <c r="K7" s="33"/>
      <c r="L7" s="33"/>
      <c r="M7" s="33"/>
      <c r="N7" s="33">
        <f>$C$27*'E Balans VL '!Y9/100/3.6*1000000</f>
        <v>0.64346222984467283</v>
      </c>
      <c r="O7" s="33"/>
      <c r="P7" s="33"/>
      <c r="R7" s="32"/>
    </row>
    <row r="8" spans="1:18">
      <c r="A8" s="6" t="s">
        <v>51</v>
      </c>
      <c r="B8" s="37">
        <f t="shared" si="0"/>
        <v>13451.5997535398</v>
      </c>
      <c r="C8" s="33"/>
      <c r="D8" s="37">
        <f>IF(ISERROR(TER_handel_gas_kWh/1000),0,TER_handel_gas_kWh/1000)*0.903</f>
        <v>7546.1966227558205</v>
      </c>
      <c r="E8" s="33">
        <f>$C$28*'E Balans VL '!I13/100/3.6*1000000</f>
        <v>47.275021120115618</v>
      </c>
      <c r="F8" s="33">
        <f>$C$28*('E Balans VL '!L13+'E Balans VL '!N13)/100/3.6*1000000</f>
        <v>1230.7972206302027</v>
      </c>
      <c r="G8" s="34"/>
      <c r="H8" s="33"/>
      <c r="I8" s="33"/>
      <c r="J8" s="33">
        <f>$C$28*('E Balans VL '!D13+'E Balans VL '!E13)/100/3.6*1000000</f>
        <v>0</v>
      </c>
      <c r="K8" s="33"/>
      <c r="L8" s="33"/>
      <c r="M8" s="33"/>
      <c r="N8" s="33">
        <f>$C$28*'E Balans VL '!Y13/100/3.6*1000000</f>
        <v>4.8715903176896314</v>
      </c>
      <c r="O8" s="33"/>
      <c r="P8" s="33"/>
      <c r="R8" s="32"/>
    </row>
    <row r="9" spans="1:18">
      <c r="A9" s="32" t="s">
        <v>50</v>
      </c>
      <c r="B9" s="37">
        <f t="shared" si="0"/>
        <v>3351.6078185981601</v>
      </c>
      <c r="C9" s="33"/>
      <c r="D9" s="37">
        <f>IF(ISERROR(TER_gezond_gas_kWh/1000),0,TER_gezond_gas_kWh/1000)*0.903</f>
        <v>8427.9044087504135</v>
      </c>
      <c r="E9" s="33">
        <f>$C$29*'E Balans VL '!I10/100/3.6*1000000</f>
        <v>0</v>
      </c>
      <c r="F9" s="33">
        <f>$C$29*('E Balans VL '!L10+'E Balans VL '!N10)/100/3.6*1000000</f>
        <v>410.84557315910752</v>
      </c>
      <c r="G9" s="34"/>
      <c r="H9" s="33"/>
      <c r="I9" s="33"/>
      <c r="J9" s="33">
        <f>$C$29*('E Balans VL '!D10+'E Balans VL '!E10)/100/3.6*1000000</f>
        <v>0</v>
      </c>
      <c r="K9" s="33"/>
      <c r="L9" s="33"/>
      <c r="M9" s="33"/>
      <c r="N9" s="33">
        <f>$C$29*'E Balans VL '!Y10/100/3.6*1000000</f>
        <v>24.715772078046921</v>
      </c>
      <c r="O9" s="33"/>
      <c r="P9" s="33"/>
      <c r="R9" s="32"/>
    </row>
    <row r="10" spans="1:18">
      <c r="A10" s="32" t="s">
        <v>49</v>
      </c>
      <c r="B10" s="37">
        <f t="shared" si="0"/>
        <v>4307.96434402866</v>
      </c>
      <c r="C10" s="33"/>
      <c r="D10" s="37">
        <f>IF(ISERROR(TER_ander_gas_kWh/1000),0,TER_ander_gas_kWh/1000)*0.903</f>
        <v>8614.081791938157</v>
      </c>
      <c r="E10" s="33">
        <f>$C$30*'E Balans VL '!I14/100/3.6*1000000</f>
        <v>61.69955830373673</v>
      </c>
      <c r="F10" s="33">
        <f>$C$30*('E Balans VL '!L14+'E Balans VL '!N14)/100/3.6*1000000</f>
        <v>2564.6776519868426</v>
      </c>
      <c r="G10" s="34"/>
      <c r="H10" s="33"/>
      <c r="I10" s="33"/>
      <c r="J10" s="33">
        <f>$C$30*('E Balans VL '!D14+'E Balans VL '!E14)/100/3.6*1000000</f>
        <v>4.254468088946816E-2</v>
      </c>
      <c r="K10" s="33"/>
      <c r="L10" s="33"/>
      <c r="M10" s="33"/>
      <c r="N10" s="33">
        <f>$C$30*'E Balans VL '!Y14/100/3.6*1000000</f>
        <v>1537.5423941585884</v>
      </c>
      <c r="O10" s="33"/>
      <c r="P10" s="33"/>
      <c r="R10" s="32"/>
    </row>
    <row r="11" spans="1:18">
      <c r="A11" s="32" t="s">
        <v>54</v>
      </c>
      <c r="B11" s="37">
        <f t="shared" si="0"/>
        <v>991.63724932430193</v>
      </c>
      <c r="C11" s="33"/>
      <c r="D11" s="37">
        <f>IF(ISERROR(TER_onderwijs_gas_kWh/1000),0,TER_onderwijs_gas_kWh/1000)*0.903</f>
        <v>1059.6955398210885</v>
      </c>
      <c r="E11" s="33">
        <f>$C$31*'E Balans VL '!I11/100/3.6*1000000</f>
        <v>0</v>
      </c>
      <c r="F11" s="33">
        <f>$C$31*('E Balans VL '!L11+'E Balans VL '!N11)/100/3.6*1000000</f>
        <v>115.93420327171216</v>
      </c>
      <c r="G11" s="34"/>
      <c r="H11" s="33"/>
      <c r="I11" s="33"/>
      <c r="J11" s="33">
        <f>$C$31*('E Balans VL '!D11+'E Balans VL '!E11)/100/3.6*1000000</f>
        <v>0</v>
      </c>
      <c r="K11" s="33"/>
      <c r="L11" s="33"/>
      <c r="M11" s="33"/>
      <c r="N11" s="33">
        <f>$C$31*'E Balans VL '!Y11/100/3.6*1000000</f>
        <v>2.7923366231847839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56.7</v>
      </c>
      <c r="C13" s="247">
        <f ca="1">'lokale energieproductie'!O41+'lokale energieproductie'!O34</f>
        <v>81</v>
      </c>
      <c r="D13" s="310">
        <f ca="1">('lokale energieproductie'!P34+'lokale energieproductie'!P41)*(-1)</f>
        <v>-162.00000000000003</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35631.216474858644</v>
      </c>
      <c r="C16" s="21">
        <f t="shared" ca="1" si="1"/>
        <v>81</v>
      </c>
      <c r="D16" s="21">
        <f t="shared" ca="1" si="1"/>
        <v>42147.111275058123</v>
      </c>
      <c r="E16" s="21">
        <f t="shared" si="1"/>
        <v>111.69918288636393</v>
      </c>
      <c r="F16" s="21">
        <f t="shared" ca="1" si="1"/>
        <v>5572.8267516546066</v>
      </c>
      <c r="G16" s="21">
        <f t="shared" si="1"/>
        <v>0</v>
      </c>
      <c r="H16" s="21">
        <f t="shared" si="1"/>
        <v>0</v>
      </c>
      <c r="I16" s="21">
        <f t="shared" si="1"/>
        <v>0</v>
      </c>
      <c r="J16" s="21">
        <f t="shared" si="1"/>
        <v>4.254468088946816E-2</v>
      </c>
      <c r="K16" s="21">
        <f t="shared" si="1"/>
        <v>0</v>
      </c>
      <c r="L16" s="21">
        <f t="shared" ca="1" si="1"/>
        <v>0</v>
      </c>
      <c r="M16" s="21">
        <f t="shared" si="1"/>
        <v>0</v>
      </c>
      <c r="N16" s="21">
        <f t="shared" ca="1" si="1"/>
        <v>1576.3422454829702</v>
      </c>
      <c r="O16" s="21">
        <f>O5</f>
        <v>48.972607658411548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0.10810744847216575</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3851.999899056364</v>
      </c>
      <c r="C20" s="23">
        <f t="shared" ref="C20:P20" ca="1" si="2">C16*C18</f>
        <v>17.917921671164308</v>
      </c>
      <c r="D20" s="23">
        <f t="shared" ca="1" si="2"/>
        <v>8513.7164775617421</v>
      </c>
      <c r="E20" s="23">
        <f t="shared" si="2"/>
        <v>25.355714515204614</v>
      </c>
      <c r="F20" s="23">
        <f t="shared" ca="1" si="2"/>
        <v>1487.94474269178</v>
      </c>
      <c r="G20" s="23">
        <f t="shared" si="2"/>
        <v>0</v>
      </c>
      <c r="H20" s="23">
        <f t="shared" si="2"/>
        <v>0</v>
      </c>
      <c r="I20" s="23">
        <f t="shared" si="2"/>
        <v>0</v>
      </c>
      <c r="J20" s="23">
        <f t="shared" si="2"/>
        <v>1.5060817034871728E-2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11372.5950950102</v>
      </c>
      <c r="C26" s="39">
        <f>IF(ISERROR(B26*3.6/1000000/'E Balans VL '!Z12*100),0,B26*3.6/1000000/'E Balans VL '!Z12*100)</f>
        <v>0.32073729783588556</v>
      </c>
      <c r="D26" s="237" t="s">
        <v>702</v>
      </c>
      <c r="F26" s="6"/>
    </row>
    <row r="27" spans="1:18">
      <c r="A27" s="231" t="s">
        <v>52</v>
      </c>
      <c r="B27" s="33">
        <f>IF(ISERROR(TER_horeca_ele_kWh/1000),0,TER_horeca_ele_kWh/1000)</f>
        <v>2099.1122143575199</v>
      </c>
      <c r="C27" s="39">
        <f>IF(ISERROR(B27*3.6/1000000/'E Balans VL '!Z9*100),0,B27*3.6/1000000/'E Balans VL '!Z9*100)</f>
        <v>0.1556233837785865</v>
      </c>
      <c r="D27" s="237" t="s">
        <v>702</v>
      </c>
      <c r="F27" s="6"/>
    </row>
    <row r="28" spans="1:18">
      <c r="A28" s="171" t="s">
        <v>51</v>
      </c>
      <c r="B28" s="33">
        <f>IF(ISERROR(TER_handel_ele_kWh/1000),0,TER_handel_ele_kWh/1000)</f>
        <v>13451.5997535398</v>
      </c>
      <c r="C28" s="39">
        <f>IF(ISERROR(B28*3.6/1000000/'E Balans VL '!Z13*100),0,B28*3.6/1000000/'E Balans VL '!Z13*100)</f>
        <v>0.40297794624355099</v>
      </c>
      <c r="D28" s="237" t="s">
        <v>702</v>
      </c>
      <c r="F28" s="6"/>
    </row>
    <row r="29" spans="1:18">
      <c r="A29" s="231" t="s">
        <v>50</v>
      </c>
      <c r="B29" s="33">
        <f>IF(ISERROR(TER_gezond_ele_kWh/1000),0,TER_gezond_ele_kWh/1000)</f>
        <v>3351.6078185981601</v>
      </c>
      <c r="C29" s="39">
        <f>IF(ISERROR(B29*3.6/1000000/'E Balans VL '!Z10*100),0,B29*3.6/1000000/'E Balans VL '!Z10*100)</f>
        <v>0.33140829475934241</v>
      </c>
      <c r="D29" s="237" t="s">
        <v>702</v>
      </c>
      <c r="F29" s="6"/>
    </row>
    <row r="30" spans="1:18">
      <c r="A30" s="231" t="s">
        <v>49</v>
      </c>
      <c r="B30" s="33">
        <f>IF(ISERROR(TER_ander_ele_kWh/1000),0,TER_ander_ele_kWh/1000)</f>
        <v>4307.96434402866</v>
      </c>
      <c r="C30" s="39">
        <f>IF(ISERROR(B30*3.6/1000000/'E Balans VL '!Z14*100),0,B30*3.6/1000000/'E Balans VL '!Z14*100)</f>
        <v>0.17424442685106412</v>
      </c>
      <c r="D30" s="237" t="s">
        <v>702</v>
      </c>
      <c r="F30" s="6"/>
    </row>
    <row r="31" spans="1:18">
      <c r="A31" s="231" t="s">
        <v>54</v>
      </c>
      <c r="B31" s="33">
        <f>IF(ISERROR(TER_onderwijs_ele_kWh/1000),0,TER_onderwijs_ele_kWh/1000)</f>
        <v>991.63724932430193</v>
      </c>
      <c r="C31" s="39">
        <f>IF(ISERROR(B31*3.6/1000000/'E Balans VL '!Z11*100),0,B31*3.6/1000000/'E Balans VL '!Z11*100)</f>
        <v>0.2724461212835671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43049.902546748825</v>
      </c>
      <c r="C5" s="17">
        <f>IF(ISERROR('Eigen informatie GS &amp; warmtenet'!B61),0,'Eigen informatie GS &amp; warmtenet'!B61)</f>
        <v>0</v>
      </c>
      <c r="D5" s="30">
        <f>SUM(D6:D15)</f>
        <v>84318.690237091636</v>
      </c>
      <c r="E5" s="17">
        <f>SUM(E6:E15)</f>
        <v>1197.0565206302829</v>
      </c>
      <c r="F5" s="17">
        <f>SUM(F6:F15)</f>
        <v>5755.8888340931999</v>
      </c>
      <c r="G5" s="18"/>
      <c r="H5" s="17"/>
      <c r="I5" s="17"/>
      <c r="J5" s="17">
        <f>SUM(J6:J15)</f>
        <v>7.3979322856923986</v>
      </c>
      <c r="K5" s="17"/>
      <c r="L5" s="17"/>
      <c r="M5" s="17"/>
      <c r="N5" s="17">
        <f>SUM(N6:N15)</f>
        <v>692.51331087075346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8305.9299323662508</v>
      </c>
      <c r="C8" s="33"/>
      <c r="D8" s="37">
        <f>IF( ISERROR(IND_metaal_Gas_kWH/1000),0,IND_metaal_Gas_kWH/1000)*0.903</f>
        <v>17455.71900213659</v>
      </c>
      <c r="E8" s="33">
        <f>C30*'E Balans VL '!I18/100/3.6*1000000</f>
        <v>41.879947932045454</v>
      </c>
      <c r="F8" s="33">
        <f>C30*'E Balans VL '!L18/100/3.6*1000000+C30*'E Balans VL '!N18/100/3.6*1000000</f>
        <v>567.47810574031473</v>
      </c>
      <c r="G8" s="34"/>
      <c r="H8" s="33"/>
      <c r="I8" s="33"/>
      <c r="J8" s="40">
        <f>C30*'E Balans VL '!D18/100/3.6*1000000+C30*'E Balans VL '!E18/100/3.6*1000000</f>
        <v>7.3639153899932115</v>
      </c>
      <c r="K8" s="33"/>
      <c r="L8" s="33"/>
      <c r="M8" s="33"/>
      <c r="N8" s="33">
        <f>C30*'E Balans VL '!Y18/100/3.6*1000000</f>
        <v>110.38585809291534</v>
      </c>
      <c r="O8" s="33"/>
      <c r="P8" s="33"/>
      <c r="R8" s="32"/>
    </row>
    <row r="9" spans="1:18">
      <c r="A9" s="6" t="s">
        <v>32</v>
      </c>
      <c r="B9" s="37">
        <f t="shared" si="0"/>
        <v>8074.24670673535</v>
      </c>
      <c r="C9" s="33"/>
      <c r="D9" s="37">
        <f>IF( ISERROR(IND_andere_gas_kWh/1000),0,IND_andere_gas_kWh/1000)*0.903</f>
        <v>37778.723715639928</v>
      </c>
      <c r="E9" s="33">
        <f>C31*'E Balans VL '!I19/100/3.6*1000000</f>
        <v>25.451933913786089</v>
      </c>
      <c r="F9" s="33">
        <f>C31*'E Balans VL '!L19/100/3.6*1000000+C31*'E Balans VL '!N19/100/3.6*1000000</f>
        <v>4942.7142414513246</v>
      </c>
      <c r="G9" s="34"/>
      <c r="H9" s="33"/>
      <c r="I9" s="33"/>
      <c r="J9" s="40">
        <f>C31*'E Balans VL '!D19/100/3.6*1000000+C31*'E Balans VL '!E19/100/3.6*1000000</f>
        <v>0</v>
      </c>
      <c r="K9" s="33"/>
      <c r="L9" s="33"/>
      <c r="M9" s="33"/>
      <c r="N9" s="33">
        <f>C31*'E Balans VL '!Y19/100/3.6*1000000</f>
        <v>338.56412779404883</v>
      </c>
      <c r="O9" s="33"/>
      <c r="P9" s="33"/>
      <c r="R9" s="32"/>
    </row>
    <row r="10" spans="1:18">
      <c r="A10" s="6" t="s">
        <v>40</v>
      </c>
      <c r="B10" s="37">
        <f t="shared" si="0"/>
        <v>6039.4100526099901</v>
      </c>
      <c r="C10" s="33"/>
      <c r="D10" s="37">
        <f>IF( ISERROR(IND_voed_gas_kWh/1000),0,IND_voed_gas_kWh/1000)*0.903</f>
        <v>8079.9704199098942</v>
      </c>
      <c r="E10" s="33">
        <f>C32*'E Balans VL '!I20/100/3.6*1000000</f>
        <v>9.6251234965804731</v>
      </c>
      <c r="F10" s="33">
        <f>C32*'E Balans VL '!L20/100/3.6*1000000+C32*'E Balans VL '!N20/100/3.6*1000000</f>
        <v>98.125741964832045</v>
      </c>
      <c r="G10" s="34"/>
      <c r="H10" s="33"/>
      <c r="I10" s="33"/>
      <c r="J10" s="40">
        <f>C32*'E Balans VL '!D20/100/3.6*1000000+C32*'E Balans VL '!E20/100/3.6*1000000</f>
        <v>0</v>
      </c>
      <c r="K10" s="33"/>
      <c r="L10" s="33"/>
      <c r="M10" s="33"/>
      <c r="N10" s="33">
        <f>C32*'E Balans VL '!Y20/100/3.6*1000000</f>
        <v>190.75473252141188</v>
      </c>
      <c r="O10" s="33"/>
      <c r="P10" s="33"/>
      <c r="R10" s="32"/>
    </row>
    <row r="11" spans="1:18">
      <c r="A11" s="6" t="s">
        <v>39</v>
      </c>
      <c r="B11" s="37">
        <f t="shared" si="0"/>
        <v>68.955787658503596</v>
      </c>
      <c r="C11" s="33"/>
      <c r="D11" s="37">
        <f>IF( ISERROR(IND_textiel_gas_kWh/1000),0,IND_textiel_gas_kWh/1000)*0.903</f>
        <v>0</v>
      </c>
      <c r="E11" s="33">
        <f>C33*'E Balans VL '!I21/100/3.6*1000000</f>
        <v>0.10004224769496595</v>
      </c>
      <c r="F11" s="33">
        <f>C33*'E Balans VL '!L21/100/3.6*1000000+C33*'E Balans VL '!N21/100/3.6*1000000</f>
        <v>1.3495090697538834</v>
      </c>
      <c r="G11" s="34"/>
      <c r="H11" s="33"/>
      <c r="I11" s="33"/>
      <c r="J11" s="40">
        <f>C33*'E Balans VL '!D21/100/3.6*1000000+C33*'E Balans VL '!E21/100/3.6*1000000</f>
        <v>0</v>
      </c>
      <c r="K11" s="33"/>
      <c r="L11" s="33"/>
      <c r="M11" s="33"/>
      <c r="N11" s="33">
        <f>C33*'E Balans VL '!Y21/100/3.6*1000000</f>
        <v>3.3593694765935149</v>
      </c>
      <c r="O11" s="33"/>
      <c r="P11" s="33"/>
      <c r="R11" s="32"/>
    </row>
    <row r="12" spans="1:18">
      <c r="A12" s="6" t="s">
        <v>36</v>
      </c>
      <c r="B12" s="37">
        <f t="shared" si="0"/>
        <v>282.21999725324997</v>
      </c>
      <c r="C12" s="33"/>
      <c r="D12" s="37">
        <f>IF( ISERROR(IND_min_gas_kWh/1000),0,IND_min_gas_kWh/1000)*0.903</f>
        <v>0</v>
      </c>
      <c r="E12" s="33">
        <f>C34*'E Balans VL '!I22/100/3.6*1000000</f>
        <v>1.2212423488443021</v>
      </c>
      <c r="F12" s="33">
        <f>C34*'E Balans VL '!L22/100/3.6*1000000+C34*'E Balans VL '!N22/100/3.6*1000000</f>
        <v>10.775507875776013</v>
      </c>
      <c r="G12" s="34"/>
      <c r="H12" s="33"/>
      <c r="I12" s="33"/>
      <c r="J12" s="40">
        <f>C34*'E Balans VL '!D22/100/3.6*1000000+C34*'E Balans VL '!E22/100/3.6*1000000</f>
        <v>0</v>
      </c>
      <c r="K12" s="33"/>
      <c r="L12" s="33"/>
      <c r="M12" s="33"/>
      <c r="N12" s="33">
        <f>C34*'E Balans VL '!Y22/100/3.6*1000000</f>
        <v>48.14037412351783</v>
      </c>
      <c r="O12" s="33"/>
      <c r="P12" s="33"/>
      <c r="R12" s="32"/>
    </row>
    <row r="13" spans="1:18">
      <c r="A13" s="6" t="s">
        <v>38</v>
      </c>
      <c r="B13" s="37">
        <f t="shared" si="0"/>
        <v>1148.5738275562799</v>
      </c>
      <c r="C13" s="33"/>
      <c r="D13" s="37">
        <f>IF( ISERROR(IND_papier_gas_kWh/1000),0,IND_papier_gas_kWh/1000)*0.903</f>
        <v>2726.988464749953</v>
      </c>
      <c r="E13" s="33">
        <f>C35*'E Balans VL '!I23/100/3.6*1000000</f>
        <v>0</v>
      </c>
      <c r="F13" s="33">
        <f>C35*'E Balans VL '!L23/100/3.6*1000000+C35*'E Balans VL '!N23/100/3.6*1000000</f>
        <v>4.9761558940046843E-2</v>
      </c>
      <c r="G13" s="34"/>
      <c r="H13" s="33"/>
      <c r="I13" s="33"/>
      <c r="J13" s="40">
        <f>C35*'E Balans VL '!D23/100/3.6*1000000+C35*'E Balans VL '!E23/100/3.6*1000000</f>
        <v>3.1648686798738349E-2</v>
      </c>
      <c r="K13" s="33"/>
      <c r="L13" s="33"/>
      <c r="M13" s="33"/>
      <c r="N13" s="33">
        <f>C35*'E Balans VL '!Y23/100/3.6*1000000</f>
        <v>0</v>
      </c>
      <c r="O13" s="33"/>
      <c r="P13" s="33"/>
      <c r="R13" s="32"/>
    </row>
    <row r="14" spans="1:18">
      <c r="A14" s="6" t="s">
        <v>33</v>
      </c>
      <c r="B14" s="37">
        <f t="shared" si="0"/>
        <v>19129.406242569199</v>
      </c>
      <c r="C14" s="33"/>
      <c r="D14" s="37">
        <f>IF( ISERROR(IND_chemie_gas_kWh/1000),0,IND_chemie_gas_kWh/1000)*0.903</f>
        <v>17963.436614324459</v>
      </c>
      <c r="E14" s="33">
        <f>C36*'E Balans VL '!I24/100/3.6*1000000</f>
        <v>1118.7489919796467</v>
      </c>
      <c r="F14" s="33">
        <f>C36*'E Balans VL '!L24/100/3.6*1000000+C36*'E Balans VL '!N24/100/3.6*1000000</f>
        <v>135.30179610178811</v>
      </c>
      <c r="G14" s="34"/>
      <c r="H14" s="33"/>
      <c r="I14" s="33"/>
      <c r="J14" s="40">
        <f>C36*'E Balans VL '!D24/100/3.6*1000000+C36*'E Balans VL '!E24/100/3.6*1000000</f>
        <v>0</v>
      </c>
      <c r="K14" s="33"/>
      <c r="L14" s="33"/>
      <c r="M14" s="33"/>
      <c r="N14" s="33">
        <f>C36*'E Balans VL '!Y24/100/3.6*1000000</f>
        <v>1.289248042474451</v>
      </c>
      <c r="O14" s="33"/>
      <c r="P14" s="33"/>
      <c r="R14" s="32"/>
    </row>
    <row r="15" spans="1:18">
      <c r="A15" s="6" t="s">
        <v>269</v>
      </c>
      <c r="B15" s="37">
        <f t="shared" si="0"/>
        <v>1.1599999999999999</v>
      </c>
      <c r="C15" s="33"/>
      <c r="D15" s="37">
        <f>IF( ISERROR(IND_rest_gas_kWh/1000),0,IND_rest_gas_kWh/1000)*0.903</f>
        <v>313.85202033082084</v>
      </c>
      <c r="E15" s="33">
        <f>C37*'E Balans VL '!I15/100/3.6*1000000</f>
        <v>2.9238711685004082E-2</v>
      </c>
      <c r="F15" s="33">
        <f>C37*'E Balans VL '!L15/100/3.6*1000000+C37*'E Balans VL '!N15/100/3.6*1000000</f>
        <v>9.4170330470103508E-2</v>
      </c>
      <c r="G15" s="34"/>
      <c r="H15" s="33"/>
      <c r="I15" s="33"/>
      <c r="J15" s="40">
        <f>C37*'E Balans VL '!D15/100/3.6*1000000+C37*'E Balans VL '!E15/100/3.6*1000000</f>
        <v>2.3682089004487964E-3</v>
      </c>
      <c r="K15" s="33"/>
      <c r="L15" s="33"/>
      <c r="M15" s="33"/>
      <c r="N15" s="33">
        <f>C37*'E Balans VL '!Y15/100/3.6*1000000</f>
        <v>1.9600819791525566E-2</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43049.902546748825</v>
      </c>
      <c r="C18" s="21">
        <f>C5+C16</f>
        <v>0</v>
      </c>
      <c r="D18" s="21">
        <f>MAX((D5+D16),0)</f>
        <v>84318.690237091636</v>
      </c>
      <c r="E18" s="21">
        <f>MAX((E5+E16),0)</f>
        <v>1197.0565206302829</v>
      </c>
      <c r="F18" s="21">
        <f>MAX((F5+F16),0)</f>
        <v>5755.8888340931999</v>
      </c>
      <c r="G18" s="21"/>
      <c r="H18" s="21"/>
      <c r="I18" s="21"/>
      <c r="J18" s="21">
        <f>MAX((J5+J16),0)</f>
        <v>7.3979322856923986</v>
      </c>
      <c r="K18" s="21"/>
      <c r="L18" s="21">
        <f>MAX((L5+L16),0)</f>
        <v>0</v>
      </c>
      <c r="M18" s="21"/>
      <c r="N18" s="21">
        <f>MAX((N5+N16),0)</f>
        <v>692.51331087075346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0.10810744847216575</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4654.0151213044055</v>
      </c>
      <c r="C22" s="23">
        <f ca="1">C18*C20</f>
        <v>0</v>
      </c>
      <c r="D22" s="23">
        <f>D18*D20</f>
        <v>17032.375427892512</v>
      </c>
      <c r="E22" s="23">
        <f>E18*E20</f>
        <v>271.73183018307424</v>
      </c>
      <c r="F22" s="23">
        <f>F18*F20</f>
        <v>1536.8223187028846</v>
      </c>
      <c r="G22" s="23"/>
      <c r="H22" s="23"/>
      <c r="I22" s="23"/>
      <c r="J22" s="23">
        <f>J18*J20</f>
        <v>2.618868029135109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8305.9299323662508</v>
      </c>
      <c r="C30" s="39">
        <f>IF(ISERROR(B30*3.6/1000000/'E Balans VL '!Z18*100),0,B30*3.6/1000000/'E Balans VL '!Z18*100)</f>
        <v>0.41228764236353788</v>
      </c>
      <c r="D30" s="237" t="s">
        <v>702</v>
      </c>
    </row>
    <row r="31" spans="1:18">
      <c r="A31" s="6" t="s">
        <v>32</v>
      </c>
      <c r="B31" s="37">
        <f>IF( ISERROR(IND_ander_ele_kWh/1000),0,IND_ander_ele_kWh/1000)</f>
        <v>8074.24670673535</v>
      </c>
      <c r="C31" s="39">
        <f>IF(ISERROR(B31*3.6/1000000/'E Balans VL '!Z19*100),0,B31*3.6/1000000/'E Balans VL '!Z19*100)</f>
        <v>0.27246445135211378</v>
      </c>
      <c r="D31" s="237" t="s">
        <v>702</v>
      </c>
    </row>
    <row r="32" spans="1:18">
      <c r="A32" s="171" t="s">
        <v>40</v>
      </c>
      <c r="B32" s="37">
        <f>IF( ISERROR(IND_voed_ele_kWh/1000),0,IND_voed_ele_kWh/1000)</f>
        <v>6039.4100526099901</v>
      </c>
      <c r="C32" s="39">
        <f>IF(ISERROR(B32*3.6/1000000/'E Balans VL '!Z20*100),0,B32*3.6/1000000/'E Balans VL '!Z20*100)</f>
        <v>0.14183139649572063</v>
      </c>
      <c r="D32" s="237" t="s">
        <v>702</v>
      </c>
    </row>
    <row r="33" spans="1:5">
      <c r="A33" s="171" t="s">
        <v>39</v>
      </c>
      <c r="B33" s="37">
        <f>IF( ISERROR(IND_textiel_ele_kWh/1000),0,IND_textiel_ele_kWh/1000)</f>
        <v>68.955787658503596</v>
      </c>
      <c r="C33" s="39">
        <f>IF(ISERROR(B33*3.6/1000000/'E Balans VL '!Z21*100),0,B33*3.6/1000000/'E Balans VL '!Z21*100)</f>
        <v>7.5678102900163351E-3</v>
      </c>
      <c r="D33" s="237" t="s">
        <v>702</v>
      </c>
    </row>
    <row r="34" spans="1:5">
      <c r="A34" s="171" t="s">
        <v>36</v>
      </c>
      <c r="B34" s="37">
        <f>IF( ISERROR(IND_min_ele_kWh/1000),0,IND_min_ele_kWh/1000)</f>
        <v>282.21999725324997</v>
      </c>
      <c r="C34" s="39">
        <f>IF(ISERROR(B34*3.6/1000000/'E Balans VL '!Z22*100),0,B34*3.6/1000000/'E Balans VL '!Z22*100)</f>
        <v>4.0038765088006127E-2</v>
      </c>
      <c r="D34" s="237" t="s">
        <v>702</v>
      </c>
    </row>
    <row r="35" spans="1:5">
      <c r="A35" s="171" t="s">
        <v>38</v>
      </c>
      <c r="B35" s="37">
        <f>IF( ISERROR(IND_papier_ele_kWh/1000),0,IND_papier_ele_kWh/1000)</f>
        <v>1148.5738275562799</v>
      </c>
      <c r="C35" s="39">
        <f>IF(ISERROR(B35*3.6/1000000/'E Balans VL '!Z22*100),0,B35*3.6/1000000/'E Balans VL '!Z22*100)</f>
        <v>0.16294904016490055</v>
      </c>
      <c r="D35" s="237" t="s">
        <v>702</v>
      </c>
    </row>
    <row r="36" spans="1:5">
      <c r="A36" s="171" t="s">
        <v>33</v>
      </c>
      <c r="B36" s="37">
        <f>IF( ISERROR(IND_chemie_ele_kWh/1000),0,IND_chemie_ele_kWh/1000)</f>
        <v>19129.406242569199</v>
      </c>
      <c r="C36" s="39">
        <f>IF(ISERROR(B36*3.6/1000000/'E Balans VL '!Z24*100),0,B36*3.6/1000000/'E Balans VL '!Z24*100)</f>
        <v>0.17468170692164051</v>
      </c>
      <c r="D36" s="237" t="s">
        <v>702</v>
      </c>
    </row>
    <row r="37" spans="1:5">
      <c r="A37" s="171" t="s">
        <v>269</v>
      </c>
      <c r="B37" s="37">
        <f>IF( ISERROR(IND_rest_ele_kWh/1000),0,IND_rest_ele_kWh/1000)</f>
        <v>1.1599999999999999</v>
      </c>
      <c r="C37" s="39">
        <f>IF(ISERROR(B37*3.6/1000000/'E Balans VL '!Z15*100),0,B37*3.6/1000000/'E Balans VL '!Z15*100)</f>
        <v>4.3471338751195447E-6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4805.0127121935893</v>
      </c>
      <c r="C5" s="17">
        <f>'Eigen informatie GS &amp; warmtenet'!B62</f>
        <v>0</v>
      </c>
      <c r="D5" s="30">
        <f>IF(ISERROR(SUM(LB_lb_gas_kWh,LB_rest_gas_kWh)/1000),0,SUM(LB_lb_gas_kWh,LB_rest_gas_kWh)/1000)*0.903</f>
        <v>6040.2852804599661</v>
      </c>
      <c r="E5" s="17">
        <f>B17*'E Balans VL '!I25/3.6*1000000/100</f>
        <v>179.19362152312897</v>
      </c>
      <c r="F5" s="17">
        <f>B17*('E Balans VL '!L25/3.6*1000000+'E Balans VL '!N25/3.6*1000000)/100</f>
        <v>15589.317968354575</v>
      </c>
      <c r="G5" s="18"/>
      <c r="H5" s="17"/>
      <c r="I5" s="17"/>
      <c r="J5" s="17">
        <f>('E Balans VL '!D25+'E Balans VL '!E25)/3.6*1000000*landbouw!B17/100</f>
        <v>1261.3395588523529</v>
      </c>
      <c r="K5" s="17"/>
      <c r="L5" s="17">
        <f>L6*(-1)</f>
        <v>0</v>
      </c>
      <c r="M5" s="17"/>
      <c r="N5" s="17">
        <f>N6*(-1)</f>
        <v>374.14285714285711</v>
      </c>
      <c r="O5" s="17"/>
      <c r="P5" s="17"/>
      <c r="R5" s="32"/>
    </row>
    <row r="6" spans="1:18">
      <c r="A6" s="16" t="s">
        <v>479</v>
      </c>
      <c r="B6" s="17" t="s">
        <v>210</v>
      </c>
      <c r="C6" s="17">
        <f>'lokale energieproductie'!O42+'lokale energieproductie'!O35</f>
        <v>2623.5</v>
      </c>
      <c r="D6" s="310">
        <f>('lokale energieproductie'!P35+'lokale energieproductie'!P42)*(-1)</f>
        <v>-4872.8571428571431</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4805.0127121935893</v>
      </c>
      <c r="C8" s="21">
        <f>C5+C6</f>
        <v>2623.5</v>
      </c>
      <c r="D8" s="21">
        <f>MAX((D5+D6),0)</f>
        <v>1167.428137602823</v>
      </c>
      <c r="E8" s="21">
        <f>MAX((E5+E6),0)</f>
        <v>179.19362152312897</v>
      </c>
      <c r="F8" s="21">
        <f>MAX((F5+F6),0)</f>
        <v>15589.317968354575</v>
      </c>
      <c r="G8" s="21"/>
      <c r="H8" s="21"/>
      <c r="I8" s="21"/>
      <c r="J8" s="21">
        <f>MAX((J5+J6),0)</f>
        <v>1261.3395588523529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0.10810744847216575</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519.45766419156985</v>
      </c>
      <c r="C12" s="23">
        <f ca="1">C8*C10</f>
        <v>580.34157412715513</v>
      </c>
      <c r="D12" s="23">
        <f>D8*D10</f>
        <v>235.82048379577026</v>
      </c>
      <c r="E12" s="23">
        <f>E8*E10</f>
        <v>40.67695208575028</v>
      </c>
      <c r="F12" s="23">
        <f>F8*F10</f>
        <v>4162.3478975506714</v>
      </c>
      <c r="G12" s="23"/>
      <c r="H12" s="23"/>
      <c r="I12" s="23"/>
      <c r="J12" s="23">
        <f>J8*J10</f>
        <v>446.51420383373289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0.65995595725092537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927.62732336732563</v>
      </c>
      <c r="C26" s="247">
        <f>B26*'GWP N2O_CH4'!B5</f>
        <v>19480.173790713838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300.28312852898671</v>
      </c>
      <c r="C27" s="247">
        <f>B27*'GWP N2O_CH4'!B5</f>
        <v>6305.9456991087209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11.069467505598489</v>
      </c>
      <c r="C28" s="247">
        <f>B28*'GWP N2O_CH4'!B4</f>
        <v>3431.5349267355314</v>
      </c>
      <c r="D28" s="50"/>
    </row>
    <row r="29" spans="1:4">
      <c r="A29" s="41" t="s">
        <v>276</v>
      </c>
      <c r="B29" s="247">
        <f>B34*'ha_N2O bodem landbouw'!B4</f>
        <v>27.356954789574051</v>
      </c>
      <c r="C29" s="247">
        <f>B29*'GWP N2O_CH4'!B4</f>
        <v>8480.6559847679564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6.2347281228603097E-3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4.3033044482213077E-4</v>
      </c>
      <c r="C5" s="440" t="s">
        <v>210</v>
      </c>
      <c r="D5" s="425">
        <f>SUM(D6:D11)</f>
        <v>1.8904013440637318E-3</v>
      </c>
      <c r="E5" s="425">
        <f>SUM(E6:E11)</f>
        <v>1.0052254313032132E-3</v>
      </c>
      <c r="F5" s="438" t="s">
        <v>210</v>
      </c>
      <c r="G5" s="425">
        <f>SUM(G6:G11)</f>
        <v>0.46083330313741844</v>
      </c>
      <c r="H5" s="425">
        <f>SUM(H6:H11)</f>
        <v>0.12020244169068975</v>
      </c>
      <c r="I5" s="440" t="s">
        <v>210</v>
      </c>
      <c r="J5" s="440" t="s">
        <v>210</v>
      </c>
      <c r="K5" s="440" t="s">
        <v>210</v>
      </c>
      <c r="L5" s="440" t="s">
        <v>210</v>
      </c>
      <c r="M5" s="425">
        <f>SUM(M6:M11)</f>
        <v>3.4301618997556106E-2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2.9641393392839375E-4</v>
      </c>
      <c r="C6" s="426"/>
      <c r="D6" s="893">
        <f>vkm_GW_PW*SUMIFS(TableVerdeelsleutelVkm[CNG],TableVerdeelsleutelVkm[Voertuigtype],"Lichte voertuigen")*SUMIFS(TableECFTransport[EnergieConsumptieFactor (PJ per km)],TableECFTransport[Index],CONCATENATE($A6,"_CNG_CNG"))</f>
        <v>1.0705566727464777E-3</v>
      </c>
      <c r="E6" s="893">
        <f>vkm_GW_PW*SUMIFS(TableVerdeelsleutelVkm[LPG],TableVerdeelsleutelVkm[Voertuigtype],"Lichte voertuigen")*SUMIFS(TableECFTransport[EnergieConsumptieFactor (PJ per km)],TableECFTransport[Index],CONCATENATE($A6,"_LPG_LPG"))</f>
        <v>5.8182007186301829E-4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0.18105882157114569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6.8523494096282084E-2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1.4957428108979287E-2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0.13081465464671269</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1.3771569086287524E-6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7.3650699566975416E-3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1.3391651089373705E-4</v>
      </c>
      <c r="C8" s="426"/>
      <c r="D8" s="428">
        <f>vkm_NGW_PW*SUMIFS(TableVerdeelsleutelVkm[CNG],TableVerdeelsleutelVkm[Voertuigtype],"Lichte voertuigen")*SUMIFS(TableECFTransport[EnergieConsumptieFactor (PJ per km)],TableECFTransport[Index],CONCATENATE($A8,"_CNG_CNG"))</f>
        <v>8.1984467131725408E-4</v>
      </c>
      <c r="E8" s="428">
        <f>vkm_NGW_PW*SUMIFS(TableVerdeelsleutelVkm[LPG],TableVerdeelsleutelVkm[Voertuigtype],"Lichte voertuigen")*SUMIFS(TableECFTransport[EnergieConsumptieFactor (PJ per km)],TableECFTransport[Index],CONCATENATE($A8,"_LPG_LPG"))</f>
        <v>4.2340535944019491E-4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0.1226182965945032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5.1677167654678308E-2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1.0496042792215256E-2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2.6341530325056879E-2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4.0278282072996772E-7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1.4830781396640252E-3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119.5362346728141</v>
      </c>
      <c r="C14" s="21"/>
      <c r="D14" s="21">
        <f t="shared" ref="D14:M14" si="0">((D5)*10^9/3600)+D12</f>
        <v>525.1114844621477</v>
      </c>
      <c r="E14" s="21">
        <f t="shared" si="0"/>
        <v>279.22928647311477</v>
      </c>
      <c r="F14" s="21"/>
      <c r="G14" s="21">
        <f t="shared" si="0"/>
        <v>128009.25087150512</v>
      </c>
      <c r="H14" s="21">
        <f t="shared" si="0"/>
        <v>33389.567136302707</v>
      </c>
      <c r="I14" s="21"/>
      <c r="J14" s="21"/>
      <c r="K14" s="21"/>
      <c r="L14" s="21"/>
      <c r="M14" s="21">
        <f t="shared" si="0"/>
        <v>9528.2274993211395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0.10810744847216575</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12.922757330447963</v>
      </c>
      <c r="C18" s="23"/>
      <c r="D18" s="23">
        <f t="shared" ref="D18:M18" si="1">D14*D16</f>
        <v>106.07251986135384</v>
      </c>
      <c r="E18" s="23">
        <f t="shared" si="1"/>
        <v>63.385048029397055</v>
      </c>
      <c r="F18" s="23"/>
      <c r="G18" s="23">
        <f t="shared" si="1"/>
        <v>34178.469982691873</v>
      </c>
      <c r="H18" s="23">
        <f t="shared" si="1"/>
        <v>8314.0022169393742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3.8844025091531449E-3</v>
      </c>
      <c r="C50" s="321">
        <f t="shared" ref="C50:P50" si="2">SUM(C51:C52)</f>
        <v>0</v>
      </c>
      <c r="D50" s="321">
        <f t="shared" si="2"/>
        <v>0</v>
      </c>
      <c r="E50" s="321">
        <f t="shared" si="2"/>
        <v>0</v>
      </c>
      <c r="F50" s="321">
        <f t="shared" si="2"/>
        <v>0</v>
      </c>
      <c r="G50" s="321">
        <f t="shared" si="2"/>
        <v>9.4949656712840537E-3</v>
      </c>
      <c r="H50" s="321">
        <f t="shared" si="2"/>
        <v>0</v>
      </c>
      <c r="I50" s="321">
        <f t="shared" si="2"/>
        <v>0</v>
      </c>
      <c r="J50" s="321">
        <f t="shared" si="2"/>
        <v>0</v>
      </c>
      <c r="K50" s="321">
        <f t="shared" si="2"/>
        <v>0</v>
      </c>
      <c r="L50" s="321">
        <f t="shared" si="2"/>
        <v>0</v>
      </c>
      <c r="M50" s="321">
        <f t="shared" si="2"/>
        <v>5.1525091673973824E-4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9.4949656712840537E-3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5.1525091673973824E-4</v>
      </c>
      <c r="N51" s="323"/>
      <c r="O51" s="323"/>
      <c r="P51" s="326"/>
    </row>
    <row r="52" spans="1:18">
      <c r="A52" s="4" t="s">
        <v>329</v>
      </c>
      <c r="B52" s="894">
        <f>vkm_tram*SUMIFS(TableECFTransport[EnergieConsumptieFactor (PJ per km)],TableECFTransport[Index],"Tram_gemiddeld_Electric_Electric")</f>
        <v>3.8844025091531449E-3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1079.0006969869846</v>
      </c>
      <c r="C54" s="21">
        <f t="shared" ref="C54:P54" si="3">(C50)*10^9/3600</f>
        <v>0</v>
      </c>
      <c r="D54" s="21">
        <f t="shared" si="3"/>
        <v>0</v>
      </c>
      <c r="E54" s="21">
        <f t="shared" si="3"/>
        <v>0</v>
      </c>
      <c r="F54" s="21">
        <f t="shared" si="3"/>
        <v>0</v>
      </c>
      <c r="G54" s="21">
        <f t="shared" si="3"/>
        <v>2637.4904642455704</v>
      </c>
      <c r="H54" s="21">
        <f t="shared" si="3"/>
        <v>0</v>
      </c>
      <c r="I54" s="21">
        <f t="shared" si="3"/>
        <v>0</v>
      </c>
      <c r="J54" s="21">
        <f t="shared" si="3"/>
        <v>0</v>
      </c>
      <c r="K54" s="21">
        <f t="shared" si="3"/>
        <v>0</v>
      </c>
      <c r="L54" s="21">
        <f t="shared" si="3"/>
        <v>0</v>
      </c>
      <c r="M54" s="21">
        <f t="shared" si="3"/>
        <v>143.12525464992729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0.10810744847216575</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116.64801225095137</v>
      </c>
      <c r="C58" s="23">
        <f t="shared" ref="C58:P58" ca="1" si="4">C54*C56</f>
        <v>0</v>
      </c>
      <c r="D58" s="23">
        <f t="shared" si="4"/>
        <v>0</v>
      </c>
      <c r="E58" s="23">
        <f t="shared" si="4"/>
        <v>0</v>
      </c>
      <c r="F58" s="23">
        <f t="shared" si="4"/>
        <v>0</v>
      </c>
      <c r="G58" s="23">
        <f t="shared" si="4"/>
        <v>704.20995395356738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50543.467815825308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28779.942266224538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1893.15</v>
      </c>
      <c r="C8" s="551">
        <f>B51</f>
        <v>2073.1764705882356</v>
      </c>
      <c r="D8" s="552"/>
      <c r="E8" s="552">
        <f>E51</f>
        <v>0</v>
      </c>
      <c r="F8" s="553"/>
      <c r="G8" s="554"/>
      <c r="H8" s="552">
        <f>I51</f>
        <v>0</v>
      </c>
      <c r="I8" s="552">
        <f>G51+F51</f>
        <v>0</v>
      </c>
      <c r="J8" s="552">
        <f>H51+D51+C51</f>
        <v>154.05882352941177</v>
      </c>
      <c r="K8" s="552"/>
      <c r="L8" s="552"/>
      <c r="M8" s="552"/>
      <c r="N8" s="555"/>
      <c r="O8" s="556">
        <f>C8*$C$12+D8*$D$12+E8*$E$12+F8*$F$12+G8*$G$12+H8*$H$12+I8*$I$12+J8*$J$12</f>
        <v>418.78164705882364</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81216.560082049837</v>
      </c>
      <c r="C10" s="566">
        <f t="shared" ref="C10:L10" si="0">SUM(C8:C9)</f>
        <v>2073.1764705882356</v>
      </c>
      <c r="D10" s="566">
        <f t="shared" si="0"/>
        <v>0</v>
      </c>
      <c r="E10" s="566">
        <f t="shared" si="0"/>
        <v>0</v>
      </c>
      <c r="F10" s="566">
        <f t="shared" si="0"/>
        <v>0</v>
      </c>
      <c r="G10" s="566">
        <f t="shared" si="0"/>
        <v>0</v>
      </c>
      <c r="H10" s="566">
        <f t="shared" si="0"/>
        <v>0</v>
      </c>
      <c r="I10" s="566">
        <f t="shared" si="0"/>
        <v>0</v>
      </c>
      <c r="J10" s="566">
        <f t="shared" si="0"/>
        <v>154.05882352941177</v>
      </c>
      <c r="K10" s="566">
        <f t="shared" si="0"/>
        <v>0</v>
      </c>
      <c r="L10" s="566">
        <f t="shared" si="0"/>
        <v>0</v>
      </c>
      <c r="M10" s="969"/>
      <c r="N10" s="969"/>
      <c r="O10" s="567">
        <f>SUM(O4:O9)</f>
        <v>418.78164705882364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2704.5</v>
      </c>
      <c r="C17" s="582">
        <f>B52</f>
        <v>2961.680672268908</v>
      </c>
      <c r="D17" s="583"/>
      <c r="E17" s="583">
        <f>E52</f>
        <v>0</v>
      </c>
      <c r="F17" s="584"/>
      <c r="G17" s="585"/>
      <c r="H17" s="582">
        <f>I52</f>
        <v>0</v>
      </c>
      <c r="I17" s="583">
        <f>G52+F52</f>
        <v>0</v>
      </c>
      <c r="J17" s="583">
        <f>H52+D52+C52</f>
        <v>220.08403361344537</v>
      </c>
      <c r="K17" s="583"/>
      <c r="L17" s="583"/>
      <c r="M17" s="583"/>
      <c r="N17" s="970"/>
      <c r="O17" s="586">
        <f>C17*$C$22+E17*$E$22+H17*$H$22+I17*$I$22+J17*$J$22+D17*$D$22+F17*$F$22+G17*$G$22+K17*$K$22+L17*$L$22</f>
        <v>598.25949579831945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2704.5</v>
      </c>
      <c r="C20" s="565">
        <f>SUM(C17:C19)</f>
        <v>2961.680672268908</v>
      </c>
      <c r="D20" s="565">
        <f t="shared" ref="D20:L20" si="1">SUM(D17:D19)</f>
        <v>0</v>
      </c>
      <c r="E20" s="565">
        <f t="shared" si="1"/>
        <v>0</v>
      </c>
      <c r="F20" s="565">
        <f t="shared" si="1"/>
        <v>0</v>
      </c>
      <c r="G20" s="565">
        <f t="shared" si="1"/>
        <v>0</v>
      </c>
      <c r="H20" s="565">
        <f t="shared" si="1"/>
        <v>0</v>
      </c>
      <c r="I20" s="565">
        <f t="shared" si="1"/>
        <v>0</v>
      </c>
      <c r="J20" s="565">
        <f t="shared" si="1"/>
        <v>220.08403361344537</v>
      </c>
      <c r="K20" s="565">
        <f t="shared" si="1"/>
        <v>0</v>
      </c>
      <c r="L20" s="565">
        <f t="shared" si="1"/>
        <v>0</v>
      </c>
      <c r="M20" s="565"/>
      <c r="N20" s="565"/>
      <c r="O20" s="591">
        <f>SUM(O17:O19)</f>
        <v>598.25949579831945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44019</v>
      </c>
      <c r="C28" s="794">
        <v>9940</v>
      </c>
      <c r="D28" s="643" t="s">
        <v>865</v>
      </c>
      <c r="E28" s="642" t="s">
        <v>866</v>
      </c>
      <c r="F28" s="642" t="s">
        <v>867</v>
      </c>
      <c r="G28" s="642" t="s">
        <v>868</v>
      </c>
      <c r="H28" s="642" t="s">
        <v>869</v>
      </c>
      <c r="I28" s="642" t="s">
        <v>870</v>
      </c>
      <c r="J28" s="793">
        <v>39861</v>
      </c>
      <c r="K28" s="793">
        <v>39861</v>
      </c>
      <c r="L28" s="642" t="s">
        <v>871</v>
      </c>
      <c r="M28" s="642">
        <v>12.6</v>
      </c>
      <c r="N28" s="642">
        <v>56.7</v>
      </c>
      <c r="O28" s="642">
        <v>81</v>
      </c>
      <c r="P28" s="642">
        <v>162.00000000000003</v>
      </c>
      <c r="Q28" s="642">
        <v>0</v>
      </c>
      <c r="R28" s="642">
        <v>0</v>
      </c>
      <c r="S28" s="642">
        <v>0</v>
      </c>
      <c r="T28" s="642">
        <v>0</v>
      </c>
      <c r="U28" s="642">
        <v>0</v>
      </c>
      <c r="V28" s="642">
        <v>0</v>
      </c>
      <c r="W28" s="642">
        <v>0</v>
      </c>
      <c r="X28" s="642">
        <v>1600</v>
      </c>
      <c r="Y28" s="642" t="s">
        <v>49</v>
      </c>
      <c r="Z28" s="644" t="s">
        <v>155</v>
      </c>
    </row>
    <row r="29" spans="1:26" s="596" customFormat="1" ht="25.5">
      <c r="A29" s="595"/>
      <c r="B29" s="794">
        <v>44019</v>
      </c>
      <c r="C29" s="794">
        <v>9940</v>
      </c>
      <c r="D29" s="643" t="s">
        <v>872</v>
      </c>
      <c r="E29" s="642" t="s">
        <v>873</v>
      </c>
      <c r="F29" s="642" t="s">
        <v>874</v>
      </c>
      <c r="G29" s="642" t="s">
        <v>868</v>
      </c>
      <c r="H29" s="642" t="s">
        <v>869</v>
      </c>
      <c r="I29" s="642" t="s">
        <v>873</v>
      </c>
      <c r="J29" s="793">
        <v>41185</v>
      </c>
      <c r="K29" s="793">
        <v>41214</v>
      </c>
      <c r="L29" s="642" t="s">
        <v>871</v>
      </c>
      <c r="M29" s="642">
        <v>379</v>
      </c>
      <c r="N29" s="642">
        <v>1705.5</v>
      </c>
      <c r="O29" s="642">
        <v>2436.4285714285716</v>
      </c>
      <c r="P29" s="642">
        <v>4872.8571428571431</v>
      </c>
      <c r="Q29" s="642">
        <v>0</v>
      </c>
      <c r="R29" s="642">
        <v>0</v>
      </c>
      <c r="S29" s="642">
        <v>0</v>
      </c>
      <c r="T29" s="642">
        <v>0</v>
      </c>
      <c r="U29" s="642">
        <v>0</v>
      </c>
      <c r="V29" s="642">
        <v>0</v>
      </c>
      <c r="W29" s="642">
        <v>0</v>
      </c>
      <c r="X29" s="642">
        <v>10</v>
      </c>
      <c r="Y29" s="642" t="s">
        <v>111</v>
      </c>
      <c r="Z29" s="644" t="s">
        <v>111</v>
      </c>
    </row>
    <row r="30" spans="1:26" s="596" customFormat="1" ht="25.5">
      <c r="A30" s="595"/>
      <c r="B30" s="794">
        <v>44019</v>
      </c>
      <c r="C30" s="794">
        <v>9940</v>
      </c>
      <c r="D30" s="643" t="s">
        <v>875</v>
      </c>
      <c r="E30" s="642" t="s">
        <v>876</v>
      </c>
      <c r="F30" s="642" t="s">
        <v>877</v>
      </c>
      <c r="G30" s="642" t="s">
        <v>868</v>
      </c>
      <c r="H30" s="642" t="s">
        <v>869</v>
      </c>
      <c r="I30" s="642" t="s">
        <v>878</v>
      </c>
      <c r="J30" s="793">
        <v>41151</v>
      </c>
      <c r="K30" s="793">
        <v>41275</v>
      </c>
      <c r="L30" s="642" t="s">
        <v>871</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96" customFormat="1" ht="25.5">
      <c r="A31" s="595"/>
      <c r="B31" s="794">
        <v>44019</v>
      </c>
      <c r="C31" s="794">
        <v>9940</v>
      </c>
      <c r="D31" s="643"/>
      <c r="E31" s="642"/>
      <c r="F31" s="642" t="s">
        <v>879</v>
      </c>
      <c r="G31" s="642" t="s">
        <v>868</v>
      </c>
      <c r="H31" s="642" t="s">
        <v>869</v>
      </c>
      <c r="I31" s="642" t="s">
        <v>880</v>
      </c>
      <c r="J31" s="793">
        <v>41957</v>
      </c>
      <c r="K31" s="793">
        <v>41957</v>
      </c>
      <c r="L31" s="642" t="s">
        <v>871</v>
      </c>
      <c r="M31" s="642">
        <v>19.399999999999999</v>
      </c>
      <c r="N31" s="642">
        <v>87.299999999999983</v>
      </c>
      <c r="O31" s="642">
        <v>124.71428571428569</v>
      </c>
      <c r="P31" s="642">
        <v>0</v>
      </c>
      <c r="Q31" s="642">
        <v>249.42857142857139</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420.7</v>
      </c>
      <c r="N32" s="600">
        <f>SUM(N28:N31)</f>
        <v>1893.15</v>
      </c>
      <c r="O32" s="600">
        <f>SUM(O28:O31)</f>
        <v>2704.5</v>
      </c>
      <c r="P32" s="600">
        <f>SUM(P28:P31)</f>
        <v>5034.8571428571431</v>
      </c>
      <c r="Q32" s="600">
        <f>SUM(Q28:Q31)</f>
        <v>374.14285714285711</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12.6</v>
      </c>
      <c r="N34" s="600">
        <f ca="1">SUMIF($Z$28:AD31,"tertiair",N28:N31)</f>
        <v>56.7</v>
      </c>
      <c r="O34" s="600">
        <f ca="1">SUMIF($Z$28:AE31,"tertiair",O28:O31)</f>
        <v>81</v>
      </c>
      <c r="P34" s="600">
        <f ca="1">SUMIF($Z$28:AF31,"tertiair",P28:P31)</f>
        <v>162.00000000000003</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408.09999999999997</v>
      </c>
      <c r="N35" s="605">
        <f>SUMIF($Z$28:$Z$31,"landbouw",N28:N31)</f>
        <v>1836.45</v>
      </c>
      <c r="O35" s="605">
        <f>SUMIF($Z$28:$Z$31,"landbouw",O28:O31)</f>
        <v>2623.5</v>
      </c>
      <c r="P35" s="605">
        <f>SUMIF($Z$28:$Z$31,"landbouw",P28:P31)</f>
        <v>4872.8571428571431</v>
      </c>
      <c r="Q35" s="605">
        <f>SUMIF($Z$28:$Z$31,"landbouw",Q28:Q31)</f>
        <v>374.14285714285711</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0.41176470588235298</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2073.1764705882356</v>
      </c>
      <c r="C51" s="634">
        <f t="shared" si="2"/>
        <v>154.05882352941177</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2961.680672268908</v>
      </c>
      <c r="C52" s="637">
        <f t="shared" si="3"/>
        <v>220.08403361344537</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2020-06-20T15:24:40Z</dcterms:modified>
</cp:coreProperties>
</file>