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9" i="20"/>
  <c r="C20" i="16"/>
  <c r="C22" i="16" s="1"/>
  <c r="D43" i="14" s="1"/>
  <c r="C18" i="15"/>
  <c r="C20" i="15" s="1"/>
  <c r="D40"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<sst xmlns="http://schemas.openxmlformats.org/spreadsheetml/2006/main" count="2401" uniqueCount="884">
  <si>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</si>
  <si>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</si>
  <si>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</si>
  <si>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</si>
  <si>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</si>
  <si>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</si>
  <si>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</si>
  <si>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</si>
  <si>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</si>
  <si>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</si>
  <si>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</si>
  <si>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</si>
  <si>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</si>
  <si>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</si>
  <si>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</si>
  <si>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</si>
  <si>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</si>
  <si>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</si>
  <si>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</si>
  <si>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</si>
  <si>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</si>
  <si>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</si>
  <si>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</si>
  <si>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</si>
  <si>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</si>
  <si>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</si>
  <si>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</si>
  <si>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</si>
  <si>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</si>
  <si>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</si>
  <si>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</si>
  <si>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</si>
  <si>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</si>
  <si>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</si>
  <si>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</si>
  <si>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</si>
  <si>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</si>
  <si>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</si>
  <si>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</si>
  <si>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</si>
  <si>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</si>
  <si>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</si>
  <si>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</si>
  <si>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</si>
  <si>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</si>
  <si>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</si>
  <si>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</si>
  <si>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</si>
  <si>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</si>
  <si>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</si>
  <si>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</si>
  <si>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</si>
  <si>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</si>
  <si>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</si>
  <si>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</si>
  <si>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</si>
  <si>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</si>
  <si>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</si>
  <si>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</si>
  <si>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</si>
  <si>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</si>
  <si>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</si>
  <si>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</si>
  <si>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</si>
  <si>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</si>
  <si>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</si>
  <si>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</si>
  <si>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</si>
  <si>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</si>
  <si>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</si>
  <si>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</si>
  <si>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</si>
  <si>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</si>
  <si>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</si>
  <si>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</si>
  <si>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</si>
  <si>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</si>
  <si>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</si>
  <si>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</si>
  <si>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</si>
  <si>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</si>
  <si>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</si>
  <si>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</si>
  <si>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</si>
  <si>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</si>
  <si>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</si>
  <si>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</si>
  <si>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</si>
  <si>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</si>
  <si>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</si>
  <si>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</si>
  <si>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</si>
  <si>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</si>
  <si>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</si>
  <si>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</si>
  <si>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</si>
  <si>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</si>
  <si>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</si>
  <si>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</si>
  <si>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</si>
  <si>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</si>
  <si>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</si>
  <si>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</si>
  <si>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</si>
  <si>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</si>
  <si>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</si>
  <si>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</si>
  <si>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</si>
  <si>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</si>
  <si>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</si>
  <si>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</si>
  <si>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</si>
  <si>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</si>
  <si>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</si>
  <si>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</si>
  <si>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</si>
  <si>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</si>
  <si>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</si>
  <si>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</si>
  <si>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</si>
  <si>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</si>
  <si>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</si>
  <si>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</si>
  <si>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</si>
  <si>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</si>
  <si>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</si>
  <si>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</si>
  <si>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</si>
  <si>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</si>
  <si>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</si>
  <si>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</si>
  <si>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</si>
  <si>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</si>
  <si>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</si>
  <si>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</si>
  <si>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</si>
  <si>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</si>
  <si>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</si>
  <si>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</si>
  <si>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</si>
  <si>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</si>
  <si>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</si>
  <si>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</si>
  <si>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</si>
  <si>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</si>
  <si>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</si>
  <si>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</si>
  <si>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</si>
  <si>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</si>
  <si>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</si>
  <si>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</si>
  <si>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</si>
  <si>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</si>
  <si>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</si>
  <si>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</si>
  <si>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</si>
  <si>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</si>
  <si>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</si>
  <si>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</si>
  <si>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</si>
  <si>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</si>
  <si>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</si>
  <si>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</si>
  <si>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</si>
  <si>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</si>
  <si>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</si>
  <si>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</si>
  <si>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</si>
  <si>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</si>
  <si>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</si>
  <si>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</si>
  <si>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</si>
  <si>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</si>
  <si>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</si>
  <si>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</si>
  <si>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</si>
  <si>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</si>
  <si>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</si>
  <si>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</si>
  <si>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</si>
  <si>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</si>
  <si>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</si>
  <si>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</si>
  <si>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</si>
  <si>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</si>
  <si>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</si>
  <si>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</si>
  <si>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</si>
  <si>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</si>
  <si>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</si>
  <si>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</si>
  <si>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</si>
  <si>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</si>
  <si>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</si>
  <si>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</si>
  <si>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</si>
  <si>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</si>
  <si>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</si>
  <si>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</si>
  <si>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</si>
  <si>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</si>
  <si>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</si>
  <si>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</si>
  <si>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</si>
  <si>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</si>
  <si>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</si>
  <si>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</si>
  <si>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</si>
  <si>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</si>
  <si>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</si>
  <si>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</si>
  <si>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</si>
  <si>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</si>
  <si>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</si>
  <si>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</si>
  <si>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</si>
  <si>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</si>
  <si>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</si>
  <si>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</si>
  <si>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</si>
  <si>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</si>
  <si>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</si>
  <si>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</si>
  <si>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</si>
  <si>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</si>
  <si>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</si>
  <si>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</si>
  <si>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</si>
  <si>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</si>
  <si>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</si>
  <si>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</si>
  <si>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</si>
  <si>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</si>
  <si>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</si>
  <si>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</si>
  <si>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</si>
  <si>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</si>
  <si>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</si>
  <si>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</si>
  <si>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</si>
  <si>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</si>
  <si>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</si>
  <si>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</si>
  <si>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</si>
  <si>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</si>
  <si>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</si>
  <si>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</si>
  <si>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</si>
  <si>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</si>
  <si>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</si>
  <si>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</si>
  <si>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</si>
  <si>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</si>
  <si>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</si>
  <si>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</si>
  <si>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</si>
  <si>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</si>
  <si>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</si>
  <si>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</si>
  <si>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</si>
  <si>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</si>
  <si>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</si>
  <si>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</si>
  <si>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</si>
  <si>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</si>
  <si>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</si>
  <si>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</si>
  <si>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</si>
  <si>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</si>
  <si>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</si>
  <si>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</si>
  <si>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</si>
  <si>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</si>
  <si>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</si>
  <si>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</si>
  <si>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</si>
  <si>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</si>
  <si>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</si>
  <si>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</si>
  <si>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</si>
  <si>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</si>
  <si>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</si>
  <si>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</si>
  <si>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</si>
  <si>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</si>
  <si>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</si>
  <si>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</si>
  <si>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</si>
  <si>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</si>
  <si>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</si>
  <si>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</si>
  <si>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</si>
  <si>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</si>
  <si>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</si>
  <si>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</si>
  <si>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</si>
  <si>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</si>
  <si>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</si>
  <si>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</si>
  <si>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</si>
  <si>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</si>
  <si>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</si>
  <si>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</si>
  <si>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</si>
  <si>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</si>
  <si>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</si>
  <si>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</si>
  <si>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</si>
  <si>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</si>
  <si>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</si>
  <si>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</si>
  <si>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</si>
  <si>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</si>
  <si>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</si>
  <si>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</si>
  <si>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</si>
  <si>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</si>
  <si>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</si>
  <si>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</si>
  <si>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</si>
  <si>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</si>
  <si>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</si>
  <si>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</si>
  <si>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</si>
  <si>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</si>
  <si>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</si>
  <si>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</si>
  <si>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</si>
  <si>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</si>
  <si>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</si>
  <si>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</si>
  <si>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</si>
  <si>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</si>
  <si>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</si>
  <si>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</si>
  <si>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</si>
  <si>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</si>
  <si>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</si>
  <si>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</si>
  <si>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</si>
  <si>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</si>
  <si>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</si>
  <si>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</si>
  <si>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</si>
  <si>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</si>
  <si>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</si>
  <si>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</si>
  <si>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</si>
  <si>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</si>
  <si>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</si>
  <si>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</si>
  <si>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</si>
  <si>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</si>
  <si>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</si>
  <si>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</si>
  <si>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</si>
  <si>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</si>
  <si>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</si>
  <si>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</si>
  <si>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</si>
  <si>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</si>
  <si>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</si>
  <si>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</si>
  <si>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</si>
  <si>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</si>
  <si>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</si>
  <si>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</si>
  <si>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</si>
  <si>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</si>
  <si>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</si>
  <si>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</si>
  <si>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</si>
  <si>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</si>
  <si>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</si>
  <si>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</si>
  <si>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</si>
  <si>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</si>
  <si>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</si>
  <si>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</si>
  <si>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</si>
  <si>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</si>
  <si>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</si>
  <si>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</si>
  <si>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</si>
  <si>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</si>
  <si>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</si>
  <si>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</si>
  <si>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</si>
  <si>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</si>
  <si>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</si>
  <si>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</si>
  <si>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</si>
  <si>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</si>
  <si>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</si>
  <si>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</si>
  <si>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</si>
  <si>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</si>
  <si>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</si>
  <si>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</si>
  <si>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</si>
  <si>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</si>
  <si>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</si>
  <si>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</si>
  <si>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</si>
  <si>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</si>
  <si>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</si>
  <si>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</si>
  <si>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</si>
  <si>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</si>
  <si>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</si>
  <si>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</si>
  <si>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</si>
  <si>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</si>
  <si>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</si>
  <si>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</si>
  <si>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</si>
  <si>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</si>
  <si>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</si>
  <si>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</si>
  <si>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</si>
  <si>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</si>
  <si>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</si>
  <si>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</si>
  <si>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</si>
  <si>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</si>
  <si>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</si>
  <si>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</si>
  <si>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</si>
  <si>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</si>
  <si>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</si>
  <si>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</si>
  <si>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</si>
  <si>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</si>
  <si>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</si>
  <si>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</si>
  <si>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</si>
  <si>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</si>
  <si>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</si>
  <si>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</si>
  <si>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</si>
  <si>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</si>
  <si>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</si>
  <si>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</si>
  <si>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</si>
  <si>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</si>
  <si>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</si>
  <si>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</si>
  <si>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</si>
  <si>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</si>
  <si>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</si>
  <si>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</si>
  <si>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</si>
  <si>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</si>
  <si>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</si>
  <si>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</si>
  <si>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</si>
  <si>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</si>
  <si>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</si>
  <si>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</si>
  <si>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</si>
  <si>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</si>
  <si>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</si>
  <si>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</si>
  <si>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</si>
  <si>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</si>
  <si>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</si>
  <si>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</si>
  <si>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</si>
  <si>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</si>
  <si>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</si>
  <si>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</si>
  <si>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</si>
  <si>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</si>
  <si>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</si>
  <si>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</si>
  <si>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</si>
  <si>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</si>
  <si>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</si>
  <si>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</si>
  <si>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</si>
  <si>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</si>
  <si>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</si>
  <si>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</si>
  <si>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</si>
  <si>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</si>
  <si>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</si>
  <si>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</si>
  <si>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</si>
  <si>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</si>
  <si>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</si>
  <si>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</si>
  <si>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</si>
  <si>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</si>
  <si>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</si>
  <si>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</si>
  <si>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</si>
  <si>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</si>
  <si>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</si>
  <si>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</si>
  <si>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</si>
  <si>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</si>
  <si>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</si>
  <si>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</si>
  <si>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</si>
  <si>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</si>
  <si>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</si>
  <si>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</si>
  <si>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</si>
  <si>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</si>
  <si>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</si>
  <si>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</si>
  <si>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</si>
  <si>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</si>
  <si>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</si>
  <si>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</si>
  <si>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</si>
  <si>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</si>
  <si>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</si>
  <si>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</si>
  <si>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</si>
  <si>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</si>
  <si>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</si>
  <si>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</si>
  <si>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</si>
  <si>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</si>
  <si>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</si>
  <si>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</si>
  <si>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</si>
  <si>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</si>
  <si>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</si>
  <si>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</si>
  <si>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</si>
  <si>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</si>
  <si>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</si>
  <si>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</si>
  <si>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</si>
  <si>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</si>
  <si>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</si>
  <si>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</si>
  <si>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</si>
  <si>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</si>
  <si>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</si>
  <si>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</si>
  <si>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</si>
  <si>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</si>
  <si>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</si>
  <si>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</si>
  <si>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</si>
  <si>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</si>
  <si>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</si>
  <si>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</si>
  <si>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</si>
  <si>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</si>
  <si>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</si>
  <si>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</si>
  <si>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</si>
  <si>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</si>
  <si>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</si>
  <si>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</si>
  <si>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</si>
  <si>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</si>
  <si>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</si>
  <si>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</si>
  <si>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</si>
  <si>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</si>
  <si>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</si>
  <si>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</si>
  <si>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</si>
  <si>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</si>
  <si>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</si>
  <si>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</si>
  <si>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</si>
  <si>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</si>
  <si>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</si>
  <si>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</si>
  <si>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</si>
  <si>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</si>
  <si>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</si>
  <si>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</si>
  <si>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</si>
  <si>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</si>
  <si>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</si>
  <si>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</si>
  <si>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</si>
  <si>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</si>
  <si>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</si>
  <si>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</si>
  <si>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</si>
  <si>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</si>
  <si>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</si>
  <si>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</si>
  <si>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</si>
  <si>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</si>
  <si>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</si>
  <si>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</si>
  <si>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</si>
  <si>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</si>
  <si>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</si>
  <si>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</si>
  <si>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</si>
  <si>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</si>
  <si>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</si>
  <si>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</si>
  <si>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</si>
  <si>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</si>
  <si>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</si>
  <si>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</si>
  <si>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</si>
  <si>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</si>
  <si>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</si>
  <si>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</si>
  <si>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</si>
  <si>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</si>
  <si>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</si>
  <si>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</si>
  <si>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</si>
  <si>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</si>
  <si>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</si>
  <si>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</si>
  <si>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</si>
  <si>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</si>
  <si>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</si>
  <si>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</si>
  <si>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</si>
  <si>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</si>
  <si>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</si>
  <si>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</si>
  <si>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</si>
  <si>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</si>
  <si>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</si>
  <si>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</si>
  <si>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</si>
  <si>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</si>
  <si>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</si>
  <si>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</si>
  <si>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</si>
  <si>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</si>
  <si>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</si>
  <si>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</si>
  <si>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</si>
  <si>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</si>
  <si>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</si>
  <si>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</si>
  <si>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</si>
  <si>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</si>
  <si>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</si>
  <si>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</si>
  <si>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</si>
  <si>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</si>
  <si>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</si>
  <si>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</si>
  <si>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</si>
  <si>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</si>
  <si>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</si>
  <si>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</si>
  <si>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</si>
  <si>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</si>
  <si>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</si>
  <si>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</si>
  <si>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</si>
  <si>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</si>
  <si>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</si>
  <si>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</si>
  <si>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</si>
  <si>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</si>
  <si>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</si>
  <si>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</si>
  <si>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</si>
  <si>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</si>
  <si>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</si>
  <si>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</si>
  <si>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</si>
  <si>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</si>
  <si>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</si>
  <si>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</si>
  <si>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</si>
  <si>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</si>
  <si>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</si>
  <si>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</si>
  <si>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</si>
  <si>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</si>
  <si>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</si>
  <si>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</si>
  <si>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</si>
  <si>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</si>
  <si>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</si>
  <si>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</si>
  <si>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</si>
  <si>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</si>
  <si>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</si>
  <si>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</si>
  <si>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</si>
  <si>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</si>
  <si>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</si>
  <si>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</si>
  <si>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</si>
  <si>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</si>
  <si>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</si>
  <si>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</si>
  <si>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</si>
  <si>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</si>
  <si>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</si>
  <si>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</si>
  <si>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</si>
  <si>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</si>
  <si>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</si>
  <si>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</si>
  <si>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</si>
  <si>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</si>
  <si>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</si>
  <si>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</si>
  <si>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</si>
  <si>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</si>
  <si>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</si>
  <si>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</si>
  <si>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</si>
  <si>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</si>
  <si>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</si>
  <si>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</si>
  <si>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</si>
  <si>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</si>
  <si>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</si>
  <si>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</si>
  <si>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</si>
  <si>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</si>
  <si>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</si>
  <si>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</si>
  <si>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</si>
  <si>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</si>
  <si>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</si>
  <si>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</si>
  <si>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</si>
  <si>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</si>
  <si>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</si>
  <si>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</si>
  <si>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</si>
  <si>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</si>
  <si>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</si>
  <si>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</si>
  <si>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</si>
  <si>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</si>
  <si>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</si>
  <si>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</si>
  <si>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</si>
  <si>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</si>
  <si>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</si>
  <si>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</si>
  <si>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</si>
  <si>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</si>
  <si>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</si>
  <si>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</si>
  <si>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</si>
  <si>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</si>
  <si>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</si>
  <si>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</si>
  <si>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</si>
  <si>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</si>
  <si>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</si>
  <si>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</si>
  <si>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</si>
  <si>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</si>
  <si>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</si>
  <si>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</si>
  <si>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</si>
  <si>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</si>
  <si>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</si>
  <si>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</si>
  <si>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</si>
  <si>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</si>
  <si>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</si>
  <si>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</si>
  <si>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</si>
  <si>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</si>
  <si>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</si>
  <si>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</si>
  <si>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</si>
  <si>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</si>
  <si>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</si>
  <si>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</si>
  <si>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</si>
  <si>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</si>
  <si>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</si>
  <si>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</si>
  <si>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</si>
  <si>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</si>
  <si>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</si>
  <si>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</si>
  <si>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</si>
  <si>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</si>
  <si>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</si>
  <si>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</si>
  <si>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</si>
  <si>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</si>
  <si>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</si>
  <si>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</si>
  <si>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</si>
  <si>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</si>
  <si>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</si>
  <si>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</si>
  <si>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</si>
  <si>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</si>
  <si>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</si>
  <si>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</si>
  <si>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</si>
  <si>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</si>
  <si>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</si>
  <si>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</si>
  <si>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</si>
  <si>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</si>
  <si>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</si>
  <si>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</si>
  <si>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</si>
  <si>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</si>
  <si>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</si>
  <si>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</si>
  <si>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</si>
  <si>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</si>
  <si>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</si>
  <si>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</si>
  <si>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</si>
  <si>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</si>
  <si>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</si>
  <si>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</si>
  <si>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</si>
  <si>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</si>
  <si>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</si>
  <si>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</si>
  <si>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</si>
  <si>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</si>
  <si>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</si>
  <si>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</si>
  <si>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</si>
  <si>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</si>
  <si>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</si>
  <si>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</si>
  <si>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</si>
  <si>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</si>
  <si>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</si>
  <si>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</si>
  <si>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</si>
  <si>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</si>
  <si>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</si>
  <si>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</si>
  <si>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</si>
  <si>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</si>
  <si>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</si>
  <si>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</si>
  <si>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</si>
  <si>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</si>
  <si>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</si>
  <si>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</si>
  <si>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</si>
  <si>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</si>
  <si>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</si>
  <si>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</si>
  <si>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</si>
  <si>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</si>
  <si>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</si>
  <si>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</si>
  <si>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</si>
  <si>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</si>
  <si>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</si>
  <si>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44011</t>
  </si>
  <si>
    <t>DEINZE</t>
  </si>
  <si>
    <t>referentietaak LNE (2017); Jaarverslag De Lijn</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</si>
  <si>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</si>
  <si>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</si>
  <si>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</si>
  <si>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</si>
  <si>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</si>
  <si>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</si>
  <si>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</si>
  <si>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</si>
  <si>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</si>
  <si>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</si>
  <si>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</si>
  <si>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</si>
  <si>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</si>
  <si>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</si>
  <si>
    <t>Patoma II</t>
  </si>
  <si>
    <t>WKK-0699</t>
  </si>
  <si>
    <t>Interne verbrandingsmotor</t>
  </si>
  <si>
    <t>Wierookstraat 2</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</si>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</sst>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223867.31517540466</c:v>
                </c:pt>
                <c:pt idx="1">
                  <c:v>212989.51115989173</c:v>
                </c:pt>
                <c:pt idx="2">
                  <c:v>2029.1469999999999</c:v>
                </c:pt>
                <c:pt idx="3">
                  <c:v>128322.9080110342</c:v>
                </c:pt>
                <c:pt idx="4">
                  <c:v>192079.07969451792</c:v>
                </c:pt>
                <c:pt idx="5">
                  <c:v>159337.34293860191</c:v>
                </c:pt>
                <c:pt idx="6">
                  <c:v>2036.3840773211768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223867.31517540466</c:v>
                </c:pt>
                <c:pt idx="1">
                  <c:v>212989.51115989173</c:v>
                </c:pt>
                <c:pt idx="2">
                  <c:v>2029.1469999999999</c:v>
                </c:pt>
                <c:pt idx="3">
                  <c:v>128322.9080110342</c:v>
                </c:pt>
                <c:pt idx="4">
                  <c:v>192079.07969451792</c:v>
                </c:pt>
                <c:pt idx="5">
                  <c:v>159337.34293860191</c:v>
                </c:pt>
                <c:pt idx="6">
                  <c:v>2036.3840773211768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39430.567548412604</c:v>
                </c:pt>
                <c:pt idx="1">
                  <c:v>41986.774627231891</c:v>
                </c:pt>
                <c:pt idx="2">
                  <c:v>369.9143166272703</c:v>
                </c:pt>
                <c:pt idx="3">
                  <c:v>22257.793261190265</c:v>
                </c:pt>
                <c:pt idx="4">
                  <c:v>37466.275730107707</c:v>
                </c:pt>
                <c:pt idx="5">
                  <c:v>39610.086393058395</c:v>
                </c:pt>
                <c:pt idx="6">
                  <c:v>515.72819918163543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39430.567548412604</c:v>
                </c:pt>
                <c:pt idx="1">
                  <c:v>41986.774627231891</c:v>
                </c:pt>
                <c:pt idx="2">
                  <c:v>369.9143166272703</c:v>
                </c:pt>
                <c:pt idx="3">
                  <c:v>22257.793261190265</c:v>
                </c:pt>
                <c:pt idx="4">
                  <c:v>37466.275730107707</c:v>
                </c:pt>
                <c:pt idx="5">
                  <c:v>39610.086393058395</c:v>
                </c:pt>
                <c:pt idx="6">
                  <c:v>515.72819918163543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44011</v>
      </c>
      <c r="B6" s="392"/>
      <c r="C6" s="393"/>
    </row>
    <row r="7" spans="1:7" s="390" customFormat="1" ht="15.75" customHeight="1">
      <c r="A7" s="394" t="str">
        <f>txtMunicipality</f>
        <v>DEINZE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52790.79304101818</v>
      </c>
      <c r="D10" s="689">
        <f ca="1">tertiair!C16</f>
        <v>0</v>
      </c>
      <c r="E10" s="689">
        <f ca="1">tertiair!D16</f>
        <v>150789.62702773418</v>
      </c>
      <c r="F10" s="689">
        <f>tertiair!E16</f>
        <v>155.51451129315163</v>
      </c>
      <c r="G10" s="689">
        <f ca="1">tertiair!F16</f>
        <v>8382.3057516326298</v>
      </c>
      <c r="H10" s="689">
        <f>tertiair!G16</f>
        <v>0</v>
      </c>
      <c r="I10" s="689">
        <f>tertiair!H16</f>
        <v>0</v>
      </c>
      <c r="J10" s="689">
        <f>tertiair!I16</f>
        <v>0</v>
      </c>
      <c r="K10" s="689">
        <f>tertiair!J16</f>
        <v>6.7763052908751883E-2</v>
      </c>
      <c r="L10" s="689">
        <f>tertiair!K16</f>
        <v>0</v>
      </c>
      <c r="M10" s="689">
        <f ca="1">tertiair!L16</f>
        <v>0</v>
      </c>
      <c r="N10" s="689">
        <f>tertiair!M16</f>
        <v>0</v>
      </c>
      <c r="O10" s="689">
        <f ca="1">tertiair!N16</f>
        <v>2522.7815754835392</v>
      </c>
      <c r="P10" s="689">
        <f>tertiair!O16</f>
        <v>9.7945215316823084</v>
      </c>
      <c r="Q10" s="690">
        <f>tertiair!P16</f>
        <v>367.77396814546512</v>
      </c>
      <c r="R10" s="692">
        <f ca="1">SUM(C10:Q10)</f>
        <v>215018.65815989173</v>
      </c>
      <c r="S10" s="67"/>
    </row>
    <row r="11" spans="1:19" s="451" customFormat="1">
      <c r="A11" s="811" t="s">
        <v>224</v>
      </c>
      <c r="B11" s="816"/>
      <c r="C11" s="689">
        <f>huishoudens!B8</f>
        <v>56773.005334488596</v>
      </c>
      <c r="D11" s="689">
        <f>huishoudens!C8</f>
        <v>0</v>
      </c>
      <c r="E11" s="689">
        <f>huishoudens!D8</f>
        <v>98481.863780961052</v>
      </c>
      <c r="F11" s="689">
        <f>huishoudens!E8</f>
        <v>22118.904012227184</v>
      </c>
      <c r="G11" s="689">
        <f>huishoudens!F8</f>
        <v>15604.861722967235</v>
      </c>
      <c r="H11" s="689">
        <f>huishoudens!G8</f>
        <v>0</v>
      </c>
      <c r="I11" s="689">
        <f>huishoudens!H8</f>
        <v>0</v>
      </c>
      <c r="J11" s="689">
        <f>huishoudens!I8</f>
        <v>0</v>
      </c>
      <c r="K11" s="689">
        <f>huishoudens!J8</f>
        <v>0</v>
      </c>
      <c r="L11" s="689">
        <f>huishoudens!K8</f>
        <v>0</v>
      </c>
      <c r="M11" s="689">
        <f>huishoudens!L8</f>
        <v>0</v>
      </c>
      <c r="N11" s="689">
        <f>huishoudens!M8</f>
        <v>0</v>
      </c>
      <c r="O11" s="689">
        <f>huishoudens!N8</f>
        <v>28786.336310284878</v>
      </c>
      <c r="P11" s="689">
        <f>huishoudens!O8</f>
        <v>922.54057201496983</v>
      </c>
      <c r="Q11" s="690">
        <f>huishoudens!P8</f>
        <v>1179.8034424607226</v>
      </c>
      <c r="R11" s="692">
        <f>SUM(C11:Q11)</f>
        <v>223867.31517540466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87941.234693872568</v>
      </c>
      <c r="D13" s="689">
        <f>industrie!C18</f>
        <v>0</v>
      </c>
      <c r="E13" s="689">
        <f>industrie!D18</f>
        <v>84215.754747942017</v>
      </c>
      <c r="F13" s="689">
        <f>industrie!E18</f>
        <v>202.45169814093103</v>
      </c>
      <c r="G13" s="689">
        <f>industrie!F18</f>
        <v>16387.853346045675</v>
      </c>
      <c r="H13" s="689">
        <f>industrie!G18</f>
        <v>0</v>
      </c>
      <c r="I13" s="689">
        <f>industrie!H18</f>
        <v>0</v>
      </c>
      <c r="J13" s="689">
        <f>industrie!I18</f>
        <v>0</v>
      </c>
      <c r="K13" s="689">
        <f>industrie!J18</f>
        <v>4.1167607108373865</v>
      </c>
      <c r="L13" s="689">
        <f>industrie!K18</f>
        <v>0</v>
      </c>
      <c r="M13" s="689">
        <f>industrie!L18</f>
        <v>0</v>
      </c>
      <c r="N13" s="689">
        <f>industrie!M18</f>
        <v>0</v>
      </c>
      <c r="O13" s="689">
        <f>industrie!N18</f>
        <v>3327.6684478058723</v>
      </c>
      <c r="P13" s="689">
        <f>industrie!O18</f>
        <v>0</v>
      </c>
      <c r="Q13" s="690">
        <f>industrie!P18</f>
        <v>0</v>
      </c>
      <c r="R13" s="692">
        <f>SUM(C13:Q13)</f>
        <v>192079.07969451792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197505.03306937934</v>
      </c>
      <c r="D16" s="725">
        <f t="shared" ref="D16:R16" ca="1" si="0">SUM(D9:D15)</f>
        <v>0</v>
      </c>
      <c r="E16" s="725">
        <f t="shared" ca="1" si="0"/>
        <v>333487.24555663724</v>
      </c>
      <c r="F16" s="725">
        <f t="shared" si="0"/>
        <v>22476.870221661269</v>
      </c>
      <c r="G16" s="725">
        <f t="shared" ca="1" si="0"/>
        <v>40375.020820645543</v>
      </c>
      <c r="H16" s="725">
        <f t="shared" si="0"/>
        <v>0</v>
      </c>
      <c r="I16" s="725">
        <f t="shared" si="0"/>
        <v>0</v>
      </c>
      <c r="J16" s="725">
        <f t="shared" si="0"/>
        <v>0</v>
      </c>
      <c r="K16" s="725">
        <f t="shared" si="0"/>
        <v>4.1845237637461388</v>
      </c>
      <c r="L16" s="725">
        <f t="shared" si="0"/>
        <v>0</v>
      </c>
      <c r="M16" s="725">
        <f t="shared" ca="1" si="0"/>
        <v>0</v>
      </c>
      <c r="N16" s="725">
        <f t="shared" si="0"/>
        <v>0</v>
      </c>
      <c r="O16" s="725">
        <f t="shared" ca="1" si="0"/>
        <v>34636.786333574288</v>
      </c>
      <c r="P16" s="725">
        <f t="shared" si="0"/>
        <v>932.33509354665216</v>
      </c>
      <c r="Q16" s="725">
        <f t="shared" si="0"/>
        <v>1547.5774106061876</v>
      </c>
      <c r="R16" s="725">
        <f t="shared" ca="1" si="0"/>
        <v>630965.05302981427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1931.5662890697956</v>
      </c>
      <c r="I19" s="689">
        <f>transport!H54</f>
        <v>0</v>
      </c>
      <c r="J19" s="689">
        <f>transport!I54</f>
        <v>0</v>
      </c>
      <c r="K19" s="689">
        <f>transport!J54</f>
        <v>0</v>
      </c>
      <c r="L19" s="689">
        <f>transport!K54</f>
        <v>0</v>
      </c>
      <c r="M19" s="689">
        <f>transport!L54</f>
        <v>0</v>
      </c>
      <c r="N19" s="689">
        <f>transport!M54</f>
        <v>104.81778825138132</v>
      </c>
      <c r="O19" s="689">
        <f>transport!N54</f>
        <v>0</v>
      </c>
      <c r="P19" s="689">
        <f>transport!O54</f>
        <v>0</v>
      </c>
      <c r="Q19" s="690">
        <f>transport!P54</f>
        <v>0</v>
      </c>
      <c r="R19" s="692">
        <f>SUM(C19:Q19)</f>
        <v>2036.3840773211768</v>
      </c>
      <c r="S19" s="67"/>
    </row>
    <row r="20" spans="1:19" s="451" customFormat="1">
      <c r="A20" s="811" t="s">
        <v>306</v>
      </c>
      <c r="B20" s="816"/>
      <c r="C20" s="689">
        <f>transport!B14</f>
        <v>111.75739033816701</v>
      </c>
      <c r="D20" s="689">
        <f>transport!C14</f>
        <v>0</v>
      </c>
      <c r="E20" s="689">
        <f>transport!D14</f>
        <v>461.71060697762681</v>
      </c>
      <c r="F20" s="689">
        <f>transport!E14</f>
        <v>247.09972890202386</v>
      </c>
      <c r="G20" s="689">
        <f>transport!F14</f>
        <v>0</v>
      </c>
      <c r="H20" s="689">
        <f>transport!G14</f>
        <v>120284.39226143254</v>
      </c>
      <c r="I20" s="689">
        <f>transport!H14</f>
        <v>29415.35365801513</v>
      </c>
      <c r="J20" s="689">
        <f>transport!I14</f>
        <v>0</v>
      </c>
      <c r="K20" s="689">
        <f>transport!J14</f>
        <v>0</v>
      </c>
      <c r="L20" s="689">
        <f>transport!K14</f>
        <v>0</v>
      </c>
      <c r="M20" s="689">
        <f>transport!L14</f>
        <v>0</v>
      </c>
      <c r="N20" s="689">
        <f>transport!M14</f>
        <v>8817.0292929364114</v>
      </c>
      <c r="O20" s="689">
        <f>transport!N14</f>
        <v>0</v>
      </c>
      <c r="P20" s="689">
        <f>transport!O14</f>
        <v>0</v>
      </c>
      <c r="Q20" s="690">
        <f>transport!P14</f>
        <v>0</v>
      </c>
      <c r="R20" s="692">
        <f>SUM(C20:Q20)</f>
        <v>159337.34293860191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111.75739033816701</v>
      </c>
      <c r="D22" s="814">
        <f t="shared" ref="D22:R22" si="1">SUM(D18:D21)</f>
        <v>0</v>
      </c>
      <c r="E22" s="814">
        <f t="shared" si="1"/>
        <v>461.71060697762681</v>
      </c>
      <c r="F22" s="814">
        <f t="shared" si="1"/>
        <v>247.09972890202386</v>
      </c>
      <c r="G22" s="814">
        <f t="shared" si="1"/>
        <v>0</v>
      </c>
      <c r="H22" s="814">
        <f t="shared" si="1"/>
        <v>122215.95855050234</v>
      </c>
      <c r="I22" s="814">
        <f t="shared" si="1"/>
        <v>29415.35365801513</v>
      </c>
      <c r="J22" s="814">
        <f t="shared" si="1"/>
        <v>0</v>
      </c>
      <c r="K22" s="814">
        <f t="shared" si="1"/>
        <v>0</v>
      </c>
      <c r="L22" s="814">
        <f t="shared" si="1"/>
        <v>0</v>
      </c>
      <c r="M22" s="814">
        <f t="shared" si="1"/>
        <v>0</v>
      </c>
      <c r="N22" s="814">
        <f t="shared" si="1"/>
        <v>8921.8470811877924</v>
      </c>
      <c r="O22" s="814">
        <f t="shared" si="1"/>
        <v>0</v>
      </c>
      <c r="P22" s="814">
        <f t="shared" si="1"/>
        <v>0</v>
      </c>
      <c r="Q22" s="814">
        <f t="shared" si="1"/>
        <v>0</v>
      </c>
      <c r="R22" s="814">
        <f t="shared" si="1"/>
        <v>161373.7270159231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4708.5411825024703</v>
      </c>
      <c r="D24" s="689">
        <f>+landbouw!C8</f>
        <v>106926.42857142857</v>
      </c>
      <c r="E24" s="689">
        <f>+landbouw!D8</f>
        <v>0</v>
      </c>
      <c r="F24" s="689">
        <f>+landbouw!E8</f>
        <v>175.59590309558791</v>
      </c>
      <c r="G24" s="689">
        <f>+landbouw!F8</f>
        <v>15276.32704797013</v>
      </c>
      <c r="H24" s="689">
        <f>+landbouw!G8</f>
        <v>0</v>
      </c>
      <c r="I24" s="689">
        <f>+landbouw!H8</f>
        <v>0</v>
      </c>
      <c r="J24" s="689">
        <f>+landbouw!I8</f>
        <v>0</v>
      </c>
      <c r="K24" s="689">
        <f>+landbouw!J8</f>
        <v>1236.015306037451</v>
      </c>
      <c r="L24" s="689">
        <f>+landbouw!K8</f>
        <v>0</v>
      </c>
      <c r="M24" s="689">
        <f>+landbouw!L8</f>
        <v>0</v>
      </c>
      <c r="N24" s="689">
        <f>+landbouw!M8</f>
        <v>0</v>
      </c>
      <c r="O24" s="689">
        <f>+landbouw!N8</f>
        <v>0</v>
      </c>
      <c r="P24" s="689">
        <f>+landbouw!O8</f>
        <v>0</v>
      </c>
      <c r="Q24" s="690">
        <f>+landbouw!P8</f>
        <v>0</v>
      </c>
      <c r="R24" s="692">
        <f>SUM(C24:Q24)</f>
        <v>128322.9080110342</v>
      </c>
      <c r="S24" s="67"/>
    </row>
    <row r="25" spans="1:19" s="451" customFormat="1" ht="15" thickBot="1">
      <c r="A25" s="833" t="s">
        <v>714</v>
      </c>
      <c r="B25" s="947"/>
      <c r="C25" s="948">
        <f>IF(Onbekend_ele_kWh="---",0,Onbekend_ele_kWh)/1000+IF(REST_rest_ele_kWh="---",0,REST_rest_ele_kWh)/1000</f>
        <v>1770.5567990498898</v>
      </c>
      <c r="D25" s="948"/>
      <c r="E25" s="948">
        <f>IF(onbekend_gas_kWh="---",0,onbekend_gas_kWh)/1000+IF(REST_rest_gas_kWh="---",0,REST_rest_gas_kWh)/1000</f>
        <v>7434.7847970064495</v>
      </c>
      <c r="F25" s="948"/>
      <c r="G25" s="948"/>
      <c r="H25" s="948"/>
      <c r="I25" s="948"/>
      <c r="J25" s="948"/>
      <c r="K25" s="948"/>
      <c r="L25" s="948"/>
      <c r="M25" s="948"/>
      <c r="N25" s="948"/>
      <c r="O25" s="948"/>
      <c r="P25" s="948"/>
      <c r="Q25" s="949"/>
      <c r="R25" s="692">
        <f>SUM(C25:Q25)</f>
        <v>9205.3415960563398</v>
      </c>
      <c r="S25" s="67"/>
    </row>
    <row r="26" spans="1:19" s="451" customFormat="1" ht="15.75" thickBot="1">
      <c r="A26" s="697" t="s">
        <v>715</v>
      </c>
      <c r="B26" s="819"/>
      <c r="C26" s="814">
        <f>SUM(C24:C25)</f>
        <v>6479.0979815523606</v>
      </c>
      <c r="D26" s="814">
        <f t="shared" ref="D26:R26" si="2">SUM(D24:D25)</f>
        <v>106926.42857142857</v>
      </c>
      <c r="E26" s="814">
        <f t="shared" si="2"/>
        <v>7434.7847970064495</v>
      </c>
      <c r="F26" s="814">
        <f t="shared" si="2"/>
        <v>175.59590309558791</v>
      </c>
      <c r="G26" s="814">
        <f t="shared" si="2"/>
        <v>15276.32704797013</v>
      </c>
      <c r="H26" s="814">
        <f t="shared" si="2"/>
        <v>0</v>
      </c>
      <c r="I26" s="814">
        <f t="shared" si="2"/>
        <v>0</v>
      </c>
      <c r="J26" s="814">
        <f t="shared" si="2"/>
        <v>0</v>
      </c>
      <c r="K26" s="814">
        <f t="shared" si="2"/>
        <v>1236.015306037451</v>
      </c>
      <c r="L26" s="814">
        <f t="shared" si="2"/>
        <v>0</v>
      </c>
      <c r="M26" s="814">
        <f t="shared" si="2"/>
        <v>0</v>
      </c>
      <c r="N26" s="814">
        <f t="shared" si="2"/>
        <v>0</v>
      </c>
      <c r="O26" s="814">
        <f t="shared" si="2"/>
        <v>0</v>
      </c>
      <c r="P26" s="814">
        <f t="shared" si="2"/>
        <v>0</v>
      </c>
      <c r="Q26" s="814">
        <f t="shared" si="2"/>
        <v>0</v>
      </c>
      <c r="R26" s="814">
        <f t="shared" si="2"/>
        <v>137528.24960709055</v>
      </c>
      <c r="S26" s="67"/>
    </row>
    <row r="27" spans="1:19" s="451" customFormat="1" ht="17.25" thickTop="1" thickBot="1">
      <c r="A27" s="698" t="s">
        <v>115</v>
      </c>
      <c r="B27" s="806"/>
      <c r="C27" s="699">
        <f ca="1">C22+C16+C26</f>
        <v>204095.88844126987</v>
      </c>
      <c r="D27" s="699">
        <f t="shared" ref="D27:R27" ca="1" si="3">D22+D16+D26</f>
        <v>106926.42857142857</v>
      </c>
      <c r="E27" s="699">
        <f t="shared" ca="1" si="3"/>
        <v>341383.74096062133</v>
      </c>
      <c r="F27" s="699">
        <f t="shared" si="3"/>
        <v>22899.565853658882</v>
      </c>
      <c r="G27" s="699">
        <f t="shared" ca="1" si="3"/>
        <v>55651.347868615674</v>
      </c>
      <c r="H27" s="699">
        <f t="shared" si="3"/>
        <v>122215.95855050234</v>
      </c>
      <c r="I27" s="699">
        <f t="shared" si="3"/>
        <v>29415.35365801513</v>
      </c>
      <c r="J27" s="699">
        <f t="shared" si="3"/>
        <v>0</v>
      </c>
      <c r="K27" s="699">
        <f t="shared" si="3"/>
        <v>1240.199829801197</v>
      </c>
      <c r="L27" s="699">
        <f t="shared" si="3"/>
        <v>0</v>
      </c>
      <c r="M27" s="699">
        <f t="shared" ca="1" si="3"/>
        <v>0</v>
      </c>
      <c r="N27" s="699">
        <f t="shared" si="3"/>
        <v>8921.8470811877924</v>
      </c>
      <c r="O27" s="699">
        <f t="shared" ca="1" si="3"/>
        <v>34636.786333574288</v>
      </c>
      <c r="P27" s="699">
        <f t="shared" si="3"/>
        <v>932.33509354665216</v>
      </c>
      <c r="Q27" s="699">
        <f t="shared" si="3"/>
        <v>1547.5774106061876</v>
      </c>
      <c r="R27" s="699">
        <f t="shared" ca="1" si="3"/>
        <v>929867.02965282789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9623.7828663866621</v>
      </c>
      <c r="D40" s="689">
        <f ca="1">tertiair!C20</f>
        <v>0</v>
      </c>
      <c r="E40" s="689">
        <f ca="1">tertiair!D20</f>
        <v>30459.504659602306</v>
      </c>
      <c r="F40" s="689">
        <f>tertiair!E20</f>
        <v>35.301794063545422</v>
      </c>
      <c r="G40" s="689">
        <f ca="1">tertiair!F20</f>
        <v>2238.0756356859124</v>
      </c>
      <c r="H40" s="689">
        <f>tertiair!G20</f>
        <v>0</v>
      </c>
      <c r="I40" s="689">
        <f>tertiair!H20</f>
        <v>0</v>
      </c>
      <c r="J40" s="689">
        <f>tertiair!I20</f>
        <v>0</v>
      </c>
      <c r="K40" s="689">
        <f>tertiair!J20</f>
        <v>2.3988120729698165E-2</v>
      </c>
      <c r="L40" s="689">
        <f>tertiair!K20</f>
        <v>0</v>
      </c>
      <c r="M40" s="689">
        <f ca="1">tertiair!L20</f>
        <v>0</v>
      </c>
      <c r="N40" s="689">
        <f>tertiair!M20</f>
        <v>0</v>
      </c>
      <c r="O40" s="689">
        <f ca="1">tertiair!N20</f>
        <v>0</v>
      </c>
      <c r="P40" s="689">
        <f>tertiair!O20</f>
        <v>0</v>
      </c>
      <c r="Q40" s="772">
        <f>tertiair!P20</f>
        <v>0</v>
      </c>
      <c r="R40" s="852">
        <f t="shared" ca="1" si="4"/>
        <v>42356.688943859161</v>
      </c>
    </row>
    <row r="41" spans="1:18">
      <c r="A41" s="824" t="s">
        <v>224</v>
      </c>
      <c r="B41" s="831"/>
      <c r="C41" s="689">
        <f ca="1">huishoudens!B12</f>
        <v>10349.741773850648</v>
      </c>
      <c r="D41" s="689">
        <f ca="1">huishoudens!C12</f>
        <v>0</v>
      </c>
      <c r="E41" s="689">
        <f>huishoudens!D12</f>
        <v>19893.336483754134</v>
      </c>
      <c r="F41" s="689">
        <f>huishoudens!E12</f>
        <v>5020.9912107755708</v>
      </c>
      <c r="G41" s="689">
        <f>huishoudens!F12</f>
        <v>4166.4980800322519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39430.567548412604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16031.722558859594</v>
      </c>
      <c r="D43" s="689">
        <f ca="1">industrie!C22</f>
        <v>0</v>
      </c>
      <c r="E43" s="689">
        <f>industrie!D22</f>
        <v>17011.582459084289</v>
      </c>
      <c r="F43" s="689">
        <f>industrie!E22</f>
        <v>45.956535477991345</v>
      </c>
      <c r="G43" s="689">
        <f>industrie!F22</f>
        <v>4375.5568433941953</v>
      </c>
      <c r="H43" s="689">
        <f>industrie!G22</f>
        <v>0</v>
      </c>
      <c r="I43" s="689">
        <f>industrie!H22</f>
        <v>0</v>
      </c>
      <c r="J43" s="689">
        <f>industrie!I22</f>
        <v>0</v>
      </c>
      <c r="K43" s="689">
        <f>industrie!J22</f>
        <v>1.4573332916364348</v>
      </c>
      <c r="L43" s="689">
        <f>industrie!K22</f>
        <v>0</v>
      </c>
      <c r="M43" s="689">
        <f>industrie!L22</f>
        <v>0</v>
      </c>
      <c r="N43" s="689">
        <f>industrie!M22</f>
        <v>0</v>
      </c>
      <c r="O43" s="689">
        <f>industrie!N22</f>
        <v>0</v>
      </c>
      <c r="P43" s="689">
        <f>industrie!O22</f>
        <v>0</v>
      </c>
      <c r="Q43" s="772">
        <f>industrie!P22</f>
        <v>0</v>
      </c>
      <c r="R43" s="851">
        <f t="shared" ca="1" si="4"/>
        <v>37466.275730107707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36005.247199096906</v>
      </c>
      <c r="D46" s="725">
        <f t="shared" ref="D46:Q46" ca="1" si="5">SUM(D39:D45)</f>
        <v>0</v>
      </c>
      <c r="E46" s="725">
        <f t="shared" ca="1" si="5"/>
        <v>67364.423602440729</v>
      </c>
      <c r="F46" s="725">
        <f t="shared" si="5"/>
        <v>5102.2495403171079</v>
      </c>
      <c r="G46" s="725">
        <f t="shared" ca="1" si="5"/>
        <v>10780.13055911236</v>
      </c>
      <c r="H46" s="725">
        <f t="shared" si="5"/>
        <v>0</v>
      </c>
      <c r="I46" s="725">
        <f t="shared" si="5"/>
        <v>0</v>
      </c>
      <c r="J46" s="725">
        <f t="shared" si="5"/>
        <v>0</v>
      </c>
      <c r="K46" s="725">
        <f t="shared" si="5"/>
        <v>1.4813214123661329</v>
      </c>
      <c r="L46" s="725">
        <f t="shared" si="5"/>
        <v>0</v>
      </c>
      <c r="M46" s="725">
        <f t="shared" ca="1" si="5"/>
        <v>0</v>
      </c>
      <c r="N46" s="725">
        <f t="shared" si="5"/>
        <v>0</v>
      </c>
      <c r="O46" s="725">
        <f t="shared" ca="1" si="5"/>
        <v>0</v>
      </c>
      <c r="P46" s="725">
        <f t="shared" si="5"/>
        <v>0</v>
      </c>
      <c r="Q46" s="725">
        <f t="shared" si="5"/>
        <v>0</v>
      </c>
      <c r="R46" s="725">
        <f ca="1">SUM(R39:R45)</f>
        <v>119253.53222237946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515.72819918163543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515.72819918163543</v>
      </c>
    </row>
    <row r="50" spans="1:18">
      <c r="A50" s="827" t="s">
        <v>306</v>
      </c>
      <c r="B50" s="837"/>
      <c r="C50" s="695">
        <f ca="1">transport!B18</f>
        <v>20.373417339892157</v>
      </c>
      <c r="D50" s="695">
        <f>transport!C18</f>
        <v>0</v>
      </c>
      <c r="E50" s="695">
        <f>transport!D18</f>
        <v>93.265542609480619</v>
      </c>
      <c r="F50" s="695">
        <f>transport!E18</f>
        <v>56.09163846075942</v>
      </c>
      <c r="G50" s="695">
        <f>transport!F18</f>
        <v>0</v>
      </c>
      <c r="H50" s="695">
        <f>transport!G18</f>
        <v>32115.932733802492</v>
      </c>
      <c r="I50" s="695">
        <f>transport!H18</f>
        <v>7324.4230608457674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39610.086393058395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20.373417339892157</v>
      </c>
      <c r="D52" s="725">
        <f t="shared" ref="D52:Q52" ca="1" si="6">SUM(D48:D51)</f>
        <v>0</v>
      </c>
      <c r="E52" s="725">
        <f t="shared" si="6"/>
        <v>93.265542609480619</v>
      </c>
      <c r="F52" s="725">
        <f t="shared" si="6"/>
        <v>56.09163846075942</v>
      </c>
      <c r="G52" s="725">
        <f t="shared" si="6"/>
        <v>0</v>
      </c>
      <c r="H52" s="725">
        <f t="shared" si="6"/>
        <v>32631.660932984127</v>
      </c>
      <c r="I52" s="725">
        <f t="shared" si="6"/>
        <v>7324.4230608457674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40125.814592240029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858.36895692463906</v>
      </c>
      <c r="D54" s="695">
        <f ca="1">+landbouw!C12</f>
        <v>16843.235294117647</v>
      </c>
      <c r="E54" s="695">
        <f>+landbouw!D12</f>
        <v>0</v>
      </c>
      <c r="F54" s="695">
        <f>+landbouw!E12</f>
        <v>39.860270002698456</v>
      </c>
      <c r="G54" s="695">
        <f>+landbouw!F12</f>
        <v>4078.7793218080246</v>
      </c>
      <c r="H54" s="695">
        <f>+landbouw!G12</f>
        <v>0</v>
      </c>
      <c r="I54" s="695">
        <f>+landbouw!H12</f>
        <v>0</v>
      </c>
      <c r="J54" s="695">
        <f>+landbouw!I12</f>
        <v>0</v>
      </c>
      <c r="K54" s="695">
        <f>+landbouw!J12</f>
        <v>437.54941833725763</v>
      </c>
      <c r="L54" s="695">
        <f>+landbouw!K12</f>
        <v>0</v>
      </c>
      <c r="M54" s="695">
        <f>+landbouw!L12</f>
        <v>0</v>
      </c>
      <c r="N54" s="695">
        <f>+landbouw!M12</f>
        <v>0</v>
      </c>
      <c r="O54" s="695">
        <f>+landbouw!N12</f>
        <v>0</v>
      </c>
      <c r="P54" s="695">
        <f>+landbouw!O12</f>
        <v>0</v>
      </c>
      <c r="Q54" s="696">
        <f>+landbouw!P12</f>
        <v>0</v>
      </c>
      <c r="R54" s="724">
        <f ca="1">SUM(C54:Q54)</f>
        <v>22257.793261190265</v>
      </c>
    </row>
    <row r="55" spans="1:18" ht="15" thickBot="1">
      <c r="A55" s="827" t="s">
        <v>714</v>
      </c>
      <c r="B55" s="837"/>
      <c r="C55" s="695">
        <f ca="1">C25*'EF ele_warmte'!B12</f>
        <v>322.77321868268155</v>
      </c>
      <c r="D55" s="695"/>
      <c r="E55" s="695">
        <f>E25*EF_CO2_aardgas</f>
        <v>1501.8265289953029</v>
      </c>
      <c r="F55" s="695"/>
      <c r="G55" s="695"/>
      <c r="H55" s="695"/>
      <c r="I55" s="695"/>
      <c r="J55" s="695"/>
      <c r="K55" s="695"/>
      <c r="L55" s="695"/>
      <c r="M55" s="695"/>
      <c r="N55" s="695"/>
      <c r="O55" s="695"/>
      <c r="P55" s="695"/>
      <c r="Q55" s="696"/>
      <c r="R55" s="724">
        <f ca="1">SUM(C55:Q55)</f>
        <v>1824.5997476779844</v>
      </c>
    </row>
    <row r="56" spans="1:18" ht="15.75" thickBot="1">
      <c r="A56" s="825" t="s">
        <v>715</v>
      </c>
      <c r="B56" s="838"/>
      <c r="C56" s="725">
        <f ca="1">SUM(C54:C55)</f>
        <v>1181.1421756073205</v>
      </c>
      <c r="D56" s="725">
        <f t="shared" ref="D56:Q56" ca="1" si="7">SUM(D54:D55)</f>
        <v>16843.235294117647</v>
      </c>
      <c r="E56" s="725">
        <f t="shared" si="7"/>
        <v>1501.8265289953029</v>
      </c>
      <c r="F56" s="725">
        <f t="shared" si="7"/>
        <v>39.860270002698456</v>
      </c>
      <c r="G56" s="725">
        <f t="shared" si="7"/>
        <v>4078.7793218080246</v>
      </c>
      <c r="H56" s="725">
        <f t="shared" si="7"/>
        <v>0</v>
      </c>
      <c r="I56" s="725">
        <f t="shared" si="7"/>
        <v>0</v>
      </c>
      <c r="J56" s="725">
        <f t="shared" si="7"/>
        <v>0</v>
      </c>
      <c r="K56" s="725">
        <f t="shared" si="7"/>
        <v>437.54941833725763</v>
      </c>
      <c r="L56" s="725">
        <f t="shared" si="7"/>
        <v>0</v>
      </c>
      <c r="M56" s="725">
        <f t="shared" si="7"/>
        <v>0</v>
      </c>
      <c r="N56" s="725">
        <f t="shared" si="7"/>
        <v>0</v>
      </c>
      <c r="O56" s="725">
        <f t="shared" si="7"/>
        <v>0</v>
      </c>
      <c r="P56" s="725">
        <f t="shared" si="7"/>
        <v>0</v>
      </c>
      <c r="Q56" s="726">
        <f t="shared" si="7"/>
        <v>0</v>
      </c>
      <c r="R56" s="727">
        <f ca="1">SUM(R54:R55)</f>
        <v>24082.39300886825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37206.762792044115</v>
      </c>
      <c r="D61" s="733">
        <f t="shared" ref="D61:Q61" ca="1" si="8">D46+D52+D56</f>
        <v>16843.235294117647</v>
      </c>
      <c r="E61" s="733">
        <f t="shared" ca="1" si="8"/>
        <v>68959.515674045513</v>
      </c>
      <c r="F61" s="733">
        <f t="shared" si="8"/>
        <v>5198.2014487805654</v>
      </c>
      <c r="G61" s="733">
        <f t="shared" ca="1" si="8"/>
        <v>14858.909880920384</v>
      </c>
      <c r="H61" s="733">
        <f t="shared" si="8"/>
        <v>32631.660932984127</v>
      </c>
      <c r="I61" s="733">
        <f t="shared" si="8"/>
        <v>7324.4230608457674</v>
      </c>
      <c r="J61" s="733">
        <f t="shared" si="8"/>
        <v>0</v>
      </c>
      <c r="K61" s="733">
        <f t="shared" si="8"/>
        <v>439.03073974962376</v>
      </c>
      <c r="L61" s="733">
        <f t="shared" si="8"/>
        <v>0</v>
      </c>
      <c r="M61" s="733">
        <f t="shared" ca="1" si="8"/>
        <v>0</v>
      </c>
      <c r="N61" s="733">
        <f t="shared" si="8"/>
        <v>0</v>
      </c>
      <c r="O61" s="733">
        <f t="shared" ca="1" si="8"/>
        <v>0</v>
      </c>
      <c r="P61" s="733">
        <f t="shared" si="8"/>
        <v>0</v>
      </c>
      <c r="Q61" s="733">
        <f t="shared" si="8"/>
        <v>0</v>
      </c>
      <c r="R61" s="733">
        <f ca="1">R46+R52+R56</f>
        <v>183461.73982348773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0.18230040338490525</v>
      </c>
      <c r="D63" s="779">
        <f t="shared" ca="1" si="9"/>
        <v>0.15752172329281619</v>
      </c>
      <c r="E63" s="973">
        <f t="shared" ca="1" si="9"/>
        <v>0.20200000000000001</v>
      </c>
      <c r="F63" s="779">
        <f t="shared" si="9"/>
        <v>0.22699999999999998</v>
      </c>
      <c r="G63" s="779">
        <f t="shared" ca="1" si="9"/>
        <v>0.26699999999999996</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14240.609770854633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25236.000000000004</v>
      </c>
      <c r="C76" s="746">
        <f>'lokale energieproductie'!B8*IFERROR(SUM(D76:H76)/SUM(D76:O76),0)</f>
        <v>49612.5</v>
      </c>
      <c r="D76" s="956">
        <f>'lokale energieproductie'!C8</f>
        <v>58367.647058823524</v>
      </c>
      <c r="E76" s="957">
        <f>'lokale energieproductie'!D8</f>
        <v>0</v>
      </c>
      <c r="F76" s="957">
        <f>'lokale energieproductie'!E8</f>
        <v>0</v>
      </c>
      <c r="G76" s="957">
        <f>'lokale energieproductie'!F8</f>
        <v>0</v>
      </c>
      <c r="H76" s="957">
        <f>'lokale energieproductie'!G8</f>
        <v>0</v>
      </c>
      <c r="I76" s="957">
        <f>'lokale energieproductie'!I8</f>
        <v>0</v>
      </c>
      <c r="J76" s="957">
        <f>'lokale energieproductie'!J8</f>
        <v>29689.411764705881</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11790.264705882353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39476.609770854637</v>
      </c>
      <c r="C78" s="751">
        <f>SUM(C72:C77)</f>
        <v>49612.5</v>
      </c>
      <c r="D78" s="752">
        <f t="shared" ref="D78:H78" si="10">SUM(D76:D77)</f>
        <v>58367.647058823524</v>
      </c>
      <c r="E78" s="752">
        <f t="shared" si="10"/>
        <v>0</v>
      </c>
      <c r="F78" s="752">
        <f t="shared" si="10"/>
        <v>0</v>
      </c>
      <c r="G78" s="752">
        <f t="shared" si="10"/>
        <v>0</v>
      </c>
      <c r="H78" s="752">
        <f t="shared" si="10"/>
        <v>0</v>
      </c>
      <c r="I78" s="752">
        <f>SUM(I76:I77)</f>
        <v>0</v>
      </c>
      <c r="J78" s="752">
        <f>SUM(J76:J77)</f>
        <v>29689.411764705881</v>
      </c>
      <c r="K78" s="752">
        <f t="shared" ref="K78:L78" si="11">SUM(K76:K77)</f>
        <v>0</v>
      </c>
      <c r="L78" s="752">
        <f t="shared" si="11"/>
        <v>0</v>
      </c>
      <c r="M78" s="752">
        <f>SUM(M76:M77)</f>
        <v>0</v>
      </c>
      <c r="N78" s="752">
        <f>SUM(N76:N77)</f>
        <v>0</v>
      </c>
      <c r="O78" s="862">
        <f>SUM(O76:O77)</f>
        <v>0</v>
      </c>
      <c r="P78" s="753">
        <v>0</v>
      </c>
      <c r="Q78" s="753">
        <f>SUM(Q76:Q77)</f>
        <v>11790.264705882353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36051.428571428572</v>
      </c>
      <c r="C87" s="764">
        <f>'lokale energieproductie'!B17*IFERROR(SUM(D87:H87)/SUM(D87:O87),0)</f>
        <v>70875</v>
      </c>
      <c r="D87" s="775">
        <f>'lokale energieproductie'!C17</f>
        <v>83382.352941176461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42413.445378151257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16843.235294117647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36051.428571428572</v>
      </c>
      <c r="C90" s="751">
        <f>SUM(C87:C89)</f>
        <v>70875</v>
      </c>
      <c r="D90" s="751">
        <f t="shared" ref="D90:H90" si="12">SUM(D87:D89)</f>
        <v>83382.352941176461</v>
      </c>
      <c r="E90" s="751">
        <f t="shared" si="12"/>
        <v>0</v>
      </c>
      <c r="F90" s="751">
        <f t="shared" si="12"/>
        <v>0</v>
      </c>
      <c r="G90" s="751">
        <f t="shared" si="12"/>
        <v>0</v>
      </c>
      <c r="H90" s="751">
        <f t="shared" si="12"/>
        <v>0</v>
      </c>
      <c r="I90" s="751">
        <f>SUM(I87:I89)</f>
        <v>0</v>
      </c>
      <c r="J90" s="751">
        <f>SUM(J87:J89)</f>
        <v>42413.445378151257</v>
      </c>
      <c r="K90" s="751">
        <f t="shared" ref="K90:L90" si="13">SUM(K87:K89)</f>
        <v>0</v>
      </c>
      <c r="L90" s="751">
        <f t="shared" si="13"/>
        <v>0</v>
      </c>
      <c r="M90" s="751">
        <f>SUM(M87:M89)</f>
        <v>0</v>
      </c>
      <c r="N90" s="751">
        <f>SUM(N87:N89)</f>
        <v>0</v>
      </c>
      <c r="O90" s="751">
        <f>SUM(O87:O89)</f>
        <v>0</v>
      </c>
      <c r="P90" s="751">
        <v>0</v>
      </c>
      <c r="Q90" s="751">
        <f>SUM(Q87:Q89)</f>
        <v>16843.235294117647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56773.005334488596</v>
      </c>
      <c r="C4" s="455">
        <f>huishoudens!C8</f>
        <v>0</v>
      </c>
      <c r="D4" s="455">
        <f>huishoudens!D8</f>
        <v>98481.863780961052</v>
      </c>
      <c r="E4" s="455">
        <f>huishoudens!E8</f>
        <v>22118.904012227184</v>
      </c>
      <c r="F4" s="455">
        <f>huishoudens!F8</f>
        <v>15604.861722967235</v>
      </c>
      <c r="G4" s="455">
        <f>huishoudens!G8</f>
        <v>0</v>
      </c>
      <c r="H4" s="455">
        <f>huishoudens!H8</f>
        <v>0</v>
      </c>
      <c r="I4" s="455">
        <f>huishoudens!I8</f>
        <v>0</v>
      </c>
      <c r="J4" s="455">
        <f>huishoudens!J8</f>
        <v>0</v>
      </c>
      <c r="K4" s="455">
        <f>huishoudens!K8</f>
        <v>0</v>
      </c>
      <c r="L4" s="455">
        <f>huishoudens!L8</f>
        <v>0</v>
      </c>
      <c r="M4" s="455">
        <f>huishoudens!M8</f>
        <v>0</v>
      </c>
      <c r="N4" s="455">
        <f>huishoudens!N8</f>
        <v>28786.336310284878</v>
      </c>
      <c r="O4" s="455">
        <f>huishoudens!O8</f>
        <v>922.54057201496983</v>
      </c>
      <c r="P4" s="456">
        <f>huishoudens!P8</f>
        <v>1179.8034424607226</v>
      </c>
      <c r="Q4" s="457">
        <f>SUM(B4:P4)</f>
        <v>223867.31517540466</v>
      </c>
    </row>
    <row r="5" spans="1:17">
      <c r="A5" s="454" t="s">
        <v>155</v>
      </c>
      <c r="B5" s="455">
        <f ca="1">tertiair!B16</f>
        <v>50761.646041018183</v>
      </c>
      <c r="C5" s="455">
        <f ca="1">tertiair!C16</f>
        <v>0</v>
      </c>
      <c r="D5" s="455">
        <f ca="1">tertiair!D16</f>
        <v>150789.62702773418</v>
      </c>
      <c r="E5" s="455">
        <f>tertiair!E16</f>
        <v>155.51451129315163</v>
      </c>
      <c r="F5" s="455">
        <f ca="1">tertiair!F16</f>
        <v>8382.3057516326298</v>
      </c>
      <c r="G5" s="455">
        <f>tertiair!G16</f>
        <v>0</v>
      </c>
      <c r="H5" s="455">
        <f>tertiair!H16</f>
        <v>0</v>
      </c>
      <c r="I5" s="455">
        <f>tertiair!I16</f>
        <v>0</v>
      </c>
      <c r="J5" s="455">
        <f>tertiair!J16</f>
        <v>6.7763052908751883E-2</v>
      </c>
      <c r="K5" s="455">
        <f>tertiair!K16</f>
        <v>0</v>
      </c>
      <c r="L5" s="455">
        <f ca="1">tertiair!L16</f>
        <v>0</v>
      </c>
      <c r="M5" s="455">
        <f>tertiair!M16</f>
        <v>0</v>
      </c>
      <c r="N5" s="455">
        <f ca="1">tertiair!N16</f>
        <v>2522.7815754835392</v>
      </c>
      <c r="O5" s="455">
        <f>tertiair!O16</f>
        <v>9.7945215316823084</v>
      </c>
      <c r="P5" s="456">
        <f>tertiair!P16</f>
        <v>367.77396814546512</v>
      </c>
      <c r="Q5" s="454">
        <f t="shared" ref="Q5:Q14" ca="1" si="0">SUM(B5:P5)</f>
        <v>212989.51115989173</v>
      </c>
    </row>
    <row r="6" spans="1:17">
      <c r="A6" s="454" t="s">
        <v>193</v>
      </c>
      <c r="B6" s="455">
        <f>'openbare verlichting'!B8</f>
        <v>2029.1469999999999</v>
      </c>
      <c r="C6" s="455"/>
      <c r="D6" s="455"/>
      <c r="E6" s="455"/>
      <c r="F6" s="455"/>
      <c r="G6" s="455"/>
      <c r="H6" s="455"/>
      <c r="I6" s="455"/>
      <c r="J6" s="455"/>
      <c r="K6" s="455"/>
      <c r="L6" s="455"/>
      <c r="M6" s="455"/>
      <c r="N6" s="455"/>
      <c r="O6" s="455"/>
      <c r="P6" s="456"/>
      <c r="Q6" s="454">
        <f t="shared" si="0"/>
        <v>2029.1469999999999</v>
      </c>
    </row>
    <row r="7" spans="1:17">
      <c r="A7" s="454" t="s">
        <v>111</v>
      </c>
      <c r="B7" s="455">
        <f>landbouw!B8</f>
        <v>4708.5411825024703</v>
      </c>
      <c r="C7" s="455">
        <f>landbouw!C8</f>
        <v>106926.42857142857</v>
      </c>
      <c r="D7" s="455">
        <f>landbouw!D8</f>
        <v>0</v>
      </c>
      <c r="E7" s="455">
        <f>landbouw!E8</f>
        <v>175.59590309558791</v>
      </c>
      <c r="F7" s="455">
        <f>landbouw!F8</f>
        <v>15276.32704797013</v>
      </c>
      <c r="G7" s="455">
        <f>landbouw!G8</f>
        <v>0</v>
      </c>
      <c r="H7" s="455">
        <f>landbouw!H8</f>
        <v>0</v>
      </c>
      <c r="I7" s="455">
        <f>landbouw!I8</f>
        <v>0</v>
      </c>
      <c r="J7" s="455">
        <f>landbouw!J8</f>
        <v>1236.015306037451</v>
      </c>
      <c r="K7" s="455">
        <f>landbouw!K8</f>
        <v>0</v>
      </c>
      <c r="L7" s="455">
        <f>landbouw!L8</f>
        <v>0</v>
      </c>
      <c r="M7" s="455">
        <f>landbouw!M8</f>
        <v>0</v>
      </c>
      <c r="N7" s="455">
        <f>landbouw!N8</f>
        <v>0</v>
      </c>
      <c r="O7" s="455">
        <f>landbouw!O8</f>
        <v>0</v>
      </c>
      <c r="P7" s="456">
        <f>landbouw!P8</f>
        <v>0</v>
      </c>
      <c r="Q7" s="454">
        <f t="shared" si="0"/>
        <v>128322.9080110342</v>
      </c>
    </row>
    <row r="8" spans="1:17">
      <c r="A8" s="454" t="s">
        <v>626</v>
      </c>
      <c r="B8" s="455">
        <f>industrie!B18</f>
        <v>87941.234693872568</v>
      </c>
      <c r="C8" s="455">
        <f>industrie!C18</f>
        <v>0</v>
      </c>
      <c r="D8" s="455">
        <f>industrie!D18</f>
        <v>84215.754747942017</v>
      </c>
      <c r="E8" s="455">
        <f>industrie!E18</f>
        <v>202.45169814093103</v>
      </c>
      <c r="F8" s="455">
        <f>industrie!F18</f>
        <v>16387.853346045675</v>
      </c>
      <c r="G8" s="455">
        <f>industrie!G18</f>
        <v>0</v>
      </c>
      <c r="H8" s="455">
        <f>industrie!H18</f>
        <v>0</v>
      </c>
      <c r="I8" s="455">
        <f>industrie!I18</f>
        <v>0</v>
      </c>
      <c r="J8" s="455">
        <f>industrie!J18</f>
        <v>4.1167607108373865</v>
      </c>
      <c r="K8" s="455">
        <f>industrie!K18</f>
        <v>0</v>
      </c>
      <c r="L8" s="455">
        <f>industrie!L18</f>
        <v>0</v>
      </c>
      <c r="M8" s="455">
        <f>industrie!M18</f>
        <v>0</v>
      </c>
      <c r="N8" s="455">
        <f>industrie!N18</f>
        <v>3327.6684478058723</v>
      </c>
      <c r="O8" s="455">
        <f>industrie!O18</f>
        <v>0</v>
      </c>
      <c r="P8" s="456">
        <f>industrie!P18</f>
        <v>0</v>
      </c>
      <c r="Q8" s="454">
        <f t="shared" si="0"/>
        <v>192079.07969451792</v>
      </c>
    </row>
    <row r="9" spans="1:17" s="460" customFormat="1">
      <c r="A9" s="458" t="s">
        <v>552</v>
      </c>
      <c r="B9" s="459">
        <f>transport!B14</f>
        <v>111.75739033816701</v>
      </c>
      <c r="C9" s="459">
        <f>transport!C14</f>
        <v>0</v>
      </c>
      <c r="D9" s="459">
        <f>transport!D14</f>
        <v>461.71060697762681</v>
      </c>
      <c r="E9" s="459">
        <f>transport!E14</f>
        <v>247.09972890202386</v>
      </c>
      <c r="F9" s="459">
        <f>transport!F14</f>
        <v>0</v>
      </c>
      <c r="G9" s="459">
        <f>transport!G14</f>
        <v>120284.39226143254</v>
      </c>
      <c r="H9" s="459">
        <f>transport!H14</f>
        <v>29415.35365801513</v>
      </c>
      <c r="I9" s="459">
        <f>transport!I14</f>
        <v>0</v>
      </c>
      <c r="J9" s="459">
        <f>transport!J14</f>
        <v>0</v>
      </c>
      <c r="K9" s="459">
        <f>transport!K14</f>
        <v>0</v>
      </c>
      <c r="L9" s="459">
        <f>transport!L14</f>
        <v>0</v>
      </c>
      <c r="M9" s="459">
        <f>transport!M14</f>
        <v>8817.0292929364114</v>
      </c>
      <c r="N9" s="459">
        <f>transport!N14</f>
        <v>0</v>
      </c>
      <c r="O9" s="459">
        <f>transport!O14</f>
        <v>0</v>
      </c>
      <c r="P9" s="459">
        <f>transport!P14</f>
        <v>0</v>
      </c>
      <c r="Q9" s="458">
        <f>SUM(B9:P9)</f>
        <v>159337.34293860191</v>
      </c>
    </row>
    <row r="10" spans="1:17">
      <c r="A10" s="454" t="s">
        <v>542</v>
      </c>
      <c r="B10" s="455">
        <f>transport!B54</f>
        <v>0</v>
      </c>
      <c r="C10" s="455">
        <f>transport!C54</f>
        <v>0</v>
      </c>
      <c r="D10" s="455">
        <f>transport!D54</f>
        <v>0</v>
      </c>
      <c r="E10" s="455">
        <f>transport!E54</f>
        <v>0</v>
      </c>
      <c r="F10" s="455">
        <f>transport!F54</f>
        <v>0</v>
      </c>
      <c r="G10" s="455">
        <f>transport!G54</f>
        <v>1931.5662890697956</v>
      </c>
      <c r="H10" s="455">
        <f>transport!H54</f>
        <v>0</v>
      </c>
      <c r="I10" s="455">
        <f>transport!I54</f>
        <v>0</v>
      </c>
      <c r="J10" s="455">
        <f>transport!J54</f>
        <v>0</v>
      </c>
      <c r="K10" s="455">
        <f>transport!K54</f>
        <v>0</v>
      </c>
      <c r="L10" s="455">
        <f>transport!L54</f>
        <v>0</v>
      </c>
      <c r="M10" s="455">
        <f>transport!M54</f>
        <v>104.81778825138132</v>
      </c>
      <c r="N10" s="455">
        <f>transport!N54</f>
        <v>0</v>
      </c>
      <c r="O10" s="455">
        <f>transport!O54</f>
        <v>0</v>
      </c>
      <c r="P10" s="456">
        <f>transport!P54</f>
        <v>0</v>
      </c>
      <c r="Q10" s="454">
        <f t="shared" si="0"/>
        <v>2036.3840773211768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1770.5567990498898</v>
      </c>
      <c r="C14" s="462"/>
      <c r="D14" s="462">
        <f>'SEAP template'!E25</f>
        <v>7434.7847970064495</v>
      </c>
      <c r="E14" s="462"/>
      <c r="F14" s="462"/>
      <c r="G14" s="462"/>
      <c r="H14" s="462"/>
      <c r="I14" s="462"/>
      <c r="J14" s="462"/>
      <c r="K14" s="462"/>
      <c r="L14" s="462"/>
      <c r="M14" s="462"/>
      <c r="N14" s="462"/>
      <c r="O14" s="462"/>
      <c r="P14" s="463"/>
      <c r="Q14" s="454">
        <f t="shared" si="0"/>
        <v>9205.3415960563398</v>
      </c>
    </row>
    <row r="15" spans="1:17" s="466" customFormat="1">
      <c r="A15" s="464" t="s">
        <v>546</v>
      </c>
      <c r="B15" s="465">
        <f ca="1">SUM(B4:B14)</f>
        <v>204095.88844126987</v>
      </c>
      <c r="C15" s="465">
        <f t="shared" ref="C15:Q15" ca="1" si="1">SUM(C4:C14)</f>
        <v>106926.42857142857</v>
      </c>
      <c r="D15" s="465">
        <f t="shared" ca="1" si="1"/>
        <v>341383.74096062133</v>
      </c>
      <c r="E15" s="465">
        <f t="shared" si="1"/>
        <v>22899.565853658882</v>
      </c>
      <c r="F15" s="465">
        <f t="shared" ca="1" si="1"/>
        <v>55651.347868615667</v>
      </c>
      <c r="G15" s="465">
        <f t="shared" si="1"/>
        <v>122215.95855050234</v>
      </c>
      <c r="H15" s="465">
        <f t="shared" si="1"/>
        <v>29415.35365801513</v>
      </c>
      <c r="I15" s="465">
        <f t="shared" si="1"/>
        <v>0</v>
      </c>
      <c r="J15" s="465">
        <f t="shared" si="1"/>
        <v>1240.199829801197</v>
      </c>
      <c r="K15" s="465">
        <f t="shared" si="1"/>
        <v>0</v>
      </c>
      <c r="L15" s="465">
        <f t="shared" ca="1" si="1"/>
        <v>0</v>
      </c>
      <c r="M15" s="465">
        <f t="shared" si="1"/>
        <v>8921.8470811877924</v>
      </c>
      <c r="N15" s="465">
        <f t="shared" ca="1" si="1"/>
        <v>34636.786333574288</v>
      </c>
      <c r="O15" s="465">
        <f t="shared" si="1"/>
        <v>932.33509354665216</v>
      </c>
      <c r="P15" s="465">
        <f t="shared" si="1"/>
        <v>1547.5774106061876</v>
      </c>
      <c r="Q15" s="465">
        <f t="shared" ca="1" si="1"/>
        <v>929867.02965282789</v>
      </c>
    </row>
    <row r="17" spans="1:17">
      <c r="A17" s="467" t="s">
        <v>547</v>
      </c>
      <c r="B17" s="784">
        <f ca="1">huishoudens!B10</f>
        <v>0.18230040338490525</v>
      </c>
      <c r="C17" s="784">
        <f ca="1">huishoudens!C10</f>
        <v>0.15752172329281619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10349.741773850648</v>
      </c>
      <c r="C22" s="455">
        <f t="shared" ref="C22:C32" ca="1" si="3">C4*$C$17</f>
        <v>0</v>
      </c>
      <c r="D22" s="455">
        <f t="shared" ref="D22:D32" si="4">D4*$D$17</f>
        <v>19893.336483754134</v>
      </c>
      <c r="E22" s="455">
        <f t="shared" ref="E22:E32" si="5">E4*$E$17</f>
        <v>5020.9912107755708</v>
      </c>
      <c r="F22" s="455">
        <f t="shared" ref="F22:F32" si="6">F4*$F$17</f>
        <v>4166.4980800322519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39430.567548412604</v>
      </c>
    </row>
    <row r="23" spans="1:17">
      <c r="A23" s="454" t="s">
        <v>155</v>
      </c>
      <c r="B23" s="455">
        <f t="shared" ca="1" si="2"/>
        <v>9253.8685497593924</v>
      </c>
      <c r="C23" s="455">
        <f t="shared" ca="1" si="3"/>
        <v>0</v>
      </c>
      <c r="D23" s="455">
        <f t="shared" ca="1" si="4"/>
        <v>30459.504659602306</v>
      </c>
      <c r="E23" s="455">
        <f t="shared" si="5"/>
        <v>35.301794063545422</v>
      </c>
      <c r="F23" s="455">
        <f t="shared" ca="1" si="6"/>
        <v>2238.0756356859124</v>
      </c>
      <c r="G23" s="455">
        <f t="shared" si="7"/>
        <v>0</v>
      </c>
      <c r="H23" s="455">
        <f t="shared" si="8"/>
        <v>0</v>
      </c>
      <c r="I23" s="455">
        <f t="shared" si="9"/>
        <v>0</v>
      </c>
      <c r="J23" s="455">
        <f t="shared" si="10"/>
        <v>2.3988120729698165E-2</v>
      </c>
      <c r="K23" s="455">
        <f t="shared" si="11"/>
        <v>0</v>
      </c>
      <c r="L23" s="455">
        <f t="shared" ca="1" si="12"/>
        <v>0</v>
      </c>
      <c r="M23" s="455">
        <f t="shared" si="13"/>
        <v>0</v>
      </c>
      <c r="N23" s="455">
        <f t="shared" ca="1" si="14"/>
        <v>0</v>
      </c>
      <c r="O23" s="455">
        <f t="shared" si="15"/>
        <v>0</v>
      </c>
      <c r="P23" s="456">
        <f t="shared" si="16"/>
        <v>0</v>
      </c>
      <c r="Q23" s="454">
        <f t="shared" ref="Q23:Q31" ca="1" si="17">SUM(B23:P23)</f>
        <v>41986.774627231891</v>
      </c>
    </row>
    <row r="24" spans="1:17">
      <c r="A24" s="454" t="s">
        <v>193</v>
      </c>
      <c r="B24" s="455">
        <f t="shared" ca="1" si="2"/>
        <v>369.9143166272703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369.9143166272703</v>
      </c>
    </row>
    <row r="25" spans="1:17">
      <c r="A25" s="454" t="s">
        <v>111</v>
      </c>
      <c r="B25" s="455">
        <f t="shared" ca="1" si="2"/>
        <v>858.36895692463906</v>
      </c>
      <c r="C25" s="455">
        <f t="shared" ca="1" si="3"/>
        <v>16843.235294117647</v>
      </c>
      <c r="D25" s="455">
        <f t="shared" si="4"/>
        <v>0</v>
      </c>
      <c r="E25" s="455">
        <f t="shared" si="5"/>
        <v>39.860270002698456</v>
      </c>
      <c r="F25" s="455">
        <f t="shared" si="6"/>
        <v>4078.7793218080246</v>
      </c>
      <c r="G25" s="455">
        <f t="shared" si="7"/>
        <v>0</v>
      </c>
      <c r="H25" s="455">
        <f t="shared" si="8"/>
        <v>0</v>
      </c>
      <c r="I25" s="455">
        <f t="shared" si="9"/>
        <v>0</v>
      </c>
      <c r="J25" s="455">
        <f t="shared" si="10"/>
        <v>437.54941833725763</v>
      </c>
      <c r="K25" s="455">
        <f t="shared" si="11"/>
        <v>0</v>
      </c>
      <c r="L25" s="455">
        <f t="shared" si="12"/>
        <v>0</v>
      </c>
      <c r="M25" s="455">
        <f t="shared" si="13"/>
        <v>0</v>
      </c>
      <c r="N25" s="455">
        <f t="shared" si="14"/>
        <v>0</v>
      </c>
      <c r="O25" s="455">
        <f t="shared" si="15"/>
        <v>0</v>
      </c>
      <c r="P25" s="456">
        <f t="shared" si="16"/>
        <v>0</v>
      </c>
      <c r="Q25" s="454">
        <f t="shared" ca="1" si="17"/>
        <v>22257.793261190265</v>
      </c>
    </row>
    <row r="26" spans="1:17">
      <c r="A26" s="454" t="s">
        <v>626</v>
      </c>
      <c r="B26" s="455">
        <f t="shared" ca="1" si="2"/>
        <v>16031.722558859594</v>
      </c>
      <c r="C26" s="455">
        <f t="shared" ca="1" si="3"/>
        <v>0</v>
      </c>
      <c r="D26" s="455">
        <f t="shared" si="4"/>
        <v>17011.582459084289</v>
      </c>
      <c r="E26" s="455">
        <f t="shared" si="5"/>
        <v>45.956535477991345</v>
      </c>
      <c r="F26" s="455">
        <f t="shared" si="6"/>
        <v>4375.5568433941953</v>
      </c>
      <c r="G26" s="455">
        <f t="shared" si="7"/>
        <v>0</v>
      </c>
      <c r="H26" s="455">
        <f t="shared" si="8"/>
        <v>0</v>
      </c>
      <c r="I26" s="455">
        <f t="shared" si="9"/>
        <v>0</v>
      </c>
      <c r="J26" s="455">
        <f t="shared" si="10"/>
        <v>1.4573332916364348</v>
      </c>
      <c r="K26" s="455">
        <f t="shared" si="11"/>
        <v>0</v>
      </c>
      <c r="L26" s="455">
        <f t="shared" si="12"/>
        <v>0</v>
      </c>
      <c r="M26" s="455">
        <f t="shared" si="13"/>
        <v>0</v>
      </c>
      <c r="N26" s="455">
        <f t="shared" si="14"/>
        <v>0</v>
      </c>
      <c r="O26" s="455">
        <f t="shared" si="15"/>
        <v>0</v>
      </c>
      <c r="P26" s="456">
        <f t="shared" si="16"/>
        <v>0</v>
      </c>
      <c r="Q26" s="454">
        <f t="shared" ca="1" si="17"/>
        <v>37466.275730107707</v>
      </c>
    </row>
    <row r="27" spans="1:17" s="460" customFormat="1">
      <c r="A27" s="458" t="s">
        <v>552</v>
      </c>
      <c r="B27" s="778">
        <f t="shared" ca="1" si="2"/>
        <v>20.373417339892157</v>
      </c>
      <c r="C27" s="459">
        <f t="shared" ca="1" si="3"/>
        <v>0</v>
      </c>
      <c r="D27" s="459">
        <f t="shared" si="4"/>
        <v>93.265542609480619</v>
      </c>
      <c r="E27" s="459">
        <f t="shared" si="5"/>
        <v>56.09163846075942</v>
      </c>
      <c r="F27" s="459">
        <f t="shared" si="6"/>
        <v>0</v>
      </c>
      <c r="G27" s="459">
        <f t="shared" si="7"/>
        <v>32115.932733802492</v>
      </c>
      <c r="H27" s="459">
        <f t="shared" si="8"/>
        <v>7324.4230608457674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39610.086393058395</v>
      </c>
    </row>
    <row r="28" spans="1:17" ht="16.5" customHeight="1">
      <c r="A28" s="454" t="s">
        <v>542</v>
      </c>
      <c r="B28" s="455">
        <f t="shared" ca="1" si="2"/>
        <v>0</v>
      </c>
      <c r="C28" s="455">
        <f t="shared" ca="1" si="3"/>
        <v>0</v>
      </c>
      <c r="D28" s="455">
        <f t="shared" si="4"/>
        <v>0</v>
      </c>
      <c r="E28" s="455">
        <f t="shared" si="5"/>
        <v>0</v>
      </c>
      <c r="F28" s="455">
        <f t="shared" si="6"/>
        <v>0</v>
      </c>
      <c r="G28" s="455">
        <f t="shared" si="7"/>
        <v>515.72819918163543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515.72819918163543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322.77321868268155</v>
      </c>
      <c r="C32" s="455">
        <f t="shared" ca="1" si="3"/>
        <v>0</v>
      </c>
      <c r="D32" s="455">
        <f t="shared" si="4"/>
        <v>1501.8265289953029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1824.5997476779844</v>
      </c>
    </row>
    <row r="33" spans="1:17" s="466" customFormat="1">
      <c r="A33" s="464" t="s">
        <v>546</v>
      </c>
      <c r="B33" s="465">
        <f ca="1">SUM(B22:B32)</f>
        <v>37206.762792044115</v>
      </c>
      <c r="C33" s="465">
        <f t="shared" ref="C33:Q33" ca="1" si="19">SUM(C22:C32)</f>
        <v>16843.235294117647</v>
      </c>
      <c r="D33" s="465">
        <f t="shared" ca="1" si="19"/>
        <v>68959.515674045513</v>
      </c>
      <c r="E33" s="465">
        <f t="shared" si="19"/>
        <v>5198.2014487805654</v>
      </c>
      <c r="F33" s="465">
        <f t="shared" ca="1" si="19"/>
        <v>14858.909880920384</v>
      </c>
      <c r="G33" s="465">
        <f t="shared" si="19"/>
        <v>32631.660932984127</v>
      </c>
      <c r="H33" s="465">
        <f t="shared" si="19"/>
        <v>7324.4230608457674</v>
      </c>
      <c r="I33" s="465">
        <f t="shared" si="19"/>
        <v>0</v>
      </c>
      <c r="J33" s="465">
        <f t="shared" si="19"/>
        <v>439.03073974962376</v>
      </c>
      <c r="K33" s="465">
        <f t="shared" si="19"/>
        <v>0</v>
      </c>
      <c r="L33" s="465">
        <f t="shared" ca="1" si="19"/>
        <v>0</v>
      </c>
      <c r="M33" s="465">
        <f t="shared" si="19"/>
        <v>0</v>
      </c>
      <c r="N33" s="465">
        <f t="shared" ca="1" si="19"/>
        <v>0</v>
      </c>
      <c r="O33" s="465">
        <f t="shared" si="19"/>
        <v>0</v>
      </c>
      <c r="P33" s="465">
        <f t="shared" si="19"/>
        <v>0</v>
      </c>
      <c r="Q33" s="465">
        <f t="shared" ca="1" si="19"/>
        <v>183461.73982348776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14240.609770854633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25236.000000000004</v>
      </c>
      <c r="C8" s="1026">
        <f>'SEAP template'!C76</f>
        <v>49612.5</v>
      </c>
      <c r="D8" s="1026">
        <f>'SEAP template'!D76</f>
        <v>58367.647058823524</v>
      </c>
      <c r="E8" s="1026">
        <f>'SEAP template'!E76</f>
        <v>0</v>
      </c>
      <c r="F8" s="1026">
        <f>'SEAP template'!F76</f>
        <v>0</v>
      </c>
      <c r="G8" s="1026">
        <f>'SEAP template'!G76</f>
        <v>0</v>
      </c>
      <c r="H8" s="1026">
        <f>'SEAP template'!H76</f>
        <v>0</v>
      </c>
      <c r="I8" s="1026">
        <f>'SEAP template'!I76</f>
        <v>0</v>
      </c>
      <c r="J8" s="1026">
        <f>'SEAP template'!J76</f>
        <v>29689.411764705881</v>
      </c>
      <c r="K8" s="1026">
        <f>'SEAP template'!K76</f>
        <v>0</v>
      </c>
      <c r="L8" s="1026">
        <f>'SEAP template'!L76</f>
        <v>0</v>
      </c>
      <c r="M8" s="1026">
        <f>'SEAP template'!M76</f>
        <v>0</v>
      </c>
      <c r="N8" s="1026">
        <f>'SEAP template'!N76</f>
        <v>0</v>
      </c>
      <c r="O8" s="1026">
        <f>'SEAP template'!O76</f>
        <v>0</v>
      </c>
      <c r="P8" s="1027">
        <f>'SEAP template'!Q76</f>
        <v>11790.264705882353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39476.609770854637</v>
      </c>
      <c r="C10" s="1028">
        <f>SUM(C4:C9)</f>
        <v>49612.5</v>
      </c>
      <c r="D10" s="1028">
        <f t="shared" ref="D10:H10" si="0">SUM(D8:D9)</f>
        <v>58367.647058823524</v>
      </c>
      <c r="E10" s="1028">
        <f t="shared" si="0"/>
        <v>0</v>
      </c>
      <c r="F10" s="1028">
        <f t="shared" si="0"/>
        <v>0</v>
      </c>
      <c r="G10" s="1028">
        <f t="shared" si="0"/>
        <v>0</v>
      </c>
      <c r="H10" s="1028">
        <f t="shared" si="0"/>
        <v>0</v>
      </c>
      <c r="I10" s="1028">
        <f>SUM(I8:I9)</f>
        <v>0</v>
      </c>
      <c r="J10" s="1028">
        <f>SUM(J8:J9)</f>
        <v>29689.411764705881</v>
      </c>
      <c r="K10" s="1028">
        <f t="shared" ref="K10:L10" si="1">SUM(K8:K9)</f>
        <v>0</v>
      </c>
      <c r="L10" s="1028">
        <f t="shared" si="1"/>
        <v>0</v>
      </c>
      <c r="M10" s="1028">
        <f>SUM(M8:M9)</f>
        <v>0</v>
      </c>
      <c r="N10" s="1028">
        <f>SUM(N8:N9)</f>
        <v>0</v>
      </c>
      <c r="O10" s="1028">
        <f>SUM(O8:O9)</f>
        <v>0</v>
      </c>
      <c r="P10" s="1028">
        <f>SUM(P8:P9)</f>
        <v>11790.264705882353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0.18230040338490525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36051.428571428572</v>
      </c>
      <c r="C17" s="1029">
        <f>'SEAP template'!C87</f>
        <v>70875</v>
      </c>
      <c r="D17" s="1027">
        <f>'SEAP template'!D87</f>
        <v>83382.352941176461</v>
      </c>
      <c r="E17" s="1027">
        <f>'SEAP template'!E87</f>
        <v>0</v>
      </c>
      <c r="F17" s="1027">
        <f>'SEAP template'!F87</f>
        <v>0</v>
      </c>
      <c r="G17" s="1027">
        <f>'SEAP template'!G87</f>
        <v>0</v>
      </c>
      <c r="H17" s="1027">
        <f>'SEAP template'!H87</f>
        <v>0</v>
      </c>
      <c r="I17" s="1027">
        <f>'SEAP template'!I87</f>
        <v>0</v>
      </c>
      <c r="J17" s="1027">
        <f>'SEAP template'!J87</f>
        <v>42413.445378151257</v>
      </c>
      <c r="K17" s="1027">
        <f>'SEAP template'!K87</f>
        <v>0</v>
      </c>
      <c r="L17" s="1027">
        <f>'SEAP template'!L87</f>
        <v>0</v>
      </c>
      <c r="M17" s="1027">
        <f>'SEAP template'!M87</f>
        <v>0</v>
      </c>
      <c r="N17" s="1027">
        <f>'SEAP template'!N87</f>
        <v>0</v>
      </c>
      <c r="O17" s="1027">
        <f>'SEAP template'!O87</f>
        <v>0</v>
      </c>
      <c r="P17" s="1027">
        <f>'SEAP template'!Q87</f>
        <v>16843.235294117647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36051.428571428572</v>
      </c>
      <c r="C20" s="1028">
        <f>SUM(C17:C19)</f>
        <v>70875</v>
      </c>
      <c r="D20" s="1028">
        <f t="shared" ref="D20:H20" si="2">SUM(D17:D19)</f>
        <v>83382.352941176461</v>
      </c>
      <c r="E20" s="1028">
        <f t="shared" si="2"/>
        <v>0</v>
      </c>
      <c r="F20" s="1028">
        <f t="shared" si="2"/>
        <v>0</v>
      </c>
      <c r="G20" s="1028">
        <f t="shared" si="2"/>
        <v>0</v>
      </c>
      <c r="H20" s="1028">
        <f t="shared" si="2"/>
        <v>0</v>
      </c>
      <c r="I20" s="1028">
        <f>SUM(I17:I19)</f>
        <v>0</v>
      </c>
      <c r="J20" s="1028">
        <f>SUM(J17:J19)</f>
        <v>42413.445378151257</v>
      </c>
      <c r="K20" s="1028">
        <f t="shared" ref="K20:L20" si="3">SUM(K17:K19)</f>
        <v>0</v>
      </c>
      <c r="L20" s="1028">
        <f t="shared" si="3"/>
        <v>0</v>
      </c>
      <c r="M20" s="1028">
        <f>SUM(M17:M19)</f>
        <v>0</v>
      </c>
      <c r="N20" s="1028">
        <f>SUM(N17:N19)</f>
        <v>0</v>
      </c>
      <c r="O20" s="1028">
        <f>SUM(O17:O19)</f>
        <v>0</v>
      </c>
      <c r="P20" s="1028">
        <f>SUM(P17:P19)</f>
        <v>16843.235294117647</v>
      </c>
    </row>
    <row r="21" spans="1:16">
      <c r="B21" s="890"/>
    </row>
    <row r="22" spans="1:16">
      <c r="A22" s="467" t="s">
        <v>773</v>
      </c>
      <c r="B22" s="784" t="s">
        <v>771</v>
      </c>
      <c r="C22" s="784">
        <f ca="1">'EF ele_warmte'!B22</f>
        <v>0.15752172329281619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0.18230040338490525</v>
      </c>
      <c r="C17" s="504">
        <f ca="1">'EF ele_warmte'!B22</f>
        <v>0.15752172329281619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0.18230040338490525</v>
      </c>
      <c r="C17" s="504">
        <f ca="1">'EF ele_warmte'!B22</f>
        <v>0.15752172329281619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0.18230040338490525</v>
      </c>
      <c r="C29" s="505">
        <f ca="1">'EF ele_warmte'!B22</f>
        <v>0.15752172329281619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13271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4606.3399785577858</v>
      </c>
      <c r="C14" s="332"/>
      <c r="D14" s="332"/>
      <c r="E14" s="332"/>
      <c r="F14" s="332"/>
    </row>
    <row r="15" spans="1:6">
      <c r="A15" s="1310" t="s">
        <v>183</v>
      </c>
      <c r="B15" s="1311">
        <v>60.154798761609911</v>
      </c>
      <c r="C15" s="332"/>
      <c r="D15" s="332"/>
      <c r="E15" s="332"/>
      <c r="F15" s="332"/>
    </row>
    <row r="16" spans="1:6">
      <c r="A16" s="1310" t="s">
        <v>6</v>
      </c>
      <c r="B16" s="1311">
        <v>2368.2973100519112</v>
      </c>
      <c r="C16" s="332"/>
      <c r="D16" s="332"/>
      <c r="E16" s="332"/>
      <c r="F16" s="332"/>
    </row>
    <row r="17" spans="1:6">
      <c r="A17" s="1310" t="s">
        <v>7</v>
      </c>
      <c r="B17" s="1311">
        <v>1842.4112903225805</v>
      </c>
      <c r="C17" s="332"/>
      <c r="D17" s="332"/>
      <c r="E17" s="332"/>
      <c r="F17" s="332"/>
    </row>
    <row r="18" spans="1:6">
      <c r="A18" s="1310" t="s">
        <v>8</v>
      </c>
      <c r="B18" s="1311">
        <v>2489.1206428248079</v>
      </c>
      <c r="C18" s="332"/>
      <c r="D18" s="332"/>
      <c r="E18" s="332"/>
      <c r="F18" s="332"/>
    </row>
    <row r="19" spans="1:6">
      <c r="A19" s="1310" t="s">
        <v>9</v>
      </c>
      <c r="B19" s="1311">
        <v>2359.9887955182071</v>
      </c>
      <c r="C19" s="332"/>
      <c r="D19" s="332"/>
      <c r="E19" s="332"/>
      <c r="F19" s="332"/>
    </row>
    <row r="20" spans="1:6">
      <c r="A20" s="1310" t="s">
        <v>10</v>
      </c>
      <c r="B20" s="1311">
        <v>1553.2782945736435</v>
      </c>
      <c r="C20" s="332"/>
      <c r="D20" s="332"/>
      <c r="E20" s="332"/>
      <c r="F20" s="332"/>
    </row>
    <row r="21" spans="1:6">
      <c r="A21" s="1310" t="s">
        <v>11</v>
      </c>
      <c r="B21" s="1311">
        <v>5994.815586515735</v>
      </c>
      <c r="C21" s="332"/>
      <c r="D21" s="332"/>
      <c r="E21" s="332"/>
      <c r="F21" s="332"/>
    </row>
    <row r="22" spans="1:6">
      <c r="A22" s="1310" t="s">
        <v>12</v>
      </c>
      <c r="B22" s="1311">
        <v>35249.794422310755</v>
      </c>
      <c r="C22" s="332"/>
      <c r="D22" s="332"/>
      <c r="E22" s="332"/>
      <c r="F22" s="332"/>
    </row>
    <row r="23" spans="1:6">
      <c r="A23" s="1310" t="s">
        <v>13</v>
      </c>
      <c r="B23" s="1311">
        <v>251.29471890971035</v>
      </c>
      <c r="C23" s="332"/>
      <c r="D23" s="332"/>
      <c r="E23" s="332"/>
      <c r="F23" s="332"/>
    </row>
    <row r="24" spans="1:6">
      <c r="A24" s="1310" t="s">
        <v>14</v>
      </c>
      <c r="B24" s="1311">
        <v>30.210526315789473</v>
      </c>
      <c r="C24" s="332"/>
      <c r="D24" s="332"/>
      <c r="E24" s="332"/>
      <c r="F24" s="332"/>
    </row>
    <row r="25" spans="1:6">
      <c r="A25" s="1310" t="s">
        <v>15</v>
      </c>
      <c r="B25" s="1311">
        <v>1458.7150259067359</v>
      </c>
      <c r="C25" s="332"/>
      <c r="D25" s="332"/>
      <c r="E25" s="332"/>
      <c r="F25" s="332"/>
    </row>
    <row r="26" spans="1:6">
      <c r="A26" s="1310" t="s">
        <v>16</v>
      </c>
      <c r="B26" s="1311">
        <v>293.47500000000002</v>
      </c>
      <c r="C26" s="332"/>
      <c r="D26" s="332"/>
      <c r="E26" s="332"/>
      <c r="F26" s="332"/>
    </row>
    <row r="27" spans="1:6">
      <c r="A27" s="1310" t="s">
        <v>17</v>
      </c>
      <c r="B27" s="1311">
        <v>11.347826086956522</v>
      </c>
      <c r="C27" s="332"/>
      <c r="D27" s="332"/>
      <c r="E27" s="332"/>
      <c r="F27" s="332"/>
    </row>
    <row r="28" spans="1:6" s="43" customFormat="1">
      <c r="A28" s="1312" t="s">
        <v>18</v>
      </c>
      <c r="B28" s="1313">
        <v>399074.19254156592</v>
      </c>
      <c r="C28" s="338"/>
      <c r="D28" s="338"/>
      <c r="E28" s="338"/>
      <c r="F28" s="338"/>
    </row>
    <row r="29" spans="1:6">
      <c r="A29" s="1312" t="s">
        <v>699</v>
      </c>
      <c r="B29" s="1313">
        <v>170.79625292740047</v>
      </c>
      <c r="C29" s="338"/>
      <c r="D29" s="338"/>
      <c r="E29" s="338"/>
      <c r="F29" s="338"/>
    </row>
    <row r="30" spans="1:6">
      <c r="A30" s="1305" t="s">
        <v>700</v>
      </c>
      <c r="B30" s="1314">
        <v>23.291139240506329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4</v>
      </c>
      <c r="F35" s="1311">
        <v>80809.866224074605</v>
      </c>
    </row>
    <row r="36" spans="1:6">
      <c r="A36" s="1310" t="s">
        <v>24</v>
      </c>
      <c r="B36" s="1310" t="s">
        <v>26</v>
      </c>
      <c r="C36" s="1311">
        <v>0</v>
      </c>
      <c r="D36" s="1311">
        <v>0</v>
      </c>
      <c r="E36" s="1311">
        <v>10</v>
      </c>
      <c r="F36" s="1311">
        <v>711994.28468376596</v>
      </c>
    </row>
    <row r="37" spans="1:6">
      <c r="A37" s="1310" t="s">
        <v>24</v>
      </c>
      <c r="B37" s="1310" t="s">
        <v>27</v>
      </c>
      <c r="C37" s="1311">
        <v>0</v>
      </c>
      <c r="D37" s="1311">
        <v>0</v>
      </c>
      <c r="E37" s="1311">
        <v>0</v>
      </c>
      <c r="F37" s="1311">
        <v>0</v>
      </c>
    </row>
    <row r="38" spans="1:6">
      <c r="A38" s="1310" t="s">
        <v>24</v>
      </c>
      <c r="B38" s="1310" t="s">
        <v>28</v>
      </c>
      <c r="C38" s="1311">
        <v>1</v>
      </c>
      <c r="D38" s="1311">
        <v>17531.599894368599</v>
      </c>
      <c r="E38" s="1311">
        <v>0</v>
      </c>
      <c r="F38" s="1311">
        <v>0</v>
      </c>
    </row>
    <row r="39" spans="1:6">
      <c r="A39" s="1310" t="s">
        <v>29</v>
      </c>
      <c r="B39" s="1310" t="s">
        <v>30</v>
      </c>
      <c r="C39" s="1311">
        <v>8043</v>
      </c>
      <c r="D39" s="1311">
        <v>109060757.23251501</v>
      </c>
      <c r="E39" s="1311">
        <v>12868</v>
      </c>
      <c r="F39" s="1311">
        <v>47426736.327888399</v>
      </c>
    </row>
    <row r="40" spans="1:6">
      <c r="A40" s="1310" t="s">
        <v>29</v>
      </c>
      <c r="B40" s="1310" t="s">
        <v>28</v>
      </c>
      <c r="C40" s="1311">
        <v>0</v>
      </c>
      <c r="D40" s="1311">
        <v>0</v>
      </c>
      <c r="E40" s="1311">
        <v>0</v>
      </c>
      <c r="F40" s="1311">
        <v>0</v>
      </c>
    </row>
    <row r="41" spans="1:6">
      <c r="A41" s="1310" t="s">
        <v>31</v>
      </c>
      <c r="B41" s="1310" t="s">
        <v>32</v>
      </c>
      <c r="C41" s="1311">
        <v>182</v>
      </c>
      <c r="D41" s="1311">
        <v>3178420.6058024298</v>
      </c>
      <c r="E41" s="1311">
        <v>428</v>
      </c>
      <c r="F41" s="1311">
        <v>24736521.948395099</v>
      </c>
    </row>
    <row r="42" spans="1:6">
      <c r="A42" s="1310" t="s">
        <v>31</v>
      </c>
      <c r="B42" s="1310" t="s">
        <v>33</v>
      </c>
      <c r="C42" s="1311">
        <v>0</v>
      </c>
      <c r="D42" s="1311">
        <v>0</v>
      </c>
      <c r="E42" s="1311">
        <v>4</v>
      </c>
      <c r="F42" s="1311">
        <v>206319.68170015499</v>
      </c>
    </row>
    <row r="43" spans="1:6">
      <c r="A43" s="1310" t="s">
        <v>31</v>
      </c>
      <c r="B43" s="1310" t="s">
        <v>34</v>
      </c>
      <c r="C43" s="1311">
        <v>0</v>
      </c>
      <c r="D43" s="1311">
        <v>0</v>
      </c>
      <c r="E43" s="1311">
        <v>0</v>
      </c>
      <c r="F43" s="1311">
        <v>0</v>
      </c>
    </row>
    <row r="44" spans="1:6">
      <c r="A44" s="1310" t="s">
        <v>31</v>
      </c>
      <c r="B44" s="1310" t="s">
        <v>35</v>
      </c>
      <c r="C44" s="1311">
        <v>16</v>
      </c>
      <c r="D44" s="1311">
        <v>2450229.6653757701</v>
      </c>
      <c r="E44" s="1311">
        <v>50</v>
      </c>
      <c r="F44" s="1311">
        <v>4432152.9782178598</v>
      </c>
    </row>
    <row r="45" spans="1:6">
      <c r="A45" s="1310" t="s">
        <v>31</v>
      </c>
      <c r="B45" s="1310" t="s">
        <v>36</v>
      </c>
      <c r="C45" s="1311">
        <v>4</v>
      </c>
      <c r="D45" s="1311">
        <v>125812.871031434</v>
      </c>
      <c r="E45" s="1311">
        <v>15</v>
      </c>
      <c r="F45" s="1311">
        <v>3218812.52185146</v>
      </c>
    </row>
    <row r="46" spans="1:6">
      <c r="A46" s="1310" t="s">
        <v>31</v>
      </c>
      <c r="B46" s="1310" t="s">
        <v>37</v>
      </c>
      <c r="C46" s="1311">
        <v>0</v>
      </c>
      <c r="D46" s="1311">
        <v>0</v>
      </c>
      <c r="E46" s="1311">
        <v>0</v>
      </c>
      <c r="F46" s="1311">
        <v>0</v>
      </c>
    </row>
    <row r="47" spans="1:6">
      <c r="A47" s="1310" t="s">
        <v>31</v>
      </c>
      <c r="B47" s="1310" t="s">
        <v>38</v>
      </c>
      <c r="C47" s="1311">
        <v>10</v>
      </c>
      <c r="D47" s="1311">
        <v>499174.905212329</v>
      </c>
      <c r="E47" s="1311">
        <v>17</v>
      </c>
      <c r="F47" s="1311">
        <v>6796610.2835679902</v>
      </c>
    </row>
    <row r="48" spans="1:6">
      <c r="A48" s="1310" t="s">
        <v>31</v>
      </c>
      <c r="B48" s="1310" t="s">
        <v>28</v>
      </c>
      <c r="C48" s="1311">
        <v>1</v>
      </c>
      <c r="D48" s="1311">
        <v>103063.75924621199</v>
      </c>
      <c r="E48" s="1311">
        <v>0</v>
      </c>
      <c r="F48" s="1311">
        <v>0</v>
      </c>
    </row>
    <row r="49" spans="1:6">
      <c r="A49" s="1310" t="s">
        <v>31</v>
      </c>
      <c r="B49" s="1310" t="s">
        <v>39</v>
      </c>
      <c r="C49" s="1311">
        <v>10</v>
      </c>
      <c r="D49" s="1311">
        <v>22898489.8452802</v>
      </c>
      <c r="E49" s="1311">
        <v>19</v>
      </c>
      <c r="F49" s="1311">
        <v>8695695.2492130902</v>
      </c>
    </row>
    <row r="50" spans="1:6">
      <c r="A50" s="1310" t="s">
        <v>31</v>
      </c>
      <c r="B50" s="1310" t="s">
        <v>40</v>
      </c>
      <c r="C50" s="1311">
        <v>25</v>
      </c>
      <c r="D50" s="1311">
        <v>64006995.222848997</v>
      </c>
      <c r="E50" s="1311">
        <v>48</v>
      </c>
      <c r="F50" s="1311">
        <v>39855122.030926898</v>
      </c>
    </row>
    <row r="51" spans="1:6">
      <c r="A51" s="1310" t="s">
        <v>41</v>
      </c>
      <c r="B51" s="1310" t="s">
        <v>42</v>
      </c>
      <c r="C51" s="1311">
        <v>13</v>
      </c>
      <c r="D51" s="1311">
        <v>50702934.961977199</v>
      </c>
      <c r="E51" s="1311">
        <v>199</v>
      </c>
      <c r="F51" s="1311">
        <v>4708541.18250247</v>
      </c>
    </row>
    <row r="52" spans="1:6">
      <c r="A52" s="1310" t="s">
        <v>41</v>
      </c>
      <c r="B52" s="1310" t="s">
        <v>28</v>
      </c>
      <c r="C52" s="1311">
        <v>0</v>
      </c>
      <c r="D52" s="1311">
        <v>0</v>
      </c>
      <c r="E52" s="1311">
        <v>0</v>
      </c>
      <c r="F52" s="1311">
        <v>0</v>
      </c>
    </row>
    <row r="53" spans="1:6">
      <c r="A53" s="1310" t="s">
        <v>43</v>
      </c>
      <c r="B53" s="1310" t="s">
        <v>44</v>
      </c>
      <c r="C53" s="1311">
        <v>224</v>
      </c>
      <c r="D53" s="1311">
        <v>7434784.7970064497</v>
      </c>
      <c r="E53" s="1311">
        <v>520</v>
      </c>
      <c r="F53" s="1311">
        <v>1770556.7990498899</v>
      </c>
    </row>
    <row r="54" spans="1:6">
      <c r="A54" s="1310" t="s">
        <v>45</v>
      </c>
      <c r="B54" s="1310" t="s">
        <v>46</v>
      </c>
      <c r="C54" s="1311">
        <v>0</v>
      </c>
      <c r="D54" s="1311">
        <v>0</v>
      </c>
      <c r="E54" s="1311">
        <v>1</v>
      </c>
      <c r="F54" s="1311">
        <v>2029147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141</v>
      </c>
      <c r="D57" s="1311">
        <v>11648180.7348601</v>
      </c>
      <c r="E57" s="1311">
        <v>241</v>
      </c>
      <c r="F57" s="1311">
        <v>6861511.4667764502</v>
      </c>
    </row>
    <row r="58" spans="1:6">
      <c r="A58" s="1310" t="s">
        <v>48</v>
      </c>
      <c r="B58" s="1310" t="s">
        <v>50</v>
      </c>
      <c r="C58" s="1311">
        <v>95</v>
      </c>
      <c r="D58" s="1311">
        <v>14223041.302977899</v>
      </c>
      <c r="E58" s="1311">
        <v>143</v>
      </c>
      <c r="F58" s="1311">
        <v>7484596.0803229501</v>
      </c>
    </row>
    <row r="59" spans="1:6">
      <c r="A59" s="1310" t="s">
        <v>48</v>
      </c>
      <c r="B59" s="1310" t="s">
        <v>51</v>
      </c>
      <c r="C59" s="1311">
        <v>263</v>
      </c>
      <c r="D59" s="1311">
        <v>11322990.1696453</v>
      </c>
      <c r="E59" s="1311">
        <v>526</v>
      </c>
      <c r="F59" s="1311">
        <v>15222607.141865199</v>
      </c>
    </row>
    <row r="60" spans="1:6">
      <c r="A60" s="1310" t="s">
        <v>48</v>
      </c>
      <c r="B60" s="1310" t="s">
        <v>52</v>
      </c>
      <c r="C60" s="1311">
        <v>110</v>
      </c>
      <c r="D60" s="1311">
        <v>6491321.0004068501</v>
      </c>
      <c r="E60" s="1311">
        <v>189</v>
      </c>
      <c r="F60" s="1311">
        <v>4169028.73992409</v>
      </c>
    </row>
    <row r="61" spans="1:6">
      <c r="A61" s="1310" t="s">
        <v>48</v>
      </c>
      <c r="B61" s="1310" t="s">
        <v>53</v>
      </c>
      <c r="C61" s="1311">
        <v>378</v>
      </c>
      <c r="D61" s="1311">
        <v>119185933.51983801</v>
      </c>
      <c r="E61" s="1311">
        <v>830</v>
      </c>
      <c r="F61" s="1311">
        <v>15624996.0340298</v>
      </c>
    </row>
    <row r="62" spans="1:6">
      <c r="A62" s="1310" t="s">
        <v>48</v>
      </c>
      <c r="B62" s="1310" t="s">
        <v>54</v>
      </c>
      <c r="C62" s="1311">
        <v>33</v>
      </c>
      <c r="D62" s="1311">
        <v>4115938.6185998502</v>
      </c>
      <c r="E62" s="1311">
        <v>41</v>
      </c>
      <c r="F62" s="1311">
        <v>1398906.5780996899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549547.27325101604</v>
      </c>
      <c r="E65" s="1311">
        <v>0</v>
      </c>
      <c r="F65" s="1311">
        <v>0</v>
      </c>
    </row>
    <row r="66" spans="1:6">
      <c r="A66" s="1310" t="s">
        <v>55</v>
      </c>
      <c r="B66" s="1310" t="s">
        <v>57</v>
      </c>
      <c r="C66" s="1311">
        <v>0</v>
      </c>
      <c r="D66" s="1311">
        <v>0</v>
      </c>
      <c r="E66" s="1311">
        <v>23</v>
      </c>
      <c r="F66" s="1311">
        <v>512024.33201087598</v>
      </c>
    </row>
    <row r="67" spans="1:6">
      <c r="A67" s="1312" t="s">
        <v>55</v>
      </c>
      <c r="B67" s="1312" t="s">
        <v>58</v>
      </c>
      <c r="C67" s="1311">
        <v>0</v>
      </c>
      <c r="D67" s="1311">
        <v>0</v>
      </c>
      <c r="E67" s="1311">
        <v>0</v>
      </c>
      <c r="F67" s="1311">
        <v>0</v>
      </c>
    </row>
    <row r="68" spans="1:6">
      <c r="A68" s="1305" t="s">
        <v>55</v>
      </c>
      <c r="B68" s="1305" t="s">
        <v>59</v>
      </c>
      <c r="C68" s="1314">
        <v>10</v>
      </c>
      <c r="D68" s="1314">
        <v>504218.07479602197</v>
      </c>
      <c r="E68" s="1314">
        <v>23</v>
      </c>
      <c r="F68" s="1314">
        <v>1441099.6386438301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131192829</v>
      </c>
      <c r="E73" s="453"/>
      <c r="F73" s="332"/>
    </row>
    <row r="74" spans="1:6">
      <c r="A74" s="1310" t="s">
        <v>63</v>
      </c>
      <c r="B74" s="1310" t="s">
        <v>648</v>
      </c>
      <c r="C74" s="1324" t="s">
        <v>650</v>
      </c>
      <c r="D74" s="1325">
        <v>14875029.257700186</v>
      </c>
      <c r="E74" s="453"/>
      <c r="F74" s="332"/>
    </row>
    <row r="75" spans="1:6">
      <c r="A75" s="1310" t="s">
        <v>64</v>
      </c>
      <c r="B75" s="1310" t="s">
        <v>647</v>
      </c>
      <c r="C75" s="1324" t="s">
        <v>651</v>
      </c>
      <c r="D75" s="1325">
        <v>34247896</v>
      </c>
      <c r="E75" s="453"/>
      <c r="F75" s="332"/>
    </row>
    <row r="76" spans="1:6">
      <c r="A76" s="1310" t="s">
        <v>64</v>
      </c>
      <c r="B76" s="1310" t="s">
        <v>648</v>
      </c>
      <c r="C76" s="1324" t="s">
        <v>652</v>
      </c>
      <c r="D76" s="1325">
        <v>1718331.257700186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564843.48459962802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9346.2690066001942</v>
      </c>
      <c r="C91" s="332"/>
      <c r="D91" s="332"/>
      <c r="E91" s="332"/>
      <c r="F91" s="332"/>
    </row>
    <row r="92" spans="1:6">
      <c r="A92" s="1305" t="s">
        <v>68</v>
      </c>
      <c r="B92" s="1306">
        <v>4894.3407642544389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3409</v>
      </c>
      <c r="C97" s="332"/>
      <c r="D97" s="332"/>
      <c r="E97" s="332"/>
      <c r="F97" s="332"/>
    </row>
    <row r="98" spans="1:6">
      <c r="A98" s="1310" t="s">
        <v>71</v>
      </c>
      <c r="B98" s="1311">
        <v>2</v>
      </c>
      <c r="C98" s="332"/>
      <c r="D98" s="332"/>
      <c r="E98" s="332"/>
      <c r="F98" s="332"/>
    </row>
    <row r="99" spans="1:6">
      <c r="A99" s="1310" t="s">
        <v>72</v>
      </c>
      <c r="B99" s="1311">
        <v>265</v>
      </c>
      <c r="C99" s="332"/>
      <c r="D99" s="332"/>
      <c r="E99" s="332"/>
      <c r="F99" s="332"/>
    </row>
    <row r="100" spans="1:6">
      <c r="A100" s="1310" t="s">
        <v>73</v>
      </c>
      <c r="B100" s="1311">
        <v>1431</v>
      </c>
      <c r="C100" s="332"/>
      <c r="D100" s="332"/>
      <c r="E100" s="332"/>
      <c r="F100" s="332"/>
    </row>
    <row r="101" spans="1:6">
      <c r="A101" s="1310" t="s">
        <v>74</v>
      </c>
      <c r="B101" s="1311">
        <v>184</v>
      </c>
      <c r="C101" s="332"/>
      <c r="D101" s="332"/>
      <c r="E101" s="332"/>
      <c r="F101" s="332"/>
    </row>
    <row r="102" spans="1:6">
      <c r="A102" s="1310" t="s">
        <v>75</v>
      </c>
      <c r="B102" s="1311">
        <v>208</v>
      </c>
      <c r="C102" s="332"/>
      <c r="D102" s="332"/>
      <c r="E102" s="332"/>
      <c r="F102" s="332"/>
    </row>
    <row r="103" spans="1:6">
      <c r="A103" s="1310" t="s">
        <v>76</v>
      </c>
      <c r="B103" s="1311">
        <v>358</v>
      </c>
      <c r="C103" s="332"/>
      <c r="D103" s="332"/>
      <c r="E103" s="332"/>
      <c r="F103" s="332"/>
    </row>
    <row r="104" spans="1:6">
      <c r="A104" s="1310" t="s">
        <v>77</v>
      </c>
      <c r="B104" s="1311">
        <v>4923</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62</v>
      </c>
      <c r="C123" s="1311">
        <v>79</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386</v>
      </c>
      <c r="C129" s="332"/>
      <c r="D129" s="332"/>
      <c r="E129" s="332"/>
      <c r="F129" s="332"/>
    </row>
    <row r="130" spans="1:6">
      <c r="A130" s="1310" t="s">
        <v>294</v>
      </c>
      <c r="B130" s="1311">
        <v>2</v>
      </c>
      <c r="C130" s="332"/>
      <c r="D130" s="332"/>
      <c r="E130" s="332"/>
      <c r="F130" s="332"/>
    </row>
    <row r="131" spans="1:6">
      <c r="A131" s="1310" t="s">
        <v>295</v>
      </c>
      <c r="B131" s="1311">
        <v>6</v>
      </c>
      <c r="C131" s="332"/>
      <c r="D131" s="332"/>
      <c r="E131" s="332"/>
      <c r="F131" s="332"/>
    </row>
    <row r="132" spans="1:6">
      <c r="A132" s="1305" t="s">
        <v>296</v>
      </c>
      <c r="B132" s="1306">
        <v>49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204095.88844126987</v>
      </c>
      <c r="C3" s="43" t="s">
        <v>169</v>
      </c>
      <c r="D3" s="43"/>
      <c r="E3" s="154"/>
      <c r="F3" s="43"/>
      <c r="G3" s="43"/>
      <c r="H3" s="43"/>
      <c r="I3" s="43"/>
      <c r="J3" s="43"/>
      <c r="K3" s="96"/>
    </row>
    <row r="4" spans="1:11">
      <c r="A4" s="360" t="s">
        <v>170</v>
      </c>
      <c r="B4" s="49">
        <f>IF(ISERROR('SEAP template'!B78+'SEAP template'!C78),0,'SEAP template'!B78+'SEAP template'!C78)</f>
        <v>89089.109770854644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11790.264705882353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0.18230040338490525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16843.235294117647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106926.42857142857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0.15752172329281619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2029.1469999999999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2029.1469999999999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0.18230040338490525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369.9143166272703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47426.7363278884</v>
      </c>
      <c r="C5" s="17">
        <f>IF(ISERROR('Eigen informatie GS &amp; warmtenet'!B59),0,'Eigen informatie GS &amp; warmtenet'!B59)</f>
        <v>0</v>
      </c>
      <c r="D5" s="30">
        <f>(SUM(HH_hh_gas_kWh,HH_rest_gas_kWh)/1000)*0.903</f>
        <v>98481.863780961052</v>
      </c>
      <c r="E5" s="17">
        <f>B46*B57</f>
        <v>22118.904012227184</v>
      </c>
      <c r="F5" s="17">
        <f>B51*B62</f>
        <v>15604.861722967235</v>
      </c>
      <c r="G5" s="18"/>
      <c r="H5" s="17"/>
      <c r="I5" s="17"/>
      <c r="J5" s="17">
        <f>B50*B61+C50*C61</f>
        <v>0</v>
      </c>
      <c r="K5" s="17"/>
      <c r="L5" s="17"/>
      <c r="M5" s="17"/>
      <c r="N5" s="17">
        <f>B48*B59+C48*C59</f>
        <v>28786.336310284878</v>
      </c>
      <c r="O5" s="17">
        <f>B69*B70*B71</f>
        <v>922.54057201496983</v>
      </c>
      <c r="P5" s="17">
        <f>B77*B78*B79/1000-B77*B78*B79/1000/B80</f>
        <v>1179.8034424607226</v>
      </c>
    </row>
    <row r="6" spans="1:16">
      <c r="A6" s="16" t="s">
        <v>612</v>
      </c>
      <c r="B6" s="786">
        <f>kWh_PV_kleiner_dan_10kW</f>
        <v>9346.2690066001942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56773.005334488596</v>
      </c>
      <c r="C8" s="21">
        <f>C5</f>
        <v>0</v>
      </c>
      <c r="D8" s="21">
        <f>D5</f>
        <v>98481.863780961052</v>
      </c>
      <c r="E8" s="21">
        <f>E5</f>
        <v>22118.904012227184</v>
      </c>
      <c r="F8" s="21">
        <f>F5</f>
        <v>15604.861722967235</v>
      </c>
      <c r="G8" s="21"/>
      <c r="H8" s="21"/>
      <c r="I8" s="21"/>
      <c r="J8" s="21">
        <f>J5</f>
        <v>0</v>
      </c>
      <c r="K8" s="21"/>
      <c r="L8" s="21">
        <f>L5</f>
        <v>0</v>
      </c>
      <c r="M8" s="21">
        <f>M5</f>
        <v>0</v>
      </c>
      <c r="N8" s="21">
        <f>N5</f>
        <v>28786.336310284878</v>
      </c>
      <c r="O8" s="21">
        <f>O5</f>
        <v>922.54057201496983</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0.18230040338490525</v>
      </c>
      <c r="C10" s="25">
        <f ca="1">'EF ele_warmte'!B22</f>
        <v>0.15752172329281619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10349.741773850648</v>
      </c>
      <c r="C12" s="23">
        <f ca="1">C10*C8</f>
        <v>0</v>
      </c>
      <c r="D12" s="23">
        <f>D8*D10</f>
        <v>19893.336483754134</v>
      </c>
      <c r="E12" s="23">
        <f>E10*E8</f>
        <v>5020.9912107755708</v>
      </c>
      <c r="F12" s="23">
        <f>F10*F8</f>
        <v>4166.4980800322519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3409</v>
      </c>
      <c r="C18" s="166" t="s">
        <v>110</v>
      </c>
      <c r="D18" s="228"/>
      <c r="E18" s="15"/>
    </row>
    <row r="19" spans="1:7">
      <c r="A19" s="171" t="s">
        <v>71</v>
      </c>
      <c r="B19" s="37">
        <f>aantalw2001_ander</f>
        <v>2</v>
      </c>
      <c r="C19" s="166" t="s">
        <v>110</v>
      </c>
      <c r="D19" s="229"/>
      <c r="E19" s="15"/>
    </row>
    <row r="20" spans="1:7">
      <c r="A20" s="171" t="s">
        <v>72</v>
      </c>
      <c r="B20" s="37">
        <f>aantalw2001_propaan</f>
        <v>265</v>
      </c>
      <c r="C20" s="167">
        <f>IF(ISERROR(B20/SUM($B$20,$B$21,$B$22)*100),0,B20/SUM($B$20,$B$21,$B$22)*100)</f>
        <v>14.095744680851062</v>
      </c>
      <c r="D20" s="229"/>
      <c r="E20" s="15"/>
    </row>
    <row r="21" spans="1:7">
      <c r="A21" s="171" t="s">
        <v>73</v>
      </c>
      <c r="B21" s="37">
        <f>aantalw2001_elektriciteit</f>
        <v>1431</v>
      </c>
      <c r="C21" s="167">
        <f>IF(ISERROR(B21/SUM($B$20,$B$21,$B$22)*100),0,B21/SUM($B$20,$B$21,$B$22)*100)</f>
        <v>76.117021276595736</v>
      </c>
      <c r="D21" s="229"/>
      <c r="E21" s="15"/>
    </row>
    <row r="22" spans="1:7">
      <c r="A22" s="171" t="s">
        <v>74</v>
      </c>
      <c r="B22" s="37">
        <f>aantalw2001_hout</f>
        <v>184</v>
      </c>
      <c r="C22" s="167">
        <f>IF(ISERROR(B22/SUM($B$20,$B$21,$B$22)*100),0,B22/SUM($B$20,$B$21,$B$22)*100)</f>
        <v>9.787234042553191</v>
      </c>
      <c r="D22" s="229"/>
      <c r="E22" s="15"/>
    </row>
    <row r="23" spans="1:7">
      <c r="A23" s="171" t="s">
        <v>75</v>
      </c>
      <c r="B23" s="37">
        <f>aantalw2001_niet_gespec</f>
        <v>208</v>
      </c>
      <c r="C23" s="166" t="s">
        <v>110</v>
      </c>
      <c r="D23" s="228"/>
      <c r="E23" s="15"/>
    </row>
    <row r="24" spans="1:7">
      <c r="A24" s="171" t="s">
        <v>76</v>
      </c>
      <c r="B24" s="37">
        <f>aantalw2001_steenkool</f>
        <v>358</v>
      </c>
      <c r="C24" s="166" t="s">
        <v>110</v>
      </c>
      <c r="D24" s="229"/>
      <c r="E24" s="15"/>
    </row>
    <row r="25" spans="1:7">
      <c r="A25" s="171" t="s">
        <v>77</v>
      </c>
      <c r="B25" s="37">
        <f>aantalw2001_stookolie</f>
        <v>4923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13271</v>
      </c>
      <c r="C28" s="36"/>
      <c r="D28" s="228"/>
    </row>
    <row r="29" spans="1:7" s="15" customFormat="1">
      <c r="A29" s="230" t="s">
        <v>839</v>
      </c>
      <c r="B29" s="37">
        <f>SUM(HH_hh_gas_aantal,HH_rest_gas_aantal)</f>
        <v>8043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8043</v>
      </c>
      <c r="C32" s="167">
        <f>IF(ISERROR(B32/SUM($B$32,$B$34,$B$35,$B$36,$B$38,$B$39)*100),0,B32/SUM($B$32,$B$34,$B$35,$B$36,$B$38,$B$39)*100)</f>
        <v>61.121665780074473</v>
      </c>
      <c r="D32" s="233"/>
      <c r="G32" s="15"/>
    </row>
    <row r="33" spans="1:7">
      <c r="A33" s="171" t="s">
        <v>71</v>
      </c>
      <c r="B33" s="34" t="s">
        <v>110</v>
      </c>
      <c r="C33" s="167"/>
      <c r="D33" s="233"/>
      <c r="G33" s="15"/>
    </row>
    <row r="34" spans="1:7">
      <c r="A34" s="171" t="s">
        <v>72</v>
      </c>
      <c r="B34" s="33">
        <f>IF((($B$28-$B$32-$B$39-$B$77-$B$38)*C20/100)&lt;0,0,($B$28-$B$32-$B$39-$B$77-$B$38)*C20/100)</f>
        <v>615.08191489361695</v>
      </c>
      <c r="C34" s="167">
        <f>IF(ISERROR(B34/SUM($B$32,$B$34,$B$35,$B$36,$B$38,$B$39)*100),0,B34/SUM($B$32,$B$34,$B$35,$B$36,$B$38,$B$39)*100)</f>
        <v>4.674229917878387</v>
      </c>
      <c r="D34" s="233"/>
      <c r="G34" s="15"/>
    </row>
    <row r="35" spans="1:7">
      <c r="A35" s="171" t="s">
        <v>73</v>
      </c>
      <c r="B35" s="33">
        <f>IF((($B$28-$B$32-$B$39-$B$77-$B$38)*C21/100)&lt;0,0,($B$28-$B$32-$B$39-$B$77-$B$38)*C21/100)</f>
        <v>3321.4423404255317</v>
      </c>
      <c r="C35" s="167">
        <f>IF(ISERROR(B35/SUM($B$32,$B$34,$B$35,$B$36,$B$38,$B$39)*100),0,B35/SUM($B$32,$B$34,$B$35,$B$36,$B$38,$B$39)*100)</f>
        <v>25.240841556543291</v>
      </c>
      <c r="D35" s="233"/>
      <c r="G35" s="15"/>
    </row>
    <row r="36" spans="1:7">
      <c r="A36" s="171" t="s">
        <v>74</v>
      </c>
      <c r="B36" s="33">
        <f>IF((($B$28-$B$32-$B$39-$B$77-$B$38)*C22/100)&lt;0,0,($B$28-$B$32-$B$39-$B$77-$B$38)*C22/100)</f>
        <v>427.07574468085107</v>
      </c>
      <c r="C36" s="167">
        <f>IF(ISERROR(B36/SUM($B$32,$B$34,$B$35,$B$36,$B$38,$B$39)*100),0,B36/SUM($B$32,$B$34,$B$35,$B$36,$B$38,$B$39)*100)</f>
        <v>3.2455030373193332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752.39999999999964</v>
      </c>
      <c r="C39" s="167">
        <f>IF(ISERROR(B39/SUM($B$32,$B$34,$B$35,$B$36,$B$38,$B$39)*100),0,B39/SUM($B$32,$B$34,$B$35,$B$36,$B$38,$B$39)*100)</f>
        <v>5.7177597081845093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8043</v>
      </c>
      <c r="C44" s="34" t="s">
        <v>110</v>
      </c>
      <c r="D44" s="174"/>
    </row>
    <row r="45" spans="1:7">
      <c r="A45" s="171" t="s">
        <v>71</v>
      </c>
      <c r="B45" s="33" t="str">
        <f t="shared" si="0"/>
        <v>-</v>
      </c>
      <c r="C45" s="34" t="s">
        <v>110</v>
      </c>
      <c r="D45" s="174"/>
    </row>
    <row r="46" spans="1:7">
      <c r="A46" s="171" t="s">
        <v>72</v>
      </c>
      <c r="B46" s="33">
        <f t="shared" si="0"/>
        <v>615.08191489361695</v>
      </c>
      <c r="C46" s="34" t="s">
        <v>110</v>
      </c>
      <c r="D46" s="174"/>
    </row>
    <row r="47" spans="1:7">
      <c r="A47" s="171" t="s">
        <v>73</v>
      </c>
      <c r="B47" s="33">
        <f t="shared" si="0"/>
        <v>3321.4423404255317</v>
      </c>
      <c r="C47" s="34" t="s">
        <v>110</v>
      </c>
      <c r="D47" s="174"/>
    </row>
    <row r="48" spans="1:7">
      <c r="A48" s="171" t="s">
        <v>74</v>
      </c>
      <c r="B48" s="33">
        <f t="shared" si="0"/>
        <v>427.07574468085107</v>
      </c>
      <c r="C48" s="33">
        <f>B48*10</f>
        <v>4270.7574468085104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752.39999999999964</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465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50761.646041018183</v>
      </c>
      <c r="C5" s="17">
        <f>IF(ISERROR('Eigen informatie GS &amp; warmtenet'!B60),0,'Eigen informatie GS &amp; warmtenet'!B60)</f>
        <v>0</v>
      </c>
      <c r="D5" s="30">
        <f>SUM(D6:D12)</f>
        <v>150789.62702773418</v>
      </c>
      <c r="E5" s="17">
        <f>SUM(E6:E12)</f>
        <v>155.51451129315163</v>
      </c>
      <c r="F5" s="17">
        <f>SUM(F6:F12)</f>
        <v>8382.3057516326298</v>
      </c>
      <c r="G5" s="18"/>
      <c r="H5" s="17"/>
      <c r="I5" s="17"/>
      <c r="J5" s="17">
        <f>SUM(J6:J12)</f>
        <v>6.7763052908751883E-2</v>
      </c>
      <c r="K5" s="17"/>
      <c r="L5" s="17"/>
      <c r="M5" s="17"/>
      <c r="N5" s="17">
        <f>SUM(N6:N12)</f>
        <v>2522.7815754835392</v>
      </c>
      <c r="O5" s="17">
        <f>B38*B39*B40</f>
        <v>9.7945215316823084</v>
      </c>
      <c r="P5" s="17">
        <f>B46*B47*B48/1000-B46*B47*B48/1000/B49</f>
        <v>367.77396814546512</v>
      </c>
      <c r="R5" s="32"/>
    </row>
    <row r="6" spans="1:18">
      <c r="A6" s="32" t="s">
        <v>53</v>
      </c>
      <c r="B6" s="37">
        <f>B26</f>
        <v>15624.9960340298</v>
      </c>
      <c r="C6" s="33"/>
      <c r="D6" s="37">
        <f>IF(ISERROR(TER_kantoor_gas_kWh/1000),0,TER_kantoor_gas_kWh/1000)*0.903</f>
        <v>107624.89796841372</v>
      </c>
      <c r="E6" s="33">
        <f>$C$26*'E Balans VL '!I12/100/3.6*1000000</f>
        <v>3.7433776495503661</v>
      </c>
      <c r="F6" s="33">
        <f>$C$26*('E Balans VL '!L12+'E Balans VL '!N12)/100/3.6*1000000</f>
        <v>1481.7000218589428</v>
      </c>
      <c r="G6" s="34"/>
      <c r="H6" s="33"/>
      <c r="I6" s="33"/>
      <c r="J6" s="33">
        <f>$C$26*('E Balans VL '!D12+'E Balans VL '!E12)/100/3.6*1000000</f>
        <v>0</v>
      </c>
      <c r="K6" s="33"/>
      <c r="L6" s="33"/>
      <c r="M6" s="33"/>
      <c r="N6" s="33">
        <f>$C$26*'E Balans VL '!Y12/100/3.6*1000000</f>
        <v>7.9366898027450006</v>
      </c>
      <c r="O6" s="33"/>
      <c r="P6" s="33"/>
      <c r="R6" s="32"/>
    </row>
    <row r="7" spans="1:18">
      <c r="A7" s="32" t="s">
        <v>52</v>
      </c>
      <c r="B7" s="37">
        <f t="shared" ref="B7:B12" si="0">B27</f>
        <v>4169.0287399240897</v>
      </c>
      <c r="C7" s="33"/>
      <c r="D7" s="37">
        <f>IF(ISERROR(TER_horeca_gas_kWh/1000),0,TER_horeca_gas_kWh/1000)*0.903</f>
        <v>5861.6628633673863</v>
      </c>
      <c r="E7" s="33">
        <f>$C$27*'E Balans VL '!I9/100/3.6*1000000</f>
        <v>0</v>
      </c>
      <c r="F7" s="33">
        <f>$C$27*('E Balans VL '!L9+'E Balans VL '!N9)/100/3.6*1000000</f>
        <v>341.85055658253185</v>
      </c>
      <c r="G7" s="34"/>
      <c r="H7" s="33"/>
      <c r="I7" s="33"/>
      <c r="J7" s="33">
        <f>$C$27*('E Balans VL '!D9+'E Balans VL '!E9)/100/3.6*1000000</f>
        <v>0</v>
      </c>
      <c r="K7" s="33"/>
      <c r="L7" s="33"/>
      <c r="M7" s="33"/>
      <c r="N7" s="33">
        <f>$C$27*'E Balans VL '!Y9/100/3.6*1000000</f>
        <v>1.2779748080781641</v>
      </c>
      <c r="O7" s="33"/>
      <c r="P7" s="33"/>
      <c r="R7" s="32"/>
    </row>
    <row r="8" spans="1:18">
      <c r="A8" s="6" t="s">
        <v>51</v>
      </c>
      <c r="B8" s="37">
        <f t="shared" si="0"/>
        <v>15222.607141865199</v>
      </c>
      <c r="C8" s="33"/>
      <c r="D8" s="37">
        <f>IF(ISERROR(TER_handel_gas_kWh/1000),0,TER_handel_gas_kWh/1000)*0.903</f>
        <v>10224.660123189706</v>
      </c>
      <c r="E8" s="33">
        <f>$C$28*'E Balans VL '!I13/100/3.6*1000000</f>
        <v>53.499144140497023</v>
      </c>
      <c r="F8" s="33">
        <f>$C$28*('E Balans VL '!L13+'E Balans VL '!N13)/100/3.6*1000000</f>
        <v>1392.8412162295253</v>
      </c>
      <c r="G8" s="34"/>
      <c r="H8" s="33"/>
      <c r="I8" s="33"/>
      <c r="J8" s="33">
        <f>$C$28*('E Balans VL '!D13+'E Balans VL '!E13)/100/3.6*1000000</f>
        <v>0</v>
      </c>
      <c r="K8" s="33"/>
      <c r="L8" s="33"/>
      <c r="M8" s="33"/>
      <c r="N8" s="33">
        <f>$C$28*'E Balans VL '!Y13/100/3.6*1000000</f>
        <v>5.5129729490195922</v>
      </c>
      <c r="O8" s="33"/>
      <c r="P8" s="33"/>
      <c r="R8" s="32"/>
    </row>
    <row r="9" spans="1:18">
      <c r="A9" s="32" t="s">
        <v>50</v>
      </c>
      <c r="B9" s="37">
        <f t="shared" si="0"/>
        <v>7484.59608032295</v>
      </c>
      <c r="C9" s="33"/>
      <c r="D9" s="37">
        <f>IF(ISERROR(TER_gezond_gas_kWh/1000),0,TER_gezond_gas_kWh/1000)*0.903</f>
        <v>12843.406296589043</v>
      </c>
      <c r="E9" s="33">
        <f>$C$29*'E Balans VL '!I10/100/3.6*1000000</f>
        <v>0</v>
      </c>
      <c r="F9" s="33">
        <f>$C$29*('E Balans VL '!L10+'E Balans VL '!N10)/100/3.6*1000000</f>
        <v>917.47404019687588</v>
      </c>
      <c r="G9" s="34"/>
      <c r="H9" s="33"/>
      <c r="I9" s="33"/>
      <c r="J9" s="33">
        <f>$C$29*('E Balans VL '!D10+'E Balans VL '!E10)/100/3.6*1000000</f>
        <v>0</v>
      </c>
      <c r="K9" s="33"/>
      <c r="L9" s="33"/>
      <c r="M9" s="33"/>
      <c r="N9" s="33">
        <f>$C$29*'E Balans VL '!Y10/100/3.6*1000000</f>
        <v>55.193680415412722</v>
      </c>
      <c r="O9" s="33"/>
      <c r="P9" s="33"/>
      <c r="R9" s="32"/>
    </row>
    <row r="10" spans="1:18">
      <c r="A10" s="32" t="s">
        <v>49</v>
      </c>
      <c r="B10" s="37">
        <f t="shared" si="0"/>
        <v>6861.5114667764501</v>
      </c>
      <c r="C10" s="33"/>
      <c r="D10" s="37">
        <f>IF(ISERROR(TER_ander_gas_kWh/1000),0,TER_ander_gas_kWh/1000)*0.903</f>
        <v>10518.30720357867</v>
      </c>
      <c r="E10" s="33">
        <f>$C$30*'E Balans VL '!I14/100/3.6*1000000</f>
        <v>98.271989503104237</v>
      </c>
      <c r="F10" s="33">
        <f>$C$30*('E Balans VL '!L14+'E Balans VL '!N14)/100/3.6*1000000</f>
        <v>4084.8910790279165</v>
      </c>
      <c r="G10" s="34"/>
      <c r="H10" s="33"/>
      <c r="I10" s="33"/>
      <c r="J10" s="33">
        <f>$C$30*('E Balans VL '!D14+'E Balans VL '!E14)/100/3.6*1000000</f>
        <v>6.7763052908751883E-2</v>
      </c>
      <c r="K10" s="33"/>
      <c r="L10" s="33"/>
      <c r="M10" s="33"/>
      <c r="N10" s="33">
        <f>$C$30*'E Balans VL '!Y14/100/3.6*1000000</f>
        <v>2448.9210972225001</v>
      </c>
      <c r="O10" s="33"/>
      <c r="P10" s="33"/>
      <c r="R10" s="32"/>
    </row>
    <row r="11" spans="1:18">
      <c r="A11" s="32" t="s">
        <v>54</v>
      </c>
      <c r="B11" s="37">
        <f t="shared" si="0"/>
        <v>1398.90657809969</v>
      </c>
      <c r="C11" s="33"/>
      <c r="D11" s="37">
        <f>IF(ISERROR(TER_onderwijs_gas_kWh/1000),0,TER_onderwijs_gas_kWh/1000)*0.903</f>
        <v>3716.6925725956648</v>
      </c>
      <c r="E11" s="33">
        <f>$C$31*'E Balans VL '!I11/100/3.6*1000000</f>
        <v>0</v>
      </c>
      <c r="F11" s="33">
        <f>$C$31*('E Balans VL '!L11+'E Balans VL '!N11)/100/3.6*1000000</f>
        <v>163.54883773683812</v>
      </c>
      <c r="G11" s="34"/>
      <c r="H11" s="33"/>
      <c r="I11" s="33"/>
      <c r="J11" s="33">
        <f>$C$31*('E Balans VL '!D11+'E Balans VL '!E11)/100/3.6*1000000</f>
        <v>0</v>
      </c>
      <c r="K11" s="33"/>
      <c r="L11" s="33"/>
      <c r="M11" s="33"/>
      <c r="N11" s="33">
        <f>$C$31*'E Balans VL '!Y11/100/3.6*1000000</f>
        <v>3.9391602857834886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0</v>
      </c>
      <c r="C13" s="247">
        <f ca="1">'lokale energieproductie'!O41+'lokale energieproductie'!O34</f>
        <v>0</v>
      </c>
      <c r="D13" s="310">
        <f ca="1">('lokale energieproductie'!P34+'lokale energieproductie'!P41)*(-1)</f>
        <v>0</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50761.646041018183</v>
      </c>
      <c r="C16" s="21">
        <f t="shared" ca="1" si="1"/>
        <v>0</v>
      </c>
      <c r="D16" s="21">
        <f t="shared" ca="1" si="1"/>
        <v>150789.62702773418</v>
      </c>
      <c r="E16" s="21">
        <f t="shared" si="1"/>
        <v>155.51451129315163</v>
      </c>
      <c r="F16" s="21">
        <f t="shared" ca="1" si="1"/>
        <v>8382.3057516326298</v>
      </c>
      <c r="G16" s="21">
        <f t="shared" si="1"/>
        <v>0</v>
      </c>
      <c r="H16" s="21">
        <f t="shared" si="1"/>
        <v>0</v>
      </c>
      <c r="I16" s="21">
        <f t="shared" si="1"/>
        <v>0</v>
      </c>
      <c r="J16" s="21">
        <f t="shared" si="1"/>
        <v>6.7763052908751883E-2</v>
      </c>
      <c r="K16" s="21">
        <f t="shared" si="1"/>
        <v>0</v>
      </c>
      <c r="L16" s="21">
        <f t="shared" ca="1" si="1"/>
        <v>0</v>
      </c>
      <c r="M16" s="21">
        <f t="shared" si="1"/>
        <v>0</v>
      </c>
      <c r="N16" s="21">
        <f t="shared" ca="1" si="1"/>
        <v>2522.7815754835392</v>
      </c>
      <c r="O16" s="21">
        <f>O5</f>
        <v>9.7945215316823084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0.18230040338490525</v>
      </c>
      <c r="C18" s="25">
        <f ca="1">'EF ele_warmte'!B22</f>
        <v>0.15752172329281619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9253.8685497593924</v>
      </c>
      <c r="C20" s="23">
        <f t="shared" ref="C20:P20" ca="1" si="2">C16*C18</f>
        <v>0</v>
      </c>
      <c r="D20" s="23">
        <f t="shared" ca="1" si="2"/>
        <v>30459.504659602306</v>
      </c>
      <c r="E20" s="23">
        <f t="shared" si="2"/>
        <v>35.301794063545422</v>
      </c>
      <c r="F20" s="23">
        <f t="shared" ca="1" si="2"/>
        <v>2238.0756356859124</v>
      </c>
      <c r="G20" s="23">
        <f t="shared" si="2"/>
        <v>0</v>
      </c>
      <c r="H20" s="23">
        <f t="shared" si="2"/>
        <v>0</v>
      </c>
      <c r="I20" s="23">
        <f t="shared" si="2"/>
        <v>0</v>
      </c>
      <c r="J20" s="23">
        <f t="shared" si="2"/>
        <v>2.3988120729698165E-2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15624.9960340298</v>
      </c>
      <c r="C26" s="39">
        <f>IF(ISERROR(B26*3.6/1000000/'E Balans VL '!Z12*100),0,B26*3.6/1000000/'E Balans VL '!Z12*100)</f>
        <v>0.44066626524406766</v>
      </c>
      <c r="D26" s="237" t="s">
        <v>702</v>
      </c>
      <c r="F26" s="6"/>
    </row>
    <row r="27" spans="1:18">
      <c r="A27" s="231" t="s">
        <v>52</v>
      </c>
      <c r="B27" s="33">
        <f>IF(ISERROR(TER_horeca_ele_kWh/1000),0,TER_horeca_ele_kWh/1000)</f>
        <v>4169.0287399240897</v>
      </c>
      <c r="C27" s="39">
        <f>IF(ISERROR(B27*3.6/1000000/'E Balans VL '!Z9*100),0,B27*3.6/1000000/'E Balans VL '!Z9*100)</f>
        <v>0.30908226589293736</v>
      </c>
      <c r="D27" s="237" t="s">
        <v>702</v>
      </c>
      <c r="F27" s="6"/>
    </row>
    <row r="28" spans="1:18">
      <c r="A28" s="171" t="s">
        <v>51</v>
      </c>
      <c r="B28" s="33">
        <f>IF(ISERROR(TER_handel_ele_kWh/1000),0,TER_handel_ele_kWh/1000)</f>
        <v>15222.607141865199</v>
      </c>
      <c r="C28" s="39">
        <f>IF(ISERROR(B28*3.6/1000000/'E Balans VL '!Z13*100),0,B28*3.6/1000000/'E Balans VL '!Z13*100)</f>
        <v>0.45603311687050324</v>
      </c>
      <c r="D28" s="237" t="s">
        <v>702</v>
      </c>
      <c r="F28" s="6"/>
    </row>
    <row r="29" spans="1:18">
      <c r="A29" s="231" t="s">
        <v>50</v>
      </c>
      <c r="B29" s="33">
        <f>IF(ISERROR(TER_gezond_ele_kWh/1000),0,TER_gezond_ele_kWh/1000)</f>
        <v>7484.59608032295</v>
      </c>
      <c r="C29" s="39">
        <f>IF(ISERROR(B29*3.6/1000000/'E Balans VL '!Z10*100),0,B29*3.6/1000000/'E Balans VL '!Z10*100)</f>
        <v>0.74007979399563539</v>
      </c>
      <c r="D29" s="237" t="s">
        <v>702</v>
      </c>
      <c r="F29" s="6"/>
    </row>
    <row r="30" spans="1:18">
      <c r="A30" s="231" t="s">
        <v>49</v>
      </c>
      <c r="B30" s="33">
        <f>IF(ISERROR(TER_ander_ele_kWh/1000),0,TER_ander_ele_kWh/1000)</f>
        <v>6861.5114667764501</v>
      </c>
      <c r="C30" s="39">
        <f>IF(ISERROR(B30*3.6/1000000/'E Balans VL '!Z14*100),0,B30*3.6/1000000/'E Balans VL '!Z14*100)</f>
        <v>0.27752786174232852</v>
      </c>
      <c r="D30" s="237" t="s">
        <v>702</v>
      </c>
      <c r="F30" s="6"/>
    </row>
    <row r="31" spans="1:18">
      <c r="A31" s="231" t="s">
        <v>54</v>
      </c>
      <c r="B31" s="33">
        <f>IF(ISERROR(TER_onderwijs_ele_kWh/1000),0,TER_onderwijs_ele_kWh/1000)</f>
        <v>1398.90657809969</v>
      </c>
      <c r="C31" s="39">
        <f>IF(ISERROR(B31*3.6/1000000/'E Balans VL '!Z11*100),0,B31*3.6/1000000/'E Balans VL '!Z11*100)</f>
        <v>0.38434081767402983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87941.234693872568</v>
      </c>
      <c r="C5" s="17">
        <f>IF(ISERROR('Eigen informatie GS &amp; warmtenet'!B61),0,'Eigen informatie GS &amp; warmtenet'!B61)</f>
        <v>0</v>
      </c>
      <c r="D5" s="30">
        <f>SUM(D6:D15)</f>
        <v>84215.754747942017</v>
      </c>
      <c r="E5" s="17">
        <f>SUM(E6:E15)</f>
        <v>202.45169814093103</v>
      </c>
      <c r="F5" s="17">
        <f>SUM(F6:F15)</f>
        <v>16387.853346045675</v>
      </c>
      <c r="G5" s="18"/>
      <c r="H5" s="17"/>
      <c r="I5" s="17"/>
      <c r="J5" s="17">
        <f>SUM(J6:J15)</f>
        <v>4.1167607108373865</v>
      </c>
      <c r="K5" s="17"/>
      <c r="L5" s="17"/>
      <c r="M5" s="17"/>
      <c r="N5" s="17">
        <f>SUM(N6:N15)</f>
        <v>3327.6684478058723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4432.1529782178595</v>
      </c>
      <c r="C8" s="33"/>
      <c r="D8" s="37">
        <f>IF( ISERROR(IND_metaal_Gas_kWH/1000),0,IND_metaal_Gas_kWH/1000)*0.903</f>
        <v>2212.5573878343203</v>
      </c>
      <c r="E8" s="33">
        <f>C30*'E Balans VL '!I18/100/3.6*1000000</f>
        <v>22.347688635237969</v>
      </c>
      <c r="F8" s="33">
        <f>C30*'E Balans VL '!L18/100/3.6*1000000+C30*'E Balans VL '!N18/100/3.6*1000000</f>
        <v>302.81374835940028</v>
      </c>
      <c r="G8" s="34"/>
      <c r="H8" s="33"/>
      <c r="I8" s="33"/>
      <c r="J8" s="40">
        <f>C30*'E Balans VL '!D18/100/3.6*1000000+C30*'E Balans VL '!E18/100/3.6*1000000</f>
        <v>3.9294816827096208</v>
      </c>
      <c r="K8" s="33"/>
      <c r="L8" s="33"/>
      <c r="M8" s="33"/>
      <c r="N8" s="33">
        <f>C30*'E Balans VL '!Y18/100/3.6*1000000</f>
        <v>58.903339383248166</v>
      </c>
      <c r="O8" s="33"/>
      <c r="P8" s="33"/>
      <c r="R8" s="32"/>
    </row>
    <row r="9" spans="1:18">
      <c r="A9" s="6" t="s">
        <v>32</v>
      </c>
      <c r="B9" s="37">
        <f t="shared" si="0"/>
        <v>24736.5219483951</v>
      </c>
      <c r="C9" s="33"/>
      <c r="D9" s="37">
        <f>IF( ISERROR(IND_andere_gas_kWh/1000),0,IND_andere_gas_kWh/1000)*0.903</f>
        <v>2870.1138070395941</v>
      </c>
      <c r="E9" s="33">
        <f>C31*'E Balans VL '!I19/100/3.6*1000000</f>
        <v>77.975363492705753</v>
      </c>
      <c r="F9" s="33">
        <f>C31*'E Balans VL '!L19/100/3.6*1000000+C31*'E Balans VL '!N19/100/3.6*1000000</f>
        <v>15142.658350569678</v>
      </c>
      <c r="G9" s="34"/>
      <c r="H9" s="33"/>
      <c r="I9" s="33"/>
      <c r="J9" s="40">
        <f>C31*'E Balans VL '!D19/100/3.6*1000000+C31*'E Balans VL '!E19/100/3.6*1000000</f>
        <v>0</v>
      </c>
      <c r="K9" s="33"/>
      <c r="L9" s="33"/>
      <c r="M9" s="33"/>
      <c r="N9" s="33">
        <f>C31*'E Balans VL '!Y19/100/3.6*1000000</f>
        <v>1037.2359530617991</v>
      </c>
      <c r="O9" s="33"/>
      <c r="P9" s="33"/>
      <c r="R9" s="32"/>
    </row>
    <row r="10" spans="1:18">
      <c r="A10" s="6" t="s">
        <v>40</v>
      </c>
      <c r="B10" s="37">
        <f t="shared" si="0"/>
        <v>39855.122030926897</v>
      </c>
      <c r="C10" s="33"/>
      <c r="D10" s="37">
        <f>IF( ISERROR(IND_voed_gas_kWh/1000),0,IND_voed_gas_kWh/1000)*0.903</f>
        <v>57798.316686232647</v>
      </c>
      <c r="E10" s="33">
        <f>C32*'E Balans VL '!I20/100/3.6*1000000</f>
        <v>63.517871477061817</v>
      </c>
      <c r="F10" s="33">
        <f>C32*'E Balans VL '!L20/100/3.6*1000000+C32*'E Balans VL '!N20/100/3.6*1000000</f>
        <v>647.54891393630896</v>
      </c>
      <c r="G10" s="34"/>
      <c r="H10" s="33"/>
      <c r="I10" s="33"/>
      <c r="J10" s="40">
        <f>C32*'E Balans VL '!D20/100/3.6*1000000+C32*'E Balans VL '!E20/100/3.6*1000000</f>
        <v>0</v>
      </c>
      <c r="K10" s="33"/>
      <c r="L10" s="33"/>
      <c r="M10" s="33"/>
      <c r="N10" s="33">
        <f>C32*'E Balans VL '!Y20/100/3.6*1000000</f>
        <v>1258.8238050390655</v>
      </c>
      <c r="O10" s="33"/>
      <c r="P10" s="33"/>
      <c r="R10" s="32"/>
    </row>
    <row r="11" spans="1:18">
      <c r="A11" s="6" t="s">
        <v>39</v>
      </c>
      <c r="B11" s="37">
        <f t="shared" si="0"/>
        <v>8695.6952492130895</v>
      </c>
      <c r="C11" s="33"/>
      <c r="D11" s="37">
        <f>IF( ISERROR(IND_textiel_gas_kWh/1000),0,IND_textiel_gas_kWh/1000)*0.903</f>
        <v>20677.336330288021</v>
      </c>
      <c r="E11" s="33">
        <f>C33*'E Balans VL '!I21/100/3.6*1000000</f>
        <v>12.615864854013227</v>
      </c>
      <c r="F11" s="33">
        <f>C33*'E Balans VL '!L21/100/3.6*1000000+C33*'E Balans VL '!N21/100/3.6*1000000</f>
        <v>170.18034316053055</v>
      </c>
      <c r="G11" s="34"/>
      <c r="H11" s="33"/>
      <c r="I11" s="33"/>
      <c r="J11" s="40">
        <f>C33*'E Balans VL '!D21/100/3.6*1000000+C33*'E Balans VL '!E21/100/3.6*1000000</f>
        <v>0</v>
      </c>
      <c r="K11" s="33"/>
      <c r="L11" s="33"/>
      <c r="M11" s="33"/>
      <c r="N11" s="33">
        <f>C33*'E Balans VL '!Y21/100/3.6*1000000</f>
        <v>423.63453728692593</v>
      </c>
      <c r="O11" s="33"/>
      <c r="P11" s="33"/>
      <c r="R11" s="32"/>
    </row>
    <row r="12" spans="1:18">
      <c r="A12" s="6" t="s">
        <v>36</v>
      </c>
      <c r="B12" s="37">
        <f t="shared" si="0"/>
        <v>3218.8125218514601</v>
      </c>
      <c r="C12" s="33"/>
      <c r="D12" s="37">
        <f>IF( ISERROR(IND_min_gas_kWh/1000),0,IND_min_gas_kWh/1000)*0.903</f>
        <v>113.6090225413849</v>
      </c>
      <c r="E12" s="33">
        <f>C34*'E Balans VL '!I22/100/3.6*1000000</f>
        <v>13.928673385776746</v>
      </c>
      <c r="F12" s="33">
        <f>C34*'E Balans VL '!L22/100/3.6*1000000+C34*'E Balans VL '!N22/100/3.6*1000000</f>
        <v>122.89823548092835</v>
      </c>
      <c r="G12" s="34"/>
      <c r="H12" s="33"/>
      <c r="I12" s="33"/>
      <c r="J12" s="40">
        <f>C34*'E Balans VL '!D22/100/3.6*1000000+C34*'E Balans VL '!E22/100/3.6*1000000</f>
        <v>0</v>
      </c>
      <c r="K12" s="33"/>
      <c r="L12" s="33"/>
      <c r="M12" s="33"/>
      <c r="N12" s="33">
        <f>C34*'E Balans VL '!Y22/100/3.6*1000000</f>
        <v>549.05690788574611</v>
      </c>
      <c r="O12" s="33"/>
      <c r="P12" s="33"/>
      <c r="R12" s="32"/>
    </row>
    <row r="13" spans="1:18">
      <c r="A13" s="6" t="s">
        <v>38</v>
      </c>
      <c r="B13" s="37">
        <f t="shared" si="0"/>
        <v>6796.6102835679903</v>
      </c>
      <c r="C13" s="33"/>
      <c r="D13" s="37">
        <f>IF( ISERROR(IND_papier_gas_kWh/1000),0,IND_papier_gas_kWh/1000)*0.903</f>
        <v>450.75493940673311</v>
      </c>
      <c r="E13" s="33">
        <f>C35*'E Balans VL '!I23/100/3.6*1000000</f>
        <v>0</v>
      </c>
      <c r="F13" s="33">
        <f>C35*'E Balans VL '!L23/100/3.6*1000000+C35*'E Balans VL '!N23/100/3.6*1000000</f>
        <v>0.2944607609054411</v>
      </c>
      <c r="G13" s="34"/>
      <c r="H13" s="33"/>
      <c r="I13" s="33"/>
      <c r="J13" s="40">
        <f>C35*'E Balans VL '!D23/100/3.6*1000000+C35*'E Balans VL '!E23/100/3.6*1000000</f>
        <v>0.18727902812776531</v>
      </c>
      <c r="K13" s="33"/>
      <c r="L13" s="33"/>
      <c r="M13" s="33"/>
      <c r="N13" s="33">
        <f>C35*'E Balans VL '!Y23/100/3.6*1000000</f>
        <v>0</v>
      </c>
      <c r="O13" s="33"/>
      <c r="P13" s="33"/>
      <c r="R13" s="32"/>
    </row>
    <row r="14" spans="1:18">
      <c r="A14" s="6" t="s">
        <v>33</v>
      </c>
      <c r="B14" s="37">
        <f t="shared" si="0"/>
        <v>206.319681700155</v>
      </c>
      <c r="C14" s="33"/>
      <c r="D14" s="37">
        <f>IF( ISERROR(IND_chemie_gas_kWh/1000),0,IND_chemie_gas_kWh/1000)*0.903</f>
        <v>0</v>
      </c>
      <c r="E14" s="33">
        <f>C36*'E Balans VL '!I24/100/3.6*1000000</f>
        <v>12.066236296135527</v>
      </c>
      <c r="F14" s="33">
        <f>C36*'E Balans VL '!L24/100/3.6*1000000+C36*'E Balans VL '!N24/100/3.6*1000000</f>
        <v>1.4592937779249642</v>
      </c>
      <c r="G14" s="34"/>
      <c r="H14" s="33"/>
      <c r="I14" s="33"/>
      <c r="J14" s="40">
        <f>C36*'E Balans VL '!D24/100/3.6*1000000+C36*'E Balans VL '!E24/100/3.6*1000000</f>
        <v>0</v>
      </c>
      <c r="K14" s="33"/>
      <c r="L14" s="33"/>
      <c r="M14" s="33"/>
      <c r="N14" s="33">
        <f>C36*'E Balans VL '!Y24/100/3.6*1000000</f>
        <v>1.3905149087374474E-2</v>
      </c>
      <c r="O14" s="33"/>
      <c r="P14" s="33"/>
      <c r="R14" s="32"/>
    </row>
    <row r="15" spans="1:18">
      <c r="A15" s="6" t="s">
        <v>269</v>
      </c>
      <c r="B15" s="37">
        <f t="shared" si="0"/>
        <v>0</v>
      </c>
      <c r="C15" s="33"/>
      <c r="D15" s="37">
        <f>IF( ISERROR(IND_rest_gas_kWh/1000),0,IND_rest_gas_kWh/1000)*0.903</f>
        <v>93.066574599329428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87941.234693872568</v>
      </c>
      <c r="C18" s="21">
        <f>C5+C16</f>
        <v>0</v>
      </c>
      <c r="D18" s="21">
        <f>MAX((D5+D16),0)</f>
        <v>84215.754747942017</v>
      </c>
      <c r="E18" s="21">
        <f>MAX((E5+E16),0)</f>
        <v>202.45169814093103</v>
      </c>
      <c r="F18" s="21">
        <f>MAX((F5+F16),0)</f>
        <v>16387.853346045675</v>
      </c>
      <c r="G18" s="21"/>
      <c r="H18" s="21"/>
      <c r="I18" s="21"/>
      <c r="J18" s="21">
        <f>MAX((J5+J16),0)</f>
        <v>4.1167607108373865</v>
      </c>
      <c r="K18" s="21"/>
      <c r="L18" s="21">
        <f>MAX((L5+L16),0)</f>
        <v>0</v>
      </c>
      <c r="M18" s="21"/>
      <c r="N18" s="21">
        <f>MAX((N5+N16),0)</f>
        <v>3327.6684478058723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0.18230040338490525</v>
      </c>
      <c r="C20" s="25">
        <f ca="1">'EF ele_warmte'!B22</f>
        <v>0.15752172329281619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16031.722558859594</v>
      </c>
      <c r="C22" s="23">
        <f ca="1">C18*C20</f>
        <v>0</v>
      </c>
      <c r="D22" s="23">
        <f>D18*D20</f>
        <v>17011.582459084289</v>
      </c>
      <c r="E22" s="23">
        <f>E18*E20</f>
        <v>45.956535477991345</v>
      </c>
      <c r="F22" s="23">
        <f>F18*F20</f>
        <v>4375.5568433941953</v>
      </c>
      <c r="G22" s="23"/>
      <c r="H22" s="23"/>
      <c r="I22" s="23"/>
      <c r="J22" s="23">
        <f>J18*J20</f>
        <v>1.4573332916364348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4432.1529782178595</v>
      </c>
      <c r="C30" s="39">
        <f>IF(ISERROR(B30*3.6/1000000/'E Balans VL '!Z18*100),0,B30*3.6/1000000/'E Balans VL '!Z18*100)</f>
        <v>0.22000208487954268</v>
      </c>
      <c r="D30" s="237" t="s">
        <v>702</v>
      </c>
    </row>
    <row r="31" spans="1:18">
      <c r="A31" s="6" t="s">
        <v>32</v>
      </c>
      <c r="B31" s="37">
        <f>IF( ISERROR(IND_ander_ele_kWh/1000),0,IND_ander_ele_kWh/1000)</f>
        <v>24736.5219483951</v>
      </c>
      <c r="C31" s="39">
        <f>IF(ISERROR(B31*3.6/1000000/'E Balans VL '!Z19*100),0,B31*3.6/1000000/'E Balans VL '!Z19*100)</f>
        <v>0.83473085797673086</v>
      </c>
      <c r="D31" s="237" t="s">
        <v>702</v>
      </c>
    </row>
    <row r="32" spans="1:18">
      <c r="A32" s="171" t="s">
        <v>40</v>
      </c>
      <c r="B32" s="37">
        <f>IF( ISERROR(IND_voed_ele_kWh/1000),0,IND_voed_ele_kWh/1000)</f>
        <v>39855.122030926897</v>
      </c>
      <c r="C32" s="39">
        <f>IF(ISERROR(B32*3.6/1000000/'E Balans VL '!Z20*100),0,B32*3.6/1000000/'E Balans VL '!Z20*100)</f>
        <v>0.93597016362729835</v>
      </c>
      <c r="D32" s="237" t="s">
        <v>702</v>
      </c>
    </row>
    <row r="33" spans="1:5">
      <c r="A33" s="171" t="s">
        <v>39</v>
      </c>
      <c r="B33" s="37">
        <f>IF( ISERROR(IND_textiel_ele_kWh/1000),0,IND_textiel_ele_kWh/1000)</f>
        <v>8695.6952492130895</v>
      </c>
      <c r="C33" s="39">
        <f>IF(ISERROR(B33*3.6/1000000/'E Balans VL '!Z21*100),0,B33*3.6/1000000/'E Balans VL '!Z21*100)</f>
        <v>0.95434153129749133</v>
      </c>
      <c r="D33" s="237" t="s">
        <v>702</v>
      </c>
    </row>
    <row r="34" spans="1:5">
      <c r="A34" s="171" t="s">
        <v>36</v>
      </c>
      <c r="B34" s="37">
        <f>IF( ISERROR(IND_min_ele_kWh/1000),0,IND_min_ele_kWh/1000)</f>
        <v>3218.8125218514601</v>
      </c>
      <c r="C34" s="39">
        <f>IF(ISERROR(B34*3.6/1000000/'E Balans VL '!Z22*100),0,B34*3.6/1000000/'E Balans VL '!Z22*100)</f>
        <v>0.45665537410198204</v>
      </c>
      <c r="D34" s="237" t="s">
        <v>702</v>
      </c>
    </row>
    <row r="35" spans="1:5">
      <c r="A35" s="171" t="s">
        <v>38</v>
      </c>
      <c r="B35" s="37">
        <f>IF( ISERROR(IND_papier_ele_kWh/1000),0,IND_papier_ele_kWh/1000)</f>
        <v>6796.6102835679903</v>
      </c>
      <c r="C35" s="39">
        <f>IF(ISERROR(B35*3.6/1000000/'E Balans VL '!Z22*100),0,B35*3.6/1000000/'E Balans VL '!Z22*100)</f>
        <v>0.96424025649150469</v>
      </c>
      <c r="D35" s="237" t="s">
        <v>702</v>
      </c>
    </row>
    <row r="36" spans="1:5">
      <c r="A36" s="171" t="s">
        <v>33</v>
      </c>
      <c r="B36" s="37">
        <f>IF( ISERROR(IND_chemie_ele_kWh/1000),0,IND_chemie_ele_kWh/1000)</f>
        <v>206.319681700155</v>
      </c>
      <c r="C36" s="39">
        <f>IF(ISERROR(B36*3.6/1000000/'E Balans VL '!Z24*100),0,B36*3.6/1000000/'E Balans VL '!Z24*100)</f>
        <v>1.8840247163924625E-3</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4708.5411825024703</v>
      </c>
      <c r="C5" s="17">
        <f>'Eigen informatie GS &amp; warmtenet'!B62</f>
        <v>0</v>
      </c>
      <c r="D5" s="30">
        <f>IF(ISERROR(SUM(LB_lb_gas_kWh,LB_rest_gas_kWh)/1000),0,SUM(LB_lb_gas_kWh,LB_rest_gas_kWh)/1000)*0.903</f>
        <v>45784.750270665412</v>
      </c>
      <c r="E5" s="17">
        <f>B17*'E Balans VL '!I25/3.6*1000000/100</f>
        <v>175.59590309558791</v>
      </c>
      <c r="F5" s="17">
        <f>B17*('E Balans VL '!L25/3.6*1000000+'E Balans VL '!N25/3.6*1000000)/100</f>
        <v>15276.32704797013</v>
      </c>
      <c r="G5" s="18"/>
      <c r="H5" s="17"/>
      <c r="I5" s="17"/>
      <c r="J5" s="17">
        <f>('E Balans VL '!D25+'E Balans VL '!E25)/3.6*1000000*landbouw!B17/100</f>
        <v>1236.015306037451</v>
      </c>
      <c r="K5" s="17"/>
      <c r="L5" s="17">
        <f>L6*(-1)</f>
        <v>0</v>
      </c>
      <c r="M5" s="17"/>
      <c r="N5" s="17">
        <f>N6*(-1)</f>
        <v>72102.857142857145</v>
      </c>
      <c r="O5" s="17"/>
      <c r="P5" s="17"/>
      <c r="R5" s="32"/>
    </row>
    <row r="6" spans="1:18">
      <c r="A6" s="16" t="s">
        <v>479</v>
      </c>
      <c r="B6" s="17" t="s">
        <v>210</v>
      </c>
      <c r="C6" s="17">
        <f>'lokale energieproductie'!O42+'lokale energieproductie'!O35</f>
        <v>106926.42857142857</v>
      </c>
      <c r="D6" s="310">
        <f>('lokale energieproductie'!P35+'lokale energieproductie'!P42)*(-1)</f>
        <v>-141750</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4708.5411825024703</v>
      </c>
      <c r="C8" s="21">
        <f>C5+C6</f>
        <v>106926.42857142857</v>
      </c>
      <c r="D8" s="21">
        <f>MAX((D5+D6),0)</f>
        <v>0</v>
      </c>
      <c r="E8" s="21">
        <f>MAX((E5+E6),0)</f>
        <v>175.59590309558791</v>
      </c>
      <c r="F8" s="21">
        <f>MAX((F5+F6),0)</f>
        <v>15276.32704797013</v>
      </c>
      <c r="G8" s="21"/>
      <c r="H8" s="21"/>
      <c r="I8" s="21"/>
      <c r="J8" s="21">
        <f>MAX((J5+J6),0)</f>
        <v>1236.015306037451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0.18230040338490525</v>
      </c>
      <c r="C10" s="31">
        <f ca="1">'EF ele_warmte'!B22</f>
        <v>0.15752172329281619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858.36895692463906</v>
      </c>
      <c r="C12" s="23">
        <f ca="1">C8*C10</f>
        <v>16843.235294117647</v>
      </c>
      <c r="D12" s="23">
        <f>D8*D10</f>
        <v>0</v>
      </c>
      <c r="E12" s="23">
        <f>E8*E10</f>
        <v>39.860270002698456</v>
      </c>
      <c r="F12" s="23">
        <f>F8*F10</f>
        <v>4078.7793218080246</v>
      </c>
      <c r="G12" s="23"/>
      <c r="H12" s="23"/>
      <c r="I12" s="23"/>
      <c r="J12" s="23">
        <f>J8*J10</f>
        <v>437.54941833725763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0.64670584439207746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880.69974310337545</v>
      </c>
      <c r="C26" s="247">
        <f>B26*'GWP N2O_CH4'!B5</f>
        <v>18494.694605170884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327.11422332121521</v>
      </c>
      <c r="C27" s="247">
        <f>B27*'GWP N2O_CH4'!B5</f>
        <v>6869.3986897455197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11.323860198578831</v>
      </c>
      <c r="C28" s="247">
        <f>B28*'GWP N2O_CH4'!B4</f>
        <v>3510.3966615594377</v>
      </c>
      <c r="D28" s="50"/>
    </row>
    <row r="29" spans="1:4">
      <c r="A29" s="41" t="s">
        <v>276</v>
      </c>
      <c r="B29" s="247">
        <f>B34*'ha_N2O bodem landbouw'!B4</f>
        <v>29.90293049341216</v>
      </c>
      <c r="C29" s="247">
        <f>B29*'GWP N2O_CH4'!B4</f>
        <v>9269.9084529577704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6.8149632565926667E-3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4.0232660521740126E-4</v>
      </c>
      <c r="C5" s="440" t="s">
        <v>210</v>
      </c>
      <c r="D5" s="425">
        <f>SUM(D6:D11)</f>
        <v>1.6621581851194566E-3</v>
      </c>
      <c r="E5" s="425">
        <f>SUM(E6:E11)</f>
        <v>8.8955902404728592E-4</v>
      </c>
      <c r="F5" s="438" t="s">
        <v>210</v>
      </c>
      <c r="G5" s="425">
        <f>SUM(G6:G11)</f>
        <v>0.43302381214115715</v>
      </c>
      <c r="H5" s="425">
        <f>SUM(H6:H11)</f>
        <v>0.10589527316885447</v>
      </c>
      <c r="I5" s="440" t="s">
        <v>210</v>
      </c>
      <c r="J5" s="440" t="s">
        <v>210</v>
      </c>
      <c r="K5" s="440" t="s">
        <v>210</v>
      </c>
      <c r="L5" s="440" t="s">
        <v>210</v>
      </c>
      <c r="M5" s="425">
        <f>SUM(M6:M11)</f>
        <v>3.174130545457108E-2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3.1904094666193605E-4</v>
      </c>
      <c r="C6" s="426"/>
      <c r="D6" s="893">
        <f>vkm_GW_PW*SUMIFS(TableVerdeelsleutelVkm[CNG],TableVerdeelsleutelVkm[Voertuigtype],"Lichte voertuigen")*SUMIFS(TableECFTransport[EnergieConsumptieFactor (PJ per km)],TableECFTransport[Index],CONCATENATE($A6,"_CNG_CNG"))</f>
        <v>1.1522785376574067E-3</v>
      </c>
      <c r="E6" s="893">
        <f>vkm_GW_PW*SUMIFS(TableVerdeelsleutelVkm[LPG],TableVerdeelsleutelVkm[Voertuigtype],"Lichte voertuigen")*SUMIFS(TableECFTransport[EnergieConsumptieFactor (PJ per km)],TableECFTransport[Index],CONCATENATE($A6,"_LPG_LPG"))</f>
        <v>6.2623380774985856E-4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0.19488010253090032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7.375429398788888E-2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1.6099216255702098E-2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0.1420982446346272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1.4959453880078948E-6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8.0003537469435192E-3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8.3285658555465206E-5</v>
      </c>
      <c r="C8" s="426"/>
      <c r="D8" s="428">
        <f>vkm_NGW_PW*SUMIFS(TableVerdeelsleutelVkm[CNG],TableVerdeelsleutelVkm[Voertuigtype],"Lichte voertuigen")*SUMIFS(TableECFTransport[EnergieConsumptieFactor (PJ per km)],TableECFTransport[Index],CONCATENATE($A8,"_CNG_CNG"))</f>
        <v>5.0987964746204988E-4</v>
      </c>
      <c r="E8" s="428">
        <f>vkm_NGW_PW*SUMIFS(TableVerdeelsleutelVkm[LPG],TableVerdeelsleutelVkm[Voertuigtype],"Lichte voertuigen")*SUMIFS(TableECFTransport[EnergieConsumptieFactor (PJ per km)],TableECFTransport[Index],CONCATENATE($A8,"_LPG_LPG"))</f>
        <v>2.6332521629742736E-4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7.6259047630997986E-2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3.2139180685615922E-2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6.5277226112144347E-3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1.9786417344631598E-2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3.025499616713655E-7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1.1140128407110255E-3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111.75739033816701</v>
      </c>
      <c r="C14" s="21"/>
      <c r="D14" s="21">
        <f t="shared" ref="D14:M14" si="0">((D5)*10^9/3600)+D12</f>
        <v>461.71060697762681</v>
      </c>
      <c r="E14" s="21">
        <f t="shared" si="0"/>
        <v>247.09972890202386</v>
      </c>
      <c r="F14" s="21"/>
      <c r="G14" s="21">
        <f t="shared" si="0"/>
        <v>120284.39226143254</v>
      </c>
      <c r="H14" s="21">
        <f t="shared" si="0"/>
        <v>29415.35365801513</v>
      </c>
      <c r="I14" s="21"/>
      <c r="J14" s="21"/>
      <c r="K14" s="21"/>
      <c r="L14" s="21"/>
      <c r="M14" s="21">
        <f t="shared" si="0"/>
        <v>8817.0292929364114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0.18230040338490525</v>
      </c>
      <c r="C16" s="56">
        <f ca="1">'EF ele_warmte'!B22</f>
        <v>0.15752172329281619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20.373417339892157</v>
      </c>
      <c r="C18" s="23"/>
      <c r="D18" s="23">
        <f t="shared" ref="D18:M18" si="1">D14*D16</f>
        <v>93.265542609480619</v>
      </c>
      <c r="E18" s="23">
        <f t="shared" si="1"/>
        <v>56.09163846075942</v>
      </c>
      <c r="F18" s="23"/>
      <c r="G18" s="23">
        <f t="shared" si="1"/>
        <v>32115.932733802492</v>
      </c>
      <c r="H18" s="23">
        <f t="shared" si="1"/>
        <v>7324.4230608457674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6.9536386406512645E-3</v>
      </c>
      <c r="H50" s="321">
        <f t="shared" si="2"/>
        <v>0</v>
      </c>
      <c r="I50" s="321">
        <f t="shared" si="2"/>
        <v>0</v>
      </c>
      <c r="J50" s="321">
        <f t="shared" si="2"/>
        <v>0</v>
      </c>
      <c r="K50" s="321">
        <f t="shared" si="2"/>
        <v>0</v>
      </c>
      <c r="L50" s="321">
        <f t="shared" si="2"/>
        <v>0</v>
      </c>
      <c r="M50" s="321">
        <f t="shared" si="2"/>
        <v>3.7734403770497271E-4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6.9536386406512645E-3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3.7734403770497271E-4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1931.5662890697956</v>
      </c>
      <c r="H54" s="21">
        <f t="shared" si="3"/>
        <v>0</v>
      </c>
      <c r="I54" s="21">
        <f t="shared" si="3"/>
        <v>0</v>
      </c>
      <c r="J54" s="21">
        <f t="shared" si="3"/>
        <v>0</v>
      </c>
      <c r="K54" s="21">
        <f t="shared" si="3"/>
        <v>0</v>
      </c>
      <c r="L54" s="21">
        <f t="shared" si="3"/>
        <v>0</v>
      </c>
      <c r="M54" s="21">
        <f t="shared" si="3"/>
        <v>104.81778825138132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0.18230040338490525</v>
      </c>
      <c r="C56" s="56">
        <f ca="1">'EF ele_warmte'!B22</f>
        <v>0.15752172329281619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515.72819918163543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14240.609770854633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74848.5</v>
      </c>
      <c r="C8" s="551">
        <f>B51</f>
        <v>58367.647058823524</v>
      </c>
      <c r="D8" s="552"/>
      <c r="E8" s="552">
        <f>E51</f>
        <v>0</v>
      </c>
      <c r="F8" s="553"/>
      <c r="G8" s="554"/>
      <c r="H8" s="552">
        <f>I51</f>
        <v>0</v>
      </c>
      <c r="I8" s="552">
        <f>G51+F51</f>
        <v>0</v>
      </c>
      <c r="J8" s="552">
        <f>H51+D51+C51</f>
        <v>29689.411764705881</v>
      </c>
      <c r="K8" s="552"/>
      <c r="L8" s="552"/>
      <c r="M8" s="552"/>
      <c r="N8" s="555"/>
      <c r="O8" s="556">
        <f>C8*$C$12+D8*$D$12+E8*$E$12+F8*$F$12+G8*$G$12+H8*$H$12+I8*$I$12+J8*$J$12</f>
        <v>11790.264705882353</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89089.109770854629</v>
      </c>
      <c r="C10" s="566">
        <f t="shared" ref="C10:L10" si="0">SUM(C8:C9)</f>
        <v>58367.647058823524</v>
      </c>
      <c r="D10" s="566">
        <f t="shared" si="0"/>
        <v>0</v>
      </c>
      <c r="E10" s="566">
        <f t="shared" si="0"/>
        <v>0</v>
      </c>
      <c r="F10" s="566">
        <f t="shared" si="0"/>
        <v>0</v>
      </c>
      <c r="G10" s="566">
        <f t="shared" si="0"/>
        <v>0</v>
      </c>
      <c r="H10" s="566">
        <f t="shared" si="0"/>
        <v>0</v>
      </c>
      <c r="I10" s="566">
        <f t="shared" si="0"/>
        <v>0</v>
      </c>
      <c r="J10" s="566">
        <f t="shared" si="0"/>
        <v>29689.411764705881</v>
      </c>
      <c r="K10" s="566">
        <f t="shared" si="0"/>
        <v>0</v>
      </c>
      <c r="L10" s="566">
        <f t="shared" si="0"/>
        <v>0</v>
      </c>
      <c r="M10" s="969"/>
      <c r="N10" s="969"/>
      <c r="O10" s="567">
        <f>SUM(O4:O9)</f>
        <v>11790.264705882353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106926.42857142857</v>
      </c>
      <c r="C17" s="582">
        <f>B52</f>
        <v>83382.352941176461</v>
      </c>
      <c r="D17" s="583"/>
      <c r="E17" s="583">
        <f>E52</f>
        <v>0</v>
      </c>
      <c r="F17" s="584"/>
      <c r="G17" s="585"/>
      <c r="H17" s="582">
        <f>I52</f>
        <v>0</v>
      </c>
      <c r="I17" s="583">
        <f>G52+F52</f>
        <v>0</v>
      </c>
      <c r="J17" s="583">
        <f>H52+D52+C52</f>
        <v>42413.445378151257</v>
      </c>
      <c r="K17" s="583"/>
      <c r="L17" s="583"/>
      <c r="M17" s="583"/>
      <c r="N17" s="970"/>
      <c r="O17" s="586">
        <f>C17*$C$22+E17*$E$22+H17*$H$22+I17*$I$22+J17*$J$22+D17*$D$22+F17*$F$22+G17*$G$22+K17*$K$22+L17*$L$22</f>
        <v>16843.235294117647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106926.42857142857</v>
      </c>
      <c r="C20" s="565">
        <f>SUM(C17:C19)</f>
        <v>83382.352941176461</v>
      </c>
      <c r="D20" s="565">
        <f t="shared" ref="D20:L20" si="1">SUM(D17:D19)</f>
        <v>0</v>
      </c>
      <c r="E20" s="565">
        <f t="shared" si="1"/>
        <v>0</v>
      </c>
      <c r="F20" s="565">
        <f t="shared" si="1"/>
        <v>0</v>
      </c>
      <c r="G20" s="565">
        <f t="shared" si="1"/>
        <v>0</v>
      </c>
      <c r="H20" s="565">
        <f t="shared" si="1"/>
        <v>0</v>
      </c>
      <c r="I20" s="565">
        <f t="shared" si="1"/>
        <v>0</v>
      </c>
      <c r="J20" s="565">
        <f t="shared" si="1"/>
        <v>42413.445378151257</v>
      </c>
      <c r="K20" s="565">
        <f t="shared" si="1"/>
        <v>0</v>
      </c>
      <c r="L20" s="565">
        <f t="shared" si="1"/>
        <v>0</v>
      </c>
      <c r="M20" s="565"/>
      <c r="N20" s="565"/>
      <c r="O20" s="591">
        <f>SUM(O17:O19)</f>
        <v>16843.235294117647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44011</v>
      </c>
      <c r="C28" s="794">
        <v>9800</v>
      </c>
      <c r="D28" s="643" t="s">
        <v>865</v>
      </c>
      <c r="E28" s="642" t="s">
        <v>866</v>
      </c>
      <c r="F28" s="642" t="s">
        <v>867</v>
      </c>
      <c r="G28" s="642" t="s">
        <v>868</v>
      </c>
      <c r="H28" s="642" t="s">
        <v>869</v>
      </c>
      <c r="I28" s="642" t="s">
        <v>866</v>
      </c>
      <c r="J28" s="793">
        <v>39860</v>
      </c>
      <c r="K28" s="793">
        <v>39875</v>
      </c>
      <c r="L28" s="642" t="s">
        <v>870</v>
      </c>
      <c r="M28" s="642">
        <v>2000</v>
      </c>
      <c r="N28" s="642">
        <v>9000</v>
      </c>
      <c r="O28" s="642">
        <v>12857.142857142857</v>
      </c>
      <c r="P28" s="642">
        <v>25714.285714285717</v>
      </c>
      <c r="Q28" s="642">
        <v>0</v>
      </c>
      <c r="R28" s="642">
        <v>0</v>
      </c>
      <c r="S28" s="642">
        <v>0</v>
      </c>
      <c r="T28" s="642">
        <v>0</v>
      </c>
      <c r="U28" s="642">
        <v>0</v>
      </c>
      <c r="V28" s="642">
        <v>0</v>
      </c>
      <c r="W28" s="642">
        <v>0</v>
      </c>
      <c r="X28" s="642">
        <v>10</v>
      </c>
      <c r="Y28" s="642" t="s">
        <v>111</v>
      </c>
      <c r="Z28" s="644" t="s">
        <v>111</v>
      </c>
    </row>
    <row r="29" spans="1:26" s="596" customFormat="1" ht="38.25">
      <c r="A29" s="595"/>
      <c r="B29" s="794">
        <v>44011</v>
      </c>
      <c r="C29" s="794">
        <v>9800</v>
      </c>
      <c r="D29" s="643" t="s">
        <v>871</v>
      </c>
      <c r="E29" s="642" t="s">
        <v>872</v>
      </c>
      <c r="F29" s="642" t="s">
        <v>873</v>
      </c>
      <c r="G29" s="642" t="s">
        <v>874</v>
      </c>
      <c r="H29" s="642" t="s">
        <v>869</v>
      </c>
      <c r="I29" s="642" t="s">
        <v>872</v>
      </c>
      <c r="J29" s="793">
        <v>40718</v>
      </c>
      <c r="K29" s="793">
        <v>40718</v>
      </c>
      <c r="L29" s="642" t="s">
        <v>870</v>
      </c>
      <c r="M29" s="642">
        <v>5608</v>
      </c>
      <c r="N29" s="642">
        <v>25236</v>
      </c>
      <c r="O29" s="642">
        <v>36051.428571428572</v>
      </c>
      <c r="P29" s="642">
        <v>0</v>
      </c>
      <c r="Q29" s="642">
        <v>0</v>
      </c>
      <c r="R29" s="642">
        <v>0</v>
      </c>
      <c r="S29" s="642">
        <v>0</v>
      </c>
      <c r="T29" s="642">
        <v>0</v>
      </c>
      <c r="U29" s="642">
        <v>0</v>
      </c>
      <c r="V29" s="642">
        <v>72102.857142857145</v>
      </c>
      <c r="W29" s="642">
        <v>0</v>
      </c>
      <c r="X29" s="642">
        <v>10</v>
      </c>
      <c r="Y29" s="642" t="s">
        <v>111</v>
      </c>
      <c r="Z29" s="644" t="s">
        <v>111</v>
      </c>
    </row>
    <row r="30" spans="1:26" s="596" customFormat="1" ht="38.25">
      <c r="A30" s="595"/>
      <c r="B30" s="794">
        <v>44011</v>
      </c>
      <c r="C30" s="794">
        <v>9800</v>
      </c>
      <c r="D30" s="643" t="s">
        <v>875</v>
      </c>
      <c r="E30" s="642" t="s">
        <v>876</v>
      </c>
      <c r="F30" s="642" t="s">
        <v>877</v>
      </c>
      <c r="G30" s="642" t="s">
        <v>868</v>
      </c>
      <c r="H30" s="642" t="s">
        <v>869</v>
      </c>
      <c r="I30" s="642" t="s">
        <v>878</v>
      </c>
      <c r="J30" s="793">
        <v>41320</v>
      </c>
      <c r="K30" s="793">
        <v>41320</v>
      </c>
      <c r="L30" s="642" t="s">
        <v>870</v>
      </c>
      <c r="M30" s="642">
        <v>7525</v>
      </c>
      <c r="N30" s="642">
        <v>33862.5</v>
      </c>
      <c r="O30" s="642">
        <v>48375</v>
      </c>
      <c r="P30" s="642">
        <v>96750</v>
      </c>
      <c r="Q30" s="642">
        <v>0</v>
      </c>
      <c r="R30" s="642">
        <v>0</v>
      </c>
      <c r="S30" s="642">
        <v>0</v>
      </c>
      <c r="T30" s="642">
        <v>0</v>
      </c>
      <c r="U30" s="642">
        <v>0</v>
      </c>
      <c r="V30" s="642">
        <v>0</v>
      </c>
      <c r="W30" s="642">
        <v>0</v>
      </c>
      <c r="X30" s="642">
        <v>10</v>
      </c>
      <c r="Y30" s="642" t="s">
        <v>111</v>
      </c>
      <c r="Z30" s="644" t="s">
        <v>111</v>
      </c>
    </row>
    <row r="31" spans="1:26" s="596" customFormat="1" ht="25.5">
      <c r="A31" s="595"/>
      <c r="B31" s="794">
        <v>44011</v>
      </c>
      <c r="C31" s="794">
        <v>9800</v>
      </c>
      <c r="D31" s="643" t="s">
        <v>879</v>
      </c>
      <c r="E31" s="642"/>
      <c r="F31" s="642" t="s">
        <v>880</v>
      </c>
      <c r="G31" s="642" t="s">
        <v>881</v>
      </c>
      <c r="H31" s="642" t="s">
        <v>869</v>
      </c>
      <c r="I31" s="642" t="s">
        <v>882</v>
      </c>
      <c r="J31" s="793">
        <v>42776</v>
      </c>
      <c r="K31" s="793">
        <v>42779</v>
      </c>
      <c r="L31" s="642" t="s">
        <v>883</v>
      </c>
      <c r="M31" s="642">
        <v>1500</v>
      </c>
      <c r="N31" s="642">
        <v>6750</v>
      </c>
      <c r="O31" s="642">
        <v>9642.8571428571431</v>
      </c>
      <c r="P31" s="642">
        <v>19285.714285714286</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16633</v>
      </c>
      <c r="N32" s="600">
        <f>SUM(N28:N31)</f>
        <v>74848.5</v>
      </c>
      <c r="O32" s="600">
        <f>SUM(O28:O31)</f>
        <v>106926.42857142857</v>
      </c>
      <c r="P32" s="600">
        <f>SUM(P28:P31)</f>
        <v>141750</v>
      </c>
      <c r="Q32" s="600">
        <f>SUM(Q28:Q31)</f>
        <v>0</v>
      </c>
      <c r="R32" s="600">
        <f>SUM(R28:R31)</f>
        <v>0</v>
      </c>
      <c r="S32" s="600">
        <f>SUM(S28:S31)</f>
        <v>0</v>
      </c>
      <c r="T32" s="600">
        <f>SUM(T28:T31)</f>
        <v>0</v>
      </c>
      <c r="U32" s="600">
        <f>SUM(U28:U31)</f>
        <v>0</v>
      </c>
      <c r="V32" s="600">
        <f>SUM(V28:V31)</f>
        <v>72102.857142857145</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0</v>
      </c>
      <c r="N34" s="600">
        <f ca="1">SUMIF($Z$28:AD31,"tertiair",N28:N31)</f>
        <v>0</v>
      </c>
      <c r="O34" s="600">
        <f ca="1">SUMIF($Z$28:AE31,"tertiair",O28:O31)</f>
        <v>0</v>
      </c>
      <c r="P34" s="600">
        <f ca="1">SUMIF($Z$28:AF31,"tertiair",P28:P31)</f>
        <v>0</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16633</v>
      </c>
      <c r="N35" s="605">
        <f>SUMIF($Z$28:$Z$31,"landbouw",N28:N31)</f>
        <v>74848.5</v>
      </c>
      <c r="O35" s="605">
        <f>SUMIF($Z$28:$Z$31,"landbouw",O28:O31)</f>
        <v>106926.42857142857</v>
      </c>
      <c r="P35" s="605">
        <f>SUMIF($Z$28:$Z$31,"landbouw",P28:P31)</f>
        <v>141750</v>
      </c>
      <c r="Q35" s="605">
        <f>SUMIF($Z$28:$Z$31,"landbouw",Q28:Q31)</f>
        <v>0</v>
      </c>
      <c r="R35" s="605">
        <f>SUMIF($Z$28:$Z$31,"landbouw",R28:R31)</f>
        <v>0</v>
      </c>
      <c r="S35" s="605">
        <f>SUMIF($Z$28:$Z$31,"landbouw",S28:S31)</f>
        <v>0</v>
      </c>
      <c r="T35" s="605">
        <f>SUMIF($Z$28:$Z$31,"landbouw",T28:T31)</f>
        <v>0</v>
      </c>
      <c r="U35" s="605">
        <f>SUMIF($Z$28:$Z$31,"landbouw",U28:U31)</f>
        <v>0</v>
      </c>
      <c r="V35" s="605">
        <f>SUMIF($Z$28:$Z$31,"landbouw",V28:V31)</f>
        <v>72102.857142857145</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0.58823529411764697</v>
      </c>
      <c r="C48" s="625">
        <f>IF(ISERROR(N32/(O32+N32)),0,N32/(N32+O32))</f>
        <v>0.41176470588235292</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58367.647058823524</v>
      </c>
      <c r="C51" s="634">
        <f t="shared" si="2"/>
        <v>0</v>
      </c>
      <c r="D51" s="634">
        <f t="shared" si="2"/>
        <v>0</v>
      </c>
      <c r="E51" s="634">
        <f t="shared" si="2"/>
        <v>0</v>
      </c>
      <c r="F51" s="634">
        <f t="shared" si="2"/>
        <v>0</v>
      </c>
      <c r="G51" s="634">
        <f t="shared" si="2"/>
        <v>0</v>
      </c>
      <c r="H51" s="634">
        <f t="shared" si="2"/>
        <v>29689.411764705881</v>
      </c>
      <c r="I51" s="635">
        <f t="shared" si="2"/>
        <v>0</v>
      </c>
      <c r="J51" s="592"/>
      <c r="K51" s="592"/>
      <c r="L51" s="630"/>
      <c r="M51" s="630"/>
      <c r="N51" s="630"/>
      <c r="O51" s="617"/>
      <c r="P51" s="617"/>
    </row>
    <row r="52" spans="1:16" ht="15.75" thickBot="1">
      <c r="A52" s="636" t="s">
        <v>285</v>
      </c>
      <c r="B52" s="637">
        <f t="shared" ref="B52:I52" si="3">$B$48*P32</f>
        <v>83382.352941176461</v>
      </c>
      <c r="C52" s="637">
        <f t="shared" si="3"/>
        <v>0</v>
      </c>
      <c r="D52" s="637">
        <f t="shared" si="3"/>
        <v>0</v>
      </c>
      <c r="E52" s="637">
        <f t="shared" si="3"/>
        <v>0</v>
      </c>
      <c r="F52" s="637">
        <f t="shared" si="3"/>
        <v>0</v>
      </c>
      <c r="G52" s="637">
        <f t="shared" si="3"/>
        <v>0</v>
      </c>
      <c r="H52" s="637">
        <f t="shared" si="3"/>
        <v>42413.445378151257</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2020-06-20T15:24:34Z</dcterms:modified>
</cp:coreProperties>
</file>