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D14" i="48" l="1"/>
  <c r="D32" i="48" s="1"/>
  <c r="E25" i="14"/>
  <c r="E55" i="14" s="1"/>
  <c r="C25" i="14"/>
  <c r="B14" i="48" l="1"/>
  <c r="Q14" i="48" s="1"/>
  <c r="R25" i="14"/>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0" i="13"/>
  <c r="C12" i="13" s="1"/>
  <c r="C29" i="20"/>
  <c r="C56" i="22"/>
  <c r="C58" i="22" s="1"/>
  <c r="D49" i="14" s="1"/>
  <c r="D52" i="14" s="1"/>
  <c r="C20" i="16"/>
  <c r="C22" i="16" s="1"/>
  <c r="D43" i="14" s="1"/>
  <c r="C18" i="15"/>
  <c r="C20" i="15" s="1"/>
  <c r="D40" i="14" s="1"/>
  <c r="C17" i="19"/>
  <c r="C19" i="19" s="1"/>
  <c r="D39" i="14" s="1"/>
  <c r="C17" i="49"/>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<sst xmlns="http://schemas.openxmlformats.org/spreadsheetml/2006/main" count="2382" uniqueCount="877">
  <si>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</si>
  <si>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</si>
  <si>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</si>
  <si>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</si>
  <si>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</si>
  <si>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</si>
  <si>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</si>
  <si>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</si>
  <si>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</si>
  <si>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</si>
  <si>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</si>
  <si>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</si>
  <si>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</si>
  <si>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</si>
  <si>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</si>
  <si>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</si>
  <si>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</si>
  <si>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</si>
  <si>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</si>
  <si>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</si>
  <si>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</si>
  <si>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</si>
  <si>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</si>
  <si>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</si>
  <si>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</si>
  <si>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</si>
  <si>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</si>
  <si>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</si>
  <si>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</si>
  <si>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</si>
  <si>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</si>
  <si>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</si>
  <si>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</si>
  <si>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</si>
  <si>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</si>
  <si>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</si>
  <si>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</si>
  <si>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</si>
  <si>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</si>
  <si>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</si>
  <si>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</si>
  <si>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</si>
  <si>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</si>
  <si>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</si>
  <si>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</si>
  <si>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</si>
  <si>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</si>
  <si>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</si>
  <si>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</si>
  <si>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</si>
  <si>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</si>
  <si>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</si>
  <si>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</si>
  <si>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</si>
  <si>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</si>
  <si>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</si>
  <si>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</si>
  <si>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</si>
  <si>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</si>
  <si>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</si>
  <si>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</si>
  <si>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</si>
  <si>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</si>
  <si>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</si>
  <si>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</si>
  <si>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</si>
  <si>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</si>
  <si>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</si>
  <si>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</si>
  <si>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</si>
  <si>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</si>
  <si>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</si>
  <si>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</si>
  <si>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</si>
  <si>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</si>
  <si>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</si>
  <si>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</si>
  <si>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</si>
  <si>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</si>
  <si>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</si>
  <si>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</si>
  <si>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</si>
  <si>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</si>
  <si>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</si>
  <si>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</si>
  <si>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</si>
  <si>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</si>
  <si>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</si>
  <si>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</si>
  <si>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</si>
  <si>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</si>
  <si>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</si>
  <si>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</si>
  <si>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</si>
  <si>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</si>
  <si>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</si>
  <si>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</si>
  <si>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</si>
  <si>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</si>
  <si>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</si>
  <si>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</si>
  <si>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</si>
  <si>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</si>
  <si>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</si>
  <si>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</si>
  <si>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</si>
  <si>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</si>
  <si>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</si>
  <si>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</si>
  <si>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</si>
  <si>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</si>
  <si>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</si>
  <si>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</si>
  <si>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</si>
  <si>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</si>
  <si>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</si>
  <si>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</si>
  <si>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</si>
  <si>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</si>
  <si>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</si>
  <si>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</si>
  <si>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</si>
  <si>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</si>
  <si>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</si>
  <si>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</si>
  <si>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</si>
  <si>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</si>
  <si>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</si>
  <si>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</si>
  <si>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</si>
  <si>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</si>
  <si>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</si>
  <si>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</si>
  <si>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</si>
  <si>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</si>
  <si>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</si>
  <si>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</si>
  <si>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</si>
  <si>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</si>
  <si>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</si>
  <si>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</si>
  <si>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</si>
  <si>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</si>
  <si>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</si>
  <si>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</si>
  <si>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</si>
  <si>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</si>
  <si>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</si>
  <si>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</si>
  <si>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</si>
  <si>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</si>
  <si>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</si>
  <si>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</si>
  <si>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</si>
  <si>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</si>
  <si>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</si>
  <si>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</si>
  <si>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</si>
  <si>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</si>
  <si>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</si>
  <si>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</si>
  <si>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</si>
  <si>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</si>
  <si>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</si>
  <si>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</si>
  <si>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</si>
  <si>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</si>
  <si>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</si>
  <si>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</si>
  <si>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</si>
  <si>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</si>
  <si>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</si>
  <si>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</si>
  <si>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</si>
  <si>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</si>
  <si>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</si>
  <si>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</si>
  <si>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</si>
  <si>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</si>
  <si>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</si>
  <si>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</si>
  <si>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</si>
  <si>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</si>
  <si>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</si>
  <si>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</si>
  <si>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</si>
  <si>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</si>
  <si>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</si>
  <si>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</si>
  <si>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</si>
  <si>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</si>
  <si>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</si>
  <si>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</si>
  <si>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</si>
  <si>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</si>
  <si>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</si>
  <si>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</si>
  <si>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</si>
  <si>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</si>
  <si>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</si>
  <si>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</si>
  <si>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</si>
  <si>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</si>
  <si>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</si>
  <si>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</si>
  <si>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</si>
  <si>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</si>
  <si>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</si>
  <si>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</si>
  <si>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</si>
  <si>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</si>
  <si>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</si>
  <si>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</si>
  <si>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</si>
  <si>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</si>
  <si>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</si>
  <si>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</si>
  <si>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</si>
  <si>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</si>
  <si>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</si>
  <si>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</si>
  <si>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</si>
  <si>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</si>
  <si>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</si>
  <si>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</si>
  <si>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</si>
  <si>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</si>
  <si>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</si>
  <si>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</si>
  <si>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</si>
  <si>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</si>
  <si>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</si>
  <si>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</si>
  <si>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</si>
  <si>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</si>
  <si>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</si>
  <si>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</si>
  <si>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</si>
  <si>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</si>
  <si>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</si>
  <si>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</si>
  <si>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</si>
  <si>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</si>
  <si>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</si>
  <si>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</si>
  <si>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</si>
  <si>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</si>
  <si>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</si>
  <si>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</si>
  <si>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</si>
  <si>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</si>
  <si>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</si>
  <si>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</si>
  <si>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</si>
  <si>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</si>
  <si>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</si>
  <si>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</si>
  <si>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</si>
  <si>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</si>
  <si>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</si>
  <si>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</si>
  <si>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</si>
  <si>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</si>
  <si>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</si>
  <si>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</si>
  <si>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</si>
  <si>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</si>
  <si>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</si>
  <si>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</si>
  <si>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</si>
  <si>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</si>
  <si>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</si>
  <si>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</si>
  <si>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</si>
  <si>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</si>
  <si>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</si>
  <si>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</si>
  <si>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</si>
  <si>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</si>
  <si>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</si>
  <si>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</si>
  <si>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</si>
  <si>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</si>
  <si>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</si>
  <si>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</si>
  <si>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</si>
  <si>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</si>
  <si>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</si>
  <si>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</si>
  <si>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</si>
  <si>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</si>
  <si>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</si>
  <si>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</si>
  <si>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</si>
  <si>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</si>
  <si>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</si>
  <si>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</si>
  <si>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</si>
  <si>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</si>
  <si>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</si>
  <si>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</si>
  <si>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</si>
  <si>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</si>
  <si>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</si>
  <si>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</si>
  <si>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</si>
  <si>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</si>
  <si>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</si>
  <si>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</si>
  <si>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</si>
  <si>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</si>
  <si>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</si>
  <si>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</si>
  <si>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</si>
  <si>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</si>
  <si>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</si>
  <si>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</si>
  <si>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</si>
  <si>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</si>
  <si>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</si>
  <si>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</si>
  <si>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</si>
  <si>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</si>
  <si>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</si>
  <si>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</si>
  <si>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</si>
  <si>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</si>
  <si>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</si>
  <si>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</si>
  <si>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</si>
  <si>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</si>
  <si>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</si>
  <si>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</si>
  <si>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</si>
  <si>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</si>
  <si>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</si>
  <si>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</si>
  <si>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</si>
  <si>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</si>
  <si>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</si>
  <si>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</si>
  <si>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</si>
  <si>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</si>
  <si>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</si>
  <si>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</si>
  <si>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</si>
  <si>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</si>
  <si>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</si>
  <si>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</si>
  <si>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</si>
  <si>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</si>
  <si>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</si>
  <si>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</si>
  <si>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</si>
  <si>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</si>
  <si>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</si>
  <si>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</si>
  <si>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</si>
  <si>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</si>
  <si>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</si>
  <si>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</si>
  <si>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</si>
  <si>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</si>
  <si>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</si>
  <si>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</si>
  <si>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</si>
  <si>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</si>
  <si>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</si>
  <si>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</si>
  <si>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</si>
  <si>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</si>
  <si>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</si>
  <si>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</si>
  <si>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</si>
  <si>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</si>
  <si>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</si>
  <si>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</si>
  <si>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</si>
  <si>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</si>
  <si>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</si>
  <si>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</si>
  <si>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</si>
  <si>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</si>
  <si>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</si>
  <si>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</si>
  <si>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</si>
  <si>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</si>
  <si>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</si>
  <si>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</si>
  <si>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</si>
  <si>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</si>
  <si>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</si>
  <si>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</si>
  <si>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</si>
  <si>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</si>
  <si>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</si>
  <si>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</si>
  <si>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</si>
  <si>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</si>
  <si>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</si>
  <si>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</si>
  <si>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</si>
  <si>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</si>
  <si>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</si>
  <si>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</si>
  <si>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</si>
  <si>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</si>
  <si>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</si>
  <si>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</si>
  <si>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</si>
  <si>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</si>
  <si>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</si>
  <si>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</si>
  <si>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</si>
  <si>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</si>
  <si>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</si>
  <si>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</si>
  <si>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</si>
  <si>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</si>
  <si>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</si>
  <si>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</si>
  <si>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</si>
  <si>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</si>
  <si>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</si>
  <si>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</si>
  <si>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</si>
  <si>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</si>
  <si>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</si>
  <si>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</si>
  <si>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</si>
  <si>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</si>
  <si>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</si>
  <si>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</si>
  <si>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</si>
  <si>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</si>
  <si>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</si>
  <si>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</si>
  <si>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</si>
  <si>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</si>
  <si>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</si>
  <si>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</si>
  <si>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</si>
  <si>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</si>
  <si>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</si>
  <si>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</si>
  <si>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</si>
  <si>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</si>
  <si>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</si>
  <si>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</si>
  <si>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</si>
  <si>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</si>
  <si>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</si>
  <si>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</si>
  <si>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</si>
  <si>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</si>
  <si>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</si>
  <si>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</si>
  <si>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</si>
  <si>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</si>
  <si>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</si>
  <si>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</si>
  <si>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</si>
  <si>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</si>
  <si>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</si>
  <si>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</si>
  <si>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</si>
  <si>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</si>
  <si>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</si>
  <si>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</si>
  <si>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</si>
  <si>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</si>
  <si>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</si>
  <si>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</si>
  <si>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</si>
  <si>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</si>
  <si>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</si>
  <si>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</si>
  <si>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</si>
  <si>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</si>
  <si>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</si>
  <si>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</si>
  <si>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</si>
  <si>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</si>
  <si>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</si>
  <si>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</si>
  <si>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</si>
  <si>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</si>
  <si>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</si>
  <si>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</si>
  <si>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</si>
  <si>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</si>
  <si>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</si>
  <si>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</si>
  <si>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</si>
  <si>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</si>
  <si>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</si>
  <si>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</si>
  <si>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</si>
  <si>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</si>
  <si>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</si>
  <si>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</si>
  <si>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</si>
  <si>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</si>
  <si>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</si>
  <si>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</si>
  <si>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</si>
  <si>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</si>
  <si>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</si>
  <si>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</si>
  <si>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</si>
  <si>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</si>
  <si>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</si>
  <si>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</si>
  <si>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</si>
  <si>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</si>
  <si>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</si>
  <si>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</si>
  <si>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</si>
  <si>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</si>
  <si>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</si>
  <si>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</si>
  <si>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</si>
  <si>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</si>
  <si>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</si>
  <si>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</si>
  <si>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</si>
  <si>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</si>
  <si>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</si>
  <si>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</si>
  <si>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</si>
  <si>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</si>
  <si>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</si>
  <si>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</si>
  <si>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</si>
  <si>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</si>
  <si>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</si>
  <si>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</si>
  <si>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</si>
  <si>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</si>
  <si>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</si>
  <si>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</si>
  <si>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</si>
  <si>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</si>
  <si>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</si>
  <si>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</si>
  <si>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</si>
  <si>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</si>
  <si>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</si>
  <si>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</si>
  <si>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</si>
  <si>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</si>
  <si>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</si>
  <si>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</si>
  <si>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</si>
  <si>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</si>
  <si>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</si>
  <si>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</si>
  <si>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</si>
  <si>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</si>
  <si>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</si>
  <si>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</si>
  <si>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</si>
  <si>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</si>
  <si>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</si>
  <si>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</si>
  <si>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</si>
  <si>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</si>
  <si>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</si>
  <si>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</si>
  <si>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</si>
  <si>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</si>
  <si>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</si>
  <si>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</si>
  <si>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</si>
  <si>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</si>
  <si>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</si>
  <si>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</si>
  <si>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</si>
  <si>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</si>
  <si>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</si>
  <si>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</si>
  <si>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</si>
  <si>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</si>
  <si>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</si>
  <si>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</si>
  <si>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</si>
  <si>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</si>
  <si>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</si>
  <si>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</si>
  <si>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</si>
  <si>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</si>
  <si>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</si>
  <si>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</si>
  <si>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</si>
  <si>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</si>
  <si>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</si>
  <si>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</si>
  <si>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</si>
  <si>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</si>
  <si>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</si>
  <si>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</si>
  <si>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</si>
  <si>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</si>
  <si>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</si>
  <si>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</si>
  <si>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</si>
  <si>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</si>
  <si>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</si>
  <si>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</si>
  <si>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</si>
  <si>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</si>
  <si>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</si>
  <si>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</si>
  <si>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</si>
  <si>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</si>
  <si>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</si>
  <si>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</si>
  <si>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</si>
  <si>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</si>
  <si>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</si>
  <si>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</si>
  <si>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</si>
  <si>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</si>
  <si>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</si>
  <si>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</si>
  <si>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</si>
  <si>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</si>
  <si>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</si>
  <si>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</si>
  <si>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</si>
  <si>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</si>
  <si>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</si>
  <si>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</si>
  <si>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</si>
  <si>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</si>
  <si>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</si>
  <si>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</si>
  <si>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</si>
  <si>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</si>
  <si>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</si>
  <si>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</si>
  <si>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</si>
  <si>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</si>
  <si>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</si>
  <si>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</si>
  <si>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</si>
  <si>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</si>
  <si>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</si>
  <si>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</si>
  <si>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</si>
  <si>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</si>
  <si>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</si>
  <si>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</si>
  <si>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</si>
  <si>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</si>
  <si>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</si>
  <si>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</si>
  <si>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</si>
  <si>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</si>
  <si>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</si>
  <si>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</si>
  <si>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</si>
  <si>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</si>
  <si>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</si>
  <si>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</si>
  <si>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</si>
  <si>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</si>
  <si>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</si>
  <si>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</si>
  <si>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</si>
  <si>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</si>
  <si>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</si>
  <si>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</si>
  <si>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</si>
  <si>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</si>
  <si>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</si>
  <si>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</si>
  <si>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</si>
  <si>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</si>
  <si>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</si>
  <si>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</si>
  <si>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</si>
  <si>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</si>
  <si>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</si>
  <si>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</si>
  <si>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</si>
  <si>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</si>
  <si>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</si>
  <si>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</si>
  <si>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</si>
  <si>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</si>
  <si>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</si>
  <si>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</si>
  <si>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</si>
  <si>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</si>
  <si>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</si>
  <si>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</si>
  <si>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</si>
  <si>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</si>
  <si>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</si>
  <si>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</si>
  <si>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</si>
  <si>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</si>
  <si>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</si>
  <si>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</si>
  <si>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</si>
  <si>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</si>
  <si>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</si>
  <si>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</si>
  <si>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</si>
  <si>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</si>
  <si>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</si>
  <si>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</si>
  <si>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</si>
  <si>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</si>
  <si>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</si>
  <si>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</si>
  <si>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</si>
  <si>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</si>
  <si>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</si>
  <si>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</si>
  <si>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</si>
  <si>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</si>
  <si>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</si>
  <si>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</si>
  <si>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</si>
  <si>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</si>
  <si>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</si>
  <si>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</si>
  <si>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</si>
  <si>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</si>
  <si>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</si>
  <si>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</si>
  <si>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</si>
  <si>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</si>
  <si>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</si>
  <si>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</si>
  <si>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</si>
  <si>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</si>
  <si>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</si>
  <si>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</si>
  <si>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</si>
  <si>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</si>
  <si>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</si>
  <si>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</si>
  <si>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</si>
  <si>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</si>
  <si>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</si>
  <si>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</si>
  <si>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</si>
  <si>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</si>
  <si>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</si>
  <si>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</si>
  <si>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</si>
  <si>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</si>
  <si>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</si>
  <si>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</si>
  <si>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</si>
  <si>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</si>
  <si>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</si>
  <si>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</si>
  <si>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</si>
  <si>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</si>
  <si>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</si>
  <si>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</si>
  <si>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</si>
  <si>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</si>
  <si>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</si>
  <si>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</si>
  <si>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</si>
  <si>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</si>
  <si>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</si>
  <si>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</si>
  <si>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</si>
  <si>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</si>
  <si>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</si>
  <si>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</si>
  <si>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</si>
  <si>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</si>
  <si>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</si>
  <si>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</si>
  <si>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</si>
  <si>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</si>
  <si>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</si>
  <si>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</si>
  <si>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</si>
  <si>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</si>
  <si>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</si>
  <si>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</si>
  <si>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</si>
  <si>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</si>
  <si>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</si>
  <si>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</si>
  <si>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</si>
  <si>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</si>
  <si>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</si>
  <si>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</si>
  <si>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</si>
  <si>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</si>
  <si>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</si>
  <si>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</si>
  <si>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</si>
  <si>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</si>
  <si>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</si>
  <si>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</si>
  <si>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</si>
  <si>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</si>
  <si>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</si>
  <si>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</si>
  <si>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</si>
  <si>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</si>
  <si>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</si>
  <si>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</si>
  <si>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</si>
  <si>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</si>
  <si>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</si>
  <si>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</si>
  <si>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</si>
  <si>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</si>
  <si>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</si>
  <si>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</si>
  <si>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</si>
  <si>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</si>
  <si>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</si>
  <si>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</si>
  <si>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</si>
  <si>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</si>
  <si>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</si>
  <si>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</si>
  <si>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</si>
  <si>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</si>
  <si>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</si>
  <si>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</si>
  <si>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</si>
  <si>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</si>
  <si>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</si>
  <si>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</si>
  <si>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</si>
  <si>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</si>
  <si>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</si>
  <si>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</si>
  <si>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</si>
  <si>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</si>
  <si>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</si>
  <si>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</si>
  <si>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</si>
  <si>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</si>
  <si>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</si>
  <si>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</si>
  <si>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</si>
  <si>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</si>
  <si>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</si>
  <si>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</si>
  <si>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</si>
  <si>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</si>
  <si>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</si>
  <si>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</si>
  <si>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</si>
  <si>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</si>
  <si>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</si>
  <si>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</si>
  <si>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</si>
  <si>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43005</t>
  </si>
  <si>
    <t>EEKLO</t>
  </si>
  <si>
    <t>referentietaak LNE (2017); Jaarverslag De Lijn</t>
  </si>
  <si>
    <t>WKK-0758 Matthijs - Aalschoot</t>
  </si>
  <si>
    <t>Biogas - hoofdzakelijk agrarische stromen</t>
  </si>
  <si>
    <t>WKK interne verbrandinsgmotor (gas)</t>
  </si>
  <si>
    <t>Aalstgoed 2 , 9900 Eeklo</t>
  </si>
  <si>
    <t>IMEWO</t>
  </si>
  <si>
    <t>Ecopower cvba</t>
  </si>
  <si>
    <t>Posthoflei 3 3, 2600 Berchem</t>
  </si>
  <si>
    <t>BMS-0039 Ecopower Eeklo plantenolie</t>
  </si>
  <si>
    <t>biomassa uit land- of bosbouw</t>
  </si>
  <si>
    <t>niet WKK interne verbrandingsmotor (vloeibaar)</t>
  </si>
  <si>
    <t>Industrielaan 2 , 9900 Eeklo</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</si>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</sst>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141153.60130474882</c:v>
                </c:pt>
                <c:pt idx="1">
                  <c:v>105290.20936908349</c:v>
                </c:pt>
                <c:pt idx="2">
                  <c:v>1421.413</c:v>
                </c:pt>
                <c:pt idx="3">
                  <c:v>11011.281511521691</c:v>
                </c:pt>
                <c:pt idx="4">
                  <c:v>97346.828320724831</c:v>
                </c:pt>
                <c:pt idx="5">
                  <c:v>134190.37143404392</c:v>
                </c:pt>
                <c:pt idx="6">
                  <c:v>1338.5765556698366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141153.60130474882</c:v>
                </c:pt>
                <c:pt idx="1">
                  <c:v>105290.20936908349</c:v>
                </c:pt>
                <c:pt idx="2">
                  <c:v>1421.413</c:v>
                </c:pt>
                <c:pt idx="3">
                  <c:v>11011.281511521691</c:v>
                </c:pt>
                <c:pt idx="4">
                  <c:v>97346.828320724831</c:v>
                </c:pt>
                <c:pt idx="5">
                  <c:v>134190.37143404392</c:v>
                </c:pt>
                <c:pt idx="6">
                  <c:v>1338.5765556698366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25409.682624990412</c:v>
                </c:pt>
                <c:pt idx="1">
                  <c:v>19906.347750134828</c:v>
                </c:pt>
                <c:pt idx="2">
                  <c:v>239.86967195906294</c:v>
                </c:pt>
                <c:pt idx="3">
                  <c:v>2722.6871295872693</c:v>
                </c:pt>
                <c:pt idx="4">
                  <c:v>17452.366581062459</c:v>
                </c:pt>
                <c:pt idx="5">
                  <c:v>33445.453178500982</c:v>
                </c:pt>
                <c:pt idx="6">
                  <c:v>339.00367038348281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25409.682624990412</c:v>
                </c:pt>
                <c:pt idx="1">
                  <c:v>19906.347750134828</c:v>
                </c:pt>
                <c:pt idx="2">
                  <c:v>239.86967195906294</c:v>
                </c:pt>
                <c:pt idx="3">
                  <c:v>2722.6871295872693</c:v>
                </c:pt>
                <c:pt idx="4">
                  <c:v>17452.366581062459</c:v>
                </c:pt>
                <c:pt idx="5">
                  <c:v>33445.453178500982</c:v>
                </c:pt>
                <c:pt idx="6">
                  <c:v>339.00367038348281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43005</v>
      </c>
      <c r="B6" s="392"/>
      <c r="C6" s="393"/>
    </row>
    <row r="7" spans="1:7" s="390" customFormat="1" ht="15.75" customHeight="1">
      <c r="A7" s="394" t="str">
        <f>txtMunicipality</f>
        <v>EEKLO</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0.1687543817026177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0.1687543817026177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9504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1613.93</v>
      </c>
      <c r="C14" s="332"/>
      <c r="D14" s="332"/>
      <c r="E14" s="332"/>
      <c r="F14" s="332"/>
    </row>
    <row r="15" spans="1:6">
      <c r="A15" s="1310" t="s">
        <v>183</v>
      </c>
      <c r="B15" s="1311">
        <v>38</v>
      </c>
      <c r="C15" s="332"/>
      <c r="D15" s="332"/>
      <c r="E15" s="332"/>
      <c r="F15" s="332"/>
    </row>
    <row r="16" spans="1:6">
      <c r="A16" s="1310" t="s">
        <v>6</v>
      </c>
      <c r="B16" s="1311">
        <v>1361</v>
      </c>
      <c r="C16" s="332"/>
      <c r="D16" s="332"/>
      <c r="E16" s="332"/>
      <c r="F16" s="332"/>
    </row>
    <row r="17" spans="1:6">
      <c r="A17" s="1310" t="s">
        <v>7</v>
      </c>
      <c r="B17" s="1311">
        <v>311</v>
      </c>
      <c r="C17" s="332"/>
      <c r="D17" s="332"/>
      <c r="E17" s="332"/>
      <c r="F17" s="332"/>
    </row>
    <row r="18" spans="1:6">
      <c r="A18" s="1310" t="s">
        <v>8</v>
      </c>
      <c r="B18" s="1311">
        <v>883</v>
      </c>
      <c r="C18" s="332"/>
      <c r="D18" s="332"/>
      <c r="E18" s="332"/>
      <c r="F18" s="332"/>
    </row>
    <row r="19" spans="1:6">
      <c r="A19" s="1310" t="s">
        <v>9</v>
      </c>
      <c r="B19" s="1311">
        <v>1037</v>
      </c>
      <c r="C19" s="332"/>
      <c r="D19" s="332"/>
      <c r="E19" s="332"/>
      <c r="F19" s="332"/>
    </row>
    <row r="20" spans="1:6">
      <c r="A20" s="1310" t="s">
        <v>10</v>
      </c>
      <c r="B20" s="1311">
        <v>569</v>
      </c>
      <c r="C20" s="332"/>
      <c r="D20" s="332"/>
      <c r="E20" s="332"/>
      <c r="F20" s="332"/>
    </row>
    <row r="21" spans="1:6">
      <c r="A21" s="1310" t="s">
        <v>11</v>
      </c>
      <c r="B21" s="1311">
        <v>12269</v>
      </c>
      <c r="C21" s="332"/>
      <c r="D21" s="332"/>
      <c r="E21" s="332"/>
      <c r="F21" s="332"/>
    </row>
    <row r="22" spans="1:6">
      <c r="A22" s="1310" t="s">
        <v>12</v>
      </c>
      <c r="B22" s="1311">
        <v>21855</v>
      </c>
      <c r="C22" s="332"/>
      <c r="D22" s="332"/>
      <c r="E22" s="332"/>
      <c r="F22" s="332"/>
    </row>
    <row r="23" spans="1:6">
      <c r="A23" s="1310" t="s">
        <v>13</v>
      </c>
      <c r="B23" s="1311">
        <v>748</v>
      </c>
      <c r="C23" s="332"/>
      <c r="D23" s="332"/>
      <c r="E23" s="332"/>
      <c r="F23" s="332"/>
    </row>
    <row r="24" spans="1:6">
      <c r="A24" s="1310" t="s">
        <v>14</v>
      </c>
      <c r="B24" s="1311">
        <v>20</v>
      </c>
      <c r="C24" s="332"/>
      <c r="D24" s="332"/>
      <c r="E24" s="332"/>
      <c r="F24" s="332"/>
    </row>
    <row r="25" spans="1:6">
      <c r="A25" s="1310" t="s">
        <v>15</v>
      </c>
      <c r="B25" s="1311">
        <v>2409</v>
      </c>
      <c r="C25" s="332"/>
      <c r="D25" s="332"/>
      <c r="E25" s="332"/>
      <c r="F25" s="332"/>
    </row>
    <row r="26" spans="1:6">
      <c r="A26" s="1310" t="s">
        <v>16</v>
      </c>
      <c r="B26" s="1311">
        <v>109</v>
      </c>
      <c r="C26" s="332"/>
      <c r="D26" s="332"/>
      <c r="E26" s="332"/>
      <c r="F26" s="332"/>
    </row>
    <row r="27" spans="1:6">
      <c r="A27" s="1310" t="s">
        <v>17</v>
      </c>
      <c r="B27" s="1311">
        <v>0</v>
      </c>
      <c r="C27" s="332"/>
      <c r="D27" s="332"/>
      <c r="E27" s="332"/>
      <c r="F27" s="332"/>
    </row>
    <row r="28" spans="1:6" s="43" customFormat="1">
      <c r="A28" s="1312" t="s">
        <v>18</v>
      </c>
      <c r="B28" s="1313">
        <v>31300</v>
      </c>
      <c r="C28" s="338"/>
      <c r="D28" s="338"/>
      <c r="E28" s="338"/>
      <c r="F28" s="338"/>
    </row>
    <row r="29" spans="1:6">
      <c r="A29" s="1312" t="s">
        <v>699</v>
      </c>
      <c r="B29" s="1313">
        <v>43</v>
      </c>
      <c r="C29" s="338"/>
      <c r="D29" s="338"/>
      <c r="E29" s="338"/>
      <c r="F29" s="338"/>
    </row>
    <row r="30" spans="1:6">
      <c r="A30" s="1305" t="s">
        <v>700</v>
      </c>
      <c r="B30" s="1314">
        <v>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7</v>
      </c>
      <c r="F36" s="1311">
        <v>22031.138267644699</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7446</v>
      </c>
      <c r="D39" s="1311">
        <v>99851683.714851096</v>
      </c>
      <c r="E39" s="1311">
        <v>9439</v>
      </c>
      <c r="F39" s="1311">
        <v>31077865.863584299</v>
      </c>
    </row>
    <row r="40" spans="1:6">
      <c r="A40" s="1310" t="s">
        <v>29</v>
      </c>
      <c r="B40" s="1310" t="s">
        <v>28</v>
      </c>
      <c r="C40" s="1311">
        <v>0</v>
      </c>
      <c r="D40" s="1311">
        <v>0</v>
      </c>
      <c r="E40" s="1311">
        <v>0</v>
      </c>
      <c r="F40" s="1311">
        <v>0</v>
      </c>
    </row>
    <row r="41" spans="1:6">
      <c r="A41" s="1310" t="s">
        <v>31</v>
      </c>
      <c r="B41" s="1310" t="s">
        <v>32</v>
      </c>
      <c r="C41" s="1311">
        <v>156</v>
      </c>
      <c r="D41" s="1311">
        <v>4748891.2726222398</v>
      </c>
      <c r="E41" s="1311">
        <v>268</v>
      </c>
      <c r="F41" s="1311">
        <v>2467331.9789518402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21</v>
      </c>
      <c r="D44" s="1311">
        <v>8507399.1433134191</v>
      </c>
      <c r="E44" s="1311">
        <v>46</v>
      </c>
      <c r="F44" s="1311">
        <v>5415964.8044056902</v>
      </c>
    </row>
    <row r="45" spans="1:6">
      <c r="A45" s="1310" t="s">
        <v>31</v>
      </c>
      <c r="B45" s="1310" t="s">
        <v>36</v>
      </c>
      <c r="C45" s="1311">
        <v>0</v>
      </c>
      <c r="D45" s="1311">
        <v>0</v>
      </c>
      <c r="E45" s="1311">
        <v>11</v>
      </c>
      <c r="F45" s="1311">
        <v>724940.78147769999</v>
      </c>
    </row>
    <row r="46" spans="1:6">
      <c r="A46" s="1310" t="s">
        <v>31</v>
      </c>
      <c r="B46" s="1310" t="s">
        <v>37</v>
      </c>
      <c r="C46" s="1311">
        <v>0</v>
      </c>
      <c r="D46" s="1311">
        <v>0</v>
      </c>
      <c r="E46" s="1311">
        <v>0</v>
      </c>
      <c r="F46" s="1311">
        <v>0</v>
      </c>
    </row>
    <row r="47" spans="1:6">
      <c r="A47" s="1310" t="s">
        <v>31</v>
      </c>
      <c r="B47" s="1310" t="s">
        <v>38</v>
      </c>
      <c r="C47" s="1311">
        <v>5</v>
      </c>
      <c r="D47" s="1311">
        <v>2910172.0388452299</v>
      </c>
      <c r="E47" s="1311">
        <v>11</v>
      </c>
      <c r="F47" s="1311">
        <v>35603981.9871471</v>
      </c>
    </row>
    <row r="48" spans="1:6">
      <c r="A48" s="1310" t="s">
        <v>31</v>
      </c>
      <c r="B48" s="1310" t="s">
        <v>28</v>
      </c>
      <c r="C48" s="1311">
        <v>4</v>
      </c>
      <c r="D48" s="1311">
        <v>126700.48755226799</v>
      </c>
      <c r="E48" s="1311">
        <v>1</v>
      </c>
      <c r="F48" s="1311">
        <v>2716426.73982877</v>
      </c>
    </row>
    <row r="49" spans="1:6">
      <c r="A49" s="1310" t="s">
        <v>31</v>
      </c>
      <c r="B49" s="1310" t="s">
        <v>39</v>
      </c>
      <c r="C49" s="1311">
        <v>0</v>
      </c>
      <c r="D49" s="1311">
        <v>0</v>
      </c>
      <c r="E49" s="1311">
        <v>3</v>
      </c>
      <c r="F49" s="1311">
        <v>9190.4527155071992</v>
      </c>
    </row>
    <row r="50" spans="1:6">
      <c r="A50" s="1310" t="s">
        <v>31</v>
      </c>
      <c r="B50" s="1310" t="s">
        <v>40</v>
      </c>
      <c r="C50" s="1311">
        <v>21</v>
      </c>
      <c r="D50" s="1311">
        <v>14811670.4683374</v>
      </c>
      <c r="E50" s="1311">
        <v>27</v>
      </c>
      <c r="F50" s="1311">
        <v>18798364.757548701</v>
      </c>
    </row>
    <row r="51" spans="1:6">
      <c r="A51" s="1310" t="s">
        <v>41</v>
      </c>
      <c r="B51" s="1310" t="s">
        <v>42</v>
      </c>
      <c r="C51" s="1311">
        <v>18</v>
      </c>
      <c r="D51" s="1311">
        <v>354527.49893022701</v>
      </c>
      <c r="E51" s="1311">
        <v>83</v>
      </c>
      <c r="F51" s="1311">
        <v>2338986.51023866</v>
      </c>
    </row>
    <row r="52" spans="1:6">
      <c r="A52" s="1310" t="s">
        <v>41</v>
      </c>
      <c r="B52" s="1310" t="s">
        <v>28</v>
      </c>
      <c r="C52" s="1311">
        <v>0</v>
      </c>
      <c r="D52" s="1311">
        <v>0</v>
      </c>
      <c r="E52" s="1311">
        <v>0</v>
      </c>
      <c r="F52" s="1311">
        <v>0</v>
      </c>
    </row>
    <row r="53" spans="1:6">
      <c r="A53" s="1310" t="s">
        <v>43</v>
      </c>
      <c r="B53" s="1310" t="s">
        <v>44</v>
      </c>
      <c r="C53" s="1311">
        <v>189</v>
      </c>
      <c r="D53" s="1311">
        <v>2857781.8179453602</v>
      </c>
      <c r="E53" s="1311">
        <v>388</v>
      </c>
      <c r="F53" s="1311">
        <v>1171723.42325257</v>
      </c>
    </row>
    <row r="54" spans="1:6">
      <c r="A54" s="1310" t="s">
        <v>45</v>
      </c>
      <c r="B54" s="1310" t="s">
        <v>46</v>
      </c>
      <c r="C54" s="1311">
        <v>0</v>
      </c>
      <c r="D54" s="1311">
        <v>0</v>
      </c>
      <c r="E54" s="1311">
        <v>1</v>
      </c>
      <c r="F54" s="1311">
        <v>1421413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86</v>
      </c>
      <c r="D57" s="1311">
        <v>9151858.7758834492</v>
      </c>
      <c r="E57" s="1311">
        <v>146</v>
      </c>
      <c r="F57" s="1311">
        <v>4776907.8390385201</v>
      </c>
    </row>
    <row r="58" spans="1:6">
      <c r="A58" s="1310" t="s">
        <v>48</v>
      </c>
      <c r="B58" s="1310" t="s">
        <v>50</v>
      </c>
      <c r="C58" s="1311">
        <v>61</v>
      </c>
      <c r="D58" s="1311">
        <v>21557959.4811619</v>
      </c>
      <c r="E58" s="1311">
        <v>89</v>
      </c>
      <c r="F58" s="1311">
        <v>13720309.0879732</v>
      </c>
    </row>
    <row r="59" spans="1:6">
      <c r="A59" s="1310" t="s">
        <v>48</v>
      </c>
      <c r="B59" s="1310" t="s">
        <v>51</v>
      </c>
      <c r="C59" s="1311">
        <v>196</v>
      </c>
      <c r="D59" s="1311">
        <v>8089036.3341576802</v>
      </c>
      <c r="E59" s="1311">
        <v>349</v>
      </c>
      <c r="F59" s="1311">
        <v>10902191.898270801</v>
      </c>
    </row>
    <row r="60" spans="1:6">
      <c r="A60" s="1310" t="s">
        <v>48</v>
      </c>
      <c r="B60" s="1310" t="s">
        <v>52</v>
      </c>
      <c r="C60" s="1311">
        <v>86</v>
      </c>
      <c r="D60" s="1311">
        <v>4088150.0233118199</v>
      </c>
      <c r="E60" s="1311">
        <v>94</v>
      </c>
      <c r="F60" s="1311">
        <v>1942032.1323701199</v>
      </c>
    </row>
    <row r="61" spans="1:6">
      <c r="A61" s="1310" t="s">
        <v>48</v>
      </c>
      <c r="B61" s="1310" t="s">
        <v>53</v>
      </c>
      <c r="C61" s="1311">
        <v>302</v>
      </c>
      <c r="D61" s="1311">
        <v>9930519.1822652295</v>
      </c>
      <c r="E61" s="1311">
        <v>581</v>
      </c>
      <c r="F61" s="1311">
        <v>5450122.5144250002</v>
      </c>
    </row>
    <row r="62" spans="1:6">
      <c r="A62" s="1310" t="s">
        <v>48</v>
      </c>
      <c r="B62" s="1310" t="s">
        <v>54</v>
      </c>
      <c r="C62" s="1311">
        <v>21</v>
      </c>
      <c r="D62" s="1311">
        <v>9697408.0893348195</v>
      </c>
      <c r="E62" s="1311">
        <v>35</v>
      </c>
      <c r="F62" s="1311">
        <v>2314720.4620133098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223575.79445280501</v>
      </c>
      <c r="E65" s="1311">
        <v>1</v>
      </c>
      <c r="F65" s="1311">
        <v>0</v>
      </c>
    </row>
    <row r="66" spans="1:6">
      <c r="A66" s="1310" t="s">
        <v>55</v>
      </c>
      <c r="B66" s="1310" t="s">
        <v>57</v>
      </c>
      <c r="C66" s="1311">
        <v>0</v>
      </c>
      <c r="D66" s="1311">
        <v>0</v>
      </c>
      <c r="E66" s="1311">
        <v>20</v>
      </c>
      <c r="F66" s="1311">
        <v>569941.31160161295</v>
      </c>
    </row>
    <row r="67" spans="1:6">
      <c r="A67" s="1312" t="s">
        <v>55</v>
      </c>
      <c r="B67" s="1312" t="s">
        <v>58</v>
      </c>
      <c r="C67" s="1311">
        <v>0</v>
      </c>
      <c r="D67" s="1311">
        <v>0</v>
      </c>
      <c r="E67" s="1311">
        <v>0</v>
      </c>
      <c r="F67" s="1311">
        <v>0</v>
      </c>
    </row>
    <row r="68" spans="1:6">
      <c r="A68" s="1305" t="s">
        <v>55</v>
      </c>
      <c r="B68" s="1305" t="s">
        <v>59</v>
      </c>
      <c r="C68" s="1314">
        <v>4</v>
      </c>
      <c r="D68" s="1314">
        <v>75811.909466596306</v>
      </c>
      <c r="E68" s="1314">
        <v>16</v>
      </c>
      <c r="F68" s="1314">
        <v>86107.781387785901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103097600</v>
      </c>
      <c r="E73" s="453"/>
      <c r="F73" s="332"/>
    </row>
    <row r="74" spans="1:6">
      <c r="A74" s="1310" t="s">
        <v>63</v>
      </c>
      <c r="B74" s="1310" t="s">
        <v>648</v>
      </c>
      <c r="C74" s="1324" t="s">
        <v>650</v>
      </c>
      <c r="D74" s="1325">
        <v>17289005.686992373</v>
      </c>
      <c r="E74" s="453"/>
      <c r="F74" s="332"/>
    </row>
    <row r="75" spans="1:6">
      <c r="A75" s="1310" t="s">
        <v>64</v>
      </c>
      <c r="B75" s="1310" t="s">
        <v>647</v>
      </c>
      <c r="C75" s="1324" t="s">
        <v>651</v>
      </c>
      <c r="D75" s="1325">
        <v>18344561</v>
      </c>
      <c r="E75" s="453"/>
      <c r="F75" s="332"/>
    </row>
    <row r="76" spans="1:6">
      <c r="A76" s="1310" t="s">
        <v>64</v>
      </c>
      <c r="B76" s="1310" t="s">
        <v>648</v>
      </c>
      <c r="C76" s="1324" t="s">
        <v>652</v>
      </c>
      <c r="D76" s="1325">
        <v>1743182.6869923736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371288.62601525302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28349.103719577291</v>
      </c>
      <c r="C90" s="332"/>
      <c r="D90" s="332"/>
      <c r="E90" s="332"/>
      <c r="F90" s="332"/>
    </row>
    <row r="91" spans="1:6">
      <c r="A91" s="1310" t="s">
        <v>67</v>
      </c>
      <c r="B91" s="1311">
        <v>4114.9414725800507</v>
      </c>
      <c r="C91" s="332"/>
      <c r="D91" s="332"/>
      <c r="E91" s="332"/>
      <c r="F91" s="332"/>
    </row>
    <row r="92" spans="1:6">
      <c r="A92" s="1305" t="s">
        <v>68</v>
      </c>
      <c r="B92" s="1306">
        <v>1095.5597085805027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4927</v>
      </c>
      <c r="C97" s="332"/>
      <c r="D97" s="332"/>
      <c r="E97" s="332"/>
      <c r="F97" s="332"/>
    </row>
    <row r="98" spans="1:6">
      <c r="A98" s="1310" t="s">
        <v>71</v>
      </c>
      <c r="B98" s="1311">
        <v>3</v>
      </c>
      <c r="C98" s="332"/>
      <c r="D98" s="332"/>
      <c r="E98" s="332"/>
      <c r="F98" s="332"/>
    </row>
    <row r="99" spans="1:6">
      <c r="A99" s="1310" t="s">
        <v>72</v>
      </c>
      <c r="B99" s="1311">
        <v>85</v>
      </c>
      <c r="C99" s="332"/>
      <c r="D99" s="332"/>
      <c r="E99" s="332"/>
      <c r="F99" s="332"/>
    </row>
    <row r="100" spans="1:6">
      <c r="A100" s="1310" t="s">
        <v>73</v>
      </c>
      <c r="B100" s="1311">
        <v>935</v>
      </c>
      <c r="C100" s="332"/>
      <c r="D100" s="332"/>
      <c r="E100" s="332"/>
      <c r="F100" s="332"/>
    </row>
    <row r="101" spans="1:6">
      <c r="A101" s="1310" t="s">
        <v>74</v>
      </c>
      <c r="B101" s="1311">
        <v>75</v>
      </c>
      <c r="C101" s="332"/>
      <c r="D101" s="332"/>
      <c r="E101" s="332"/>
      <c r="F101" s="332"/>
    </row>
    <row r="102" spans="1:6">
      <c r="A102" s="1310" t="s">
        <v>75</v>
      </c>
      <c r="B102" s="1311">
        <v>200</v>
      </c>
      <c r="C102" s="332"/>
      <c r="D102" s="332"/>
      <c r="E102" s="332"/>
      <c r="F102" s="332"/>
    </row>
    <row r="103" spans="1:6">
      <c r="A103" s="1310" t="s">
        <v>76</v>
      </c>
      <c r="B103" s="1311">
        <v>148</v>
      </c>
      <c r="C103" s="332"/>
      <c r="D103" s="332"/>
      <c r="E103" s="332"/>
      <c r="F103" s="332"/>
    </row>
    <row r="104" spans="1:6">
      <c r="A104" s="1310" t="s">
        <v>77</v>
      </c>
      <c r="B104" s="1311">
        <v>1641</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41</v>
      </c>
      <c r="C123" s="1311">
        <v>20</v>
      </c>
      <c r="D123" s="332"/>
      <c r="E123" s="332"/>
      <c r="F123" s="332"/>
    </row>
    <row r="124" spans="1:6" s="43" customFormat="1">
      <c r="A124" s="1312" t="s">
        <v>88</v>
      </c>
      <c r="B124" s="1333">
        <v>3</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139</v>
      </c>
      <c r="C129" s="332"/>
      <c r="D129" s="332"/>
      <c r="E129" s="332"/>
      <c r="F129" s="332"/>
    </row>
    <row r="130" spans="1:6">
      <c r="A130" s="1310" t="s">
        <v>294</v>
      </c>
      <c r="B130" s="1311">
        <v>3</v>
      </c>
      <c r="C130" s="332"/>
      <c r="D130" s="332"/>
      <c r="E130" s="332"/>
      <c r="F130" s="332"/>
    </row>
    <row r="131" spans="1:6">
      <c r="A131" s="1310" t="s">
        <v>295</v>
      </c>
      <c r="B131" s="1311">
        <v>8</v>
      </c>
      <c r="C131" s="332"/>
      <c r="D131" s="332"/>
      <c r="E131" s="332"/>
      <c r="F131" s="332"/>
    </row>
    <row r="132" spans="1:6">
      <c r="A132" s="1305" t="s">
        <v>296</v>
      </c>
      <c r="B132" s="1306">
        <v>30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145949.45148625248</v>
      </c>
      <c r="C3" s="43" t="s">
        <v>169</v>
      </c>
      <c r="D3" s="43"/>
      <c r="E3" s="154"/>
      <c r="F3" s="43"/>
      <c r="G3" s="43"/>
      <c r="H3" s="43"/>
      <c r="I3" s="43"/>
      <c r="J3" s="43"/>
      <c r="K3" s="96"/>
    </row>
    <row r="4" spans="1:11">
      <c r="A4" s="360" t="s">
        <v>170</v>
      </c>
      <c r="B4" s="49">
        <f>IF(ISERROR('SEAP template'!B78+'SEAP template'!C78),0,'SEAP template'!B78+'SEAP template'!C78)</f>
        <v>34503.254900737847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0.1687543817026177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1421.413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1421.413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0.1687543817026177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239.86967195906294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31077.865863584298</v>
      </c>
      <c r="C5" s="17">
        <f>IF(ISERROR('Eigen informatie GS &amp; warmtenet'!B59),0,'Eigen informatie GS &amp; warmtenet'!B59)</f>
        <v>0</v>
      </c>
      <c r="D5" s="30">
        <f>(SUM(HH_hh_gas_kWh,HH_rest_gas_kWh)/1000)*0.903</f>
        <v>90166.070394510549</v>
      </c>
      <c r="E5" s="17">
        <f>B46*B57</f>
        <v>5538.3082066322295</v>
      </c>
      <c r="F5" s="17">
        <f>B51*B62</f>
        <v>0</v>
      </c>
      <c r="G5" s="18"/>
      <c r="H5" s="17"/>
      <c r="I5" s="17"/>
      <c r="J5" s="17">
        <f>B50*B61+C50*C61</f>
        <v>0</v>
      </c>
      <c r="K5" s="17"/>
      <c r="L5" s="17"/>
      <c r="M5" s="17"/>
      <c r="N5" s="17">
        <f>B48*B59+C48*C59</f>
        <v>9159.4690635710795</v>
      </c>
      <c r="O5" s="17">
        <f>B69*B70*B71</f>
        <v>317.43331510192507</v>
      </c>
      <c r="P5" s="17">
        <f>B77*B78*B79/1000-B77*B78*B79/1000/B80</f>
        <v>779.51298876869168</v>
      </c>
    </row>
    <row r="6" spans="1:16">
      <c r="A6" s="16" t="s">
        <v>612</v>
      </c>
      <c r="B6" s="786">
        <f>kWh_PV_kleiner_dan_10kW</f>
        <v>4114.9414725800507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35192.807336164347</v>
      </c>
      <c r="C8" s="21">
        <f>C5</f>
        <v>0</v>
      </c>
      <c r="D8" s="21">
        <f>D5</f>
        <v>90166.070394510549</v>
      </c>
      <c r="E8" s="21">
        <f>E5</f>
        <v>5538.3082066322295</v>
      </c>
      <c r="F8" s="21">
        <f>F5</f>
        <v>0</v>
      </c>
      <c r="G8" s="21"/>
      <c r="H8" s="21"/>
      <c r="I8" s="21"/>
      <c r="J8" s="21">
        <f>J5</f>
        <v>0</v>
      </c>
      <c r="K8" s="21"/>
      <c r="L8" s="21">
        <f>L5</f>
        <v>0</v>
      </c>
      <c r="M8" s="21">
        <f>M5</f>
        <v>0</v>
      </c>
      <c r="N8" s="21">
        <f>N5</f>
        <v>9159.4690635710795</v>
      </c>
      <c r="O8" s="21">
        <f>O5</f>
        <v>317.43331510192507</v>
      </c>
      <c r="P8" s="21">
        <f>P5</f>
        <v>779.51298876869168</v>
      </c>
    </row>
    <row r="9" spans="1:16">
      <c r="B9" s="19"/>
      <c r="C9" s="19"/>
      <c r="D9" s="258"/>
      <c r="E9" s="19"/>
      <c r="F9" s="19"/>
      <c r="G9" s="19"/>
      <c r="H9" s="19"/>
      <c r="I9" s="19"/>
      <c r="J9" s="19"/>
      <c r="K9" s="19"/>
      <c r="L9" s="19"/>
      <c r="M9" s="19"/>
      <c r="N9" s="19"/>
      <c r="O9" s="19"/>
      <c r="P9" s="19"/>
    </row>
    <row r="10" spans="1:16">
      <c r="A10" s="24" t="s">
        <v>213</v>
      </c>
      <c r="B10" s="25">
        <f ca="1">'EF ele_warmte'!B12</f>
        <v>0.1687543817026177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5938.9404423937622</v>
      </c>
      <c r="C12" s="23">
        <f ca="1">C10*C8</f>
        <v>0</v>
      </c>
      <c r="D12" s="23">
        <f>D8*D10</f>
        <v>18213.546219691132</v>
      </c>
      <c r="E12" s="23">
        <f>E10*E8</f>
        <v>1257.1959629055161</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4927</v>
      </c>
      <c r="C18" s="166" t="s">
        <v>110</v>
      </c>
      <c r="D18" s="228"/>
      <c r="E18" s="15"/>
    </row>
    <row r="19" spans="1:7">
      <c r="A19" s="171" t="s">
        <v>71</v>
      </c>
      <c r="B19" s="37">
        <f>aantalw2001_ander</f>
        <v>3</v>
      </c>
      <c r="C19" s="166" t="s">
        <v>110</v>
      </c>
      <c r="D19" s="229"/>
      <c r="E19" s="15"/>
    </row>
    <row r="20" spans="1:7">
      <c r="A20" s="171" t="s">
        <v>72</v>
      </c>
      <c r="B20" s="37">
        <f>aantalw2001_propaan</f>
        <v>85</v>
      </c>
      <c r="C20" s="167">
        <f>IF(ISERROR(B20/SUM($B$20,$B$21,$B$22)*100),0,B20/SUM($B$20,$B$21,$B$22)*100)</f>
        <v>7.7625570776255701</v>
      </c>
      <c r="D20" s="229"/>
      <c r="E20" s="15"/>
    </row>
    <row r="21" spans="1:7">
      <c r="A21" s="171" t="s">
        <v>73</v>
      </c>
      <c r="B21" s="37">
        <f>aantalw2001_elektriciteit</f>
        <v>935</v>
      </c>
      <c r="C21" s="167">
        <f>IF(ISERROR(B21/SUM($B$20,$B$21,$B$22)*100),0,B21/SUM($B$20,$B$21,$B$22)*100)</f>
        <v>85.388127853881286</v>
      </c>
      <c r="D21" s="229"/>
      <c r="E21" s="15"/>
    </row>
    <row r="22" spans="1:7">
      <c r="A22" s="171" t="s">
        <v>74</v>
      </c>
      <c r="B22" s="37">
        <f>aantalw2001_hout</f>
        <v>75</v>
      </c>
      <c r="C22" s="167">
        <f>IF(ISERROR(B22/SUM($B$20,$B$21,$B$22)*100),0,B22/SUM($B$20,$B$21,$B$22)*100)</f>
        <v>6.8493150684931505</v>
      </c>
      <c r="D22" s="229"/>
      <c r="E22" s="15"/>
    </row>
    <row r="23" spans="1:7">
      <c r="A23" s="171" t="s">
        <v>75</v>
      </c>
      <c r="B23" s="37">
        <f>aantalw2001_niet_gespec</f>
        <v>200</v>
      </c>
      <c r="C23" s="166" t="s">
        <v>110</v>
      </c>
      <c r="D23" s="228"/>
      <c r="E23" s="15"/>
    </row>
    <row r="24" spans="1:7">
      <c r="A24" s="171" t="s">
        <v>76</v>
      </c>
      <c r="B24" s="37">
        <f>aantalw2001_steenkool</f>
        <v>148</v>
      </c>
      <c r="C24" s="166" t="s">
        <v>110</v>
      </c>
      <c r="D24" s="229"/>
      <c r="E24" s="15"/>
    </row>
    <row r="25" spans="1:7">
      <c r="A25" s="171" t="s">
        <v>77</v>
      </c>
      <c r="B25" s="37">
        <f>aantalw2001_stookolie</f>
        <v>1641</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9504</v>
      </c>
      <c r="C28" s="36"/>
      <c r="D28" s="228"/>
    </row>
    <row r="29" spans="1:7" s="15" customFormat="1">
      <c r="A29" s="230" t="s">
        <v>839</v>
      </c>
      <c r="B29" s="37">
        <f>SUM(HH_hh_gas_aantal,HH_rest_gas_aantal)</f>
        <v>7446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7446</v>
      </c>
      <c r="C32" s="167">
        <f>IF(ISERROR(B32/SUM($B$32,$B$34,$B$35,$B$36,$B$38,$B$39)*100),0,B32/SUM($B$32,$B$34,$B$35,$B$36,$B$38,$B$39)*100)</f>
        <v>78.960763520678682</v>
      </c>
      <c r="D32" s="233"/>
      <c r="G32" s="15"/>
    </row>
    <row r="33" spans="1:7">
      <c r="A33" s="171" t="s">
        <v>71</v>
      </c>
      <c r="B33" s="34" t="s">
        <v>110</v>
      </c>
      <c r="C33" s="167"/>
      <c r="D33" s="233"/>
      <c r="G33" s="15"/>
    </row>
    <row r="34" spans="1:7">
      <c r="A34" s="171" t="s">
        <v>72</v>
      </c>
      <c r="B34" s="33">
        <f>IF((($B$28-$B$32-$B$39-$B$77-$B$38)*C20/100)&lt;0,0,($B$28-$B$32-$B$39-$B$77-$B$38)*C20/100)</f>
        <v>154.0091324200913</v>
      </c>
      <c r="C34" s="167">
        <f>IF(ISERROR(B34/SUM($B$32,$B$34,$B$35,$B$36,$B$38,$B$39)*100),0,B34/SUM($B$32,$B$34,$B$35,$B$36,$B$38,$B$39)*100)</f>
        <v>1.6331827404039374</v>
      </c>
      <c r="D34" s="233"/>
      <c r="G34" s="15"/>
    </row>
    <row r="35" spans="1:7">
      <c r="A35" s="171" t="s">
        <v>73</v>
      </c>
      <c r="B35" s="33">
        <f>IF((($B$28-$B$32-$B$39-$B$77-$B$38)*C21/100)&lt;0,0,($B$28-$B$32-$B$39-$B$77-$B$38)*C21/100)</f>
        <v>1694.1004566210049</v>
      </c>
      <c r="C35" s="167">
        <f>IF(ISERROR(B35/SUM($B$32,$B$34,$B$35,$B$36,$B$38,$B$39)*100),0,B35/SUM($B$32,$B$34,$B$35,$B$36,$B$38,$B$39)*100)</f>
        <v>17.965010144443319</v>
      </c>
      <c r="D35" s="233"/>
      <c r="G35" s="15"/>
    </row>
    <row r="36" spans="1:7">
      <c r="A36" s="171" t="s">
        <v>74</v>
      </c>
      <c r="B36" s="33">
        <f>IF((($B$28-$B$32-$B$39-$B$77-$B$38)*C22/100)&lt;0,0,($B$28-$B$32-$B$39-$B$77-$B$38)*C22/100)</f>
        <v>135.89041095890411</v>
      </c>
      <c r="C36" s="167">
        <f>IF(ISERROR(B36/SUM($B$32,$B$34,$B$35,$B$36,$B$38,$B$39)*100),0,B36/SUM($B$32,$B$34,$B$35,$B$36,$B$38,$B$39)*100)</f>
        <v>1.4410435944740627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7446</v>
      </c>
      <c r="C44" s="34" t="s">
        <v>110</v>
      </c>
      <c r="D44" s="174"/>
    </row>
    <row r="45" spans="1:7">
      <c r="A45" s="171" t="s">
        <v>71</v>
      </c>
      <c r="B45" s="33" t="str">
        <f t="shared" si="0"/>
        <v>-</v>
      </c>
      <c r="C45" s="34" t="s">
        <v>110</v>
      </c>
      <c r="D45" s="174"/>
    </row>
    <row r="46" spans="1:7">
      <c r="A46" s="171" t="s">
        <v>72</v>
      </c>
      <c r="B46" s="33">
        <f t="shared" si="0"/>
        <v>154.0091324200913</v>
      </c>
      <c r="C46" s="34" t="s">
        <v>110</v>
      </c>
      <c r="D46" s="174"/>
    </row>
    <row r="47" spans="1:7">
      <c r="A47" s="171" t="s">
        <v>73</v>
      </c>
      <c r="B47" s="33">
        <f t="shared" si="0"/>
        <v>1694.1004566210049</v>
      </c>
      <c r="C47" s="34" t="s">
        <v>110</v>
      </c>
      <c r="D47" s="174"/>
    </row>
    <row r="48" spans="1:7">
      <c r="A48" s="171" t="s">
        <v>74</v>
      </c>
      <c r="B48" s="33">
        <f t="shared" si="0"/>
        <v>135.89041095890411</v>
      </c>
      <c r="C48" s="33">
        <f>B48*10</f>
        <v>1358.9041095890411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39106.283934090949</v>
      </c>
      <c r="C5" s="17">
        <f>IF(ISERROR('Eigen informatie GS &amp; warmtenet'!B60),0,'Eigen informatie GS &amp; warmtenet'!B60)</f>
        <v>0</v>
      </c>
      <c r="D5" s="30">
        <f>SUM(D6:D12)</f>
        <v>56450.983493161752</v>
      </c>
      <c r="E5" s="17">
        <f>SUM(E6:E12)</f>
        <v>108.03682994610577</v>
      </c>
      <c r="F5" s="17">
        <f>SUM(F6:F12)</f>
        <v>6469.9337615696759</v>
      </c>
      <c r="G5" s="18"/>
      <c r="H5" s="17"/>
      <c r="I5" s="17"/>
      <c r="J5" s="17">
        <f>SUM(J6:J12)</f>
        <v>4.717588248658465E-2</v>
      </c>
      <c r="K5" s="17"/>
      <c r="L5" s="17"/>
      <c r="M5" s="17"/>
      <c r="N5" s="17">
        <f>SUM(N6:N12)</f>
        <v>1819.9192856830512</v>
      </c>
      <c r="O5" s="17">
        <f>B38*B39*B40</f>
        <v>14.691782297523464</v>
      </c>
      <c r="P5" s="17">
        <f>B46*B47*B48/1000-B46*B47*B48/1000/B49</f>
        <v>420.31310645196015</v>
      </c>
      <c r="R5" s="32"/>
    </row>
    <row r="6" spans="1:18">
      <c r="A6" s="32" t="s">
        <v>53</v>
      </c>
      <c r="B6" s="37">
        <f>B26</f>
        <v>5450.1225144250002</v>
      </c>
      <c r="C6" s="33"/>
      <c r="D6" s="37">
        <f>IF(ISERROR(TER_kantoor_gas_kWh/1000),0,TER_kantoor_gas_kWh/1000)*0.903</f>
        <v>8967.2588215855012</v>
      </c>
      <c r="E6" s="33">
        <f>$C$26*'E Balans VL '!I12/100/3.6*1000000</f>
        <v>1.3057198071203606</v>
      </c>
      <c r="F6" s="33">
        <f>$C$26*('E Balans VL '!L12+'E Balans VL '!N12)/100/3.6*1000000</f>
        <v>516.82871670302256</v>
      </c>
      <c r="G6" s="34"/>
      <c r="H6" s="33"/>
      <c r="I6" s="33"/>
      <c r="J6" s="33">
        <f>$C$26*('E Balans VL '!D12+'E Balans VL '!E12)/100/3.6*1000000</f>
        <v>0</v>
      </c>
      <c r="K6" s="33"/>
      <c r="L6" s="33"/>
      <c r="M6" s="33"/>
      <c r="N6" s="33">
        <f>$C$26*'E Balans VL '!Y12/100/3.6*1000000</f>
        <v>2.7683803368487521</v>
      </c>
      <c r="O6" s="33"/>
      <c r="P6" s="33"/>
      <c r="R6" s="32"/>
    </row>
    <row r="7" spans="1:18">
      <c r="A7" s="32" t="s">
        <v>52</v>
      </c>
      <c r="B7" s="37">
        <f t="shared" ref="B7:B12" si="0">B27</f>
        <v>1942.0321323701198</v>
      </c>
      <c r="C7" s="33"/>
      <c r="D7" s="37">
        <f>IF(ISERROR(TER_horeca_gas_kWh/1000),0,TER_horeca_gas_kWh/1000)*0.903</f>
        <v>3691.5994710505734</v>
      </c>
      <c r="E7" s="33">
        <f>$C$27*'E Balans VL '!I9/100/3.6*1000000</f>
        <v>0</v>
      </c>
      <c r="F7" s="33">
        <f>$C$27*('E Balans VL '!L9+'E Balans VL '!N9)/100/3.6*1000000</f>
        <v>159.24206974019918</v>
      </c>
      <c r="G7" s="34"/>
      <c r="H7" s="33"/>
      <c r="I7" s="33"/>
      <c r="J7" s="33">
        <f>$C$27*('E Balans VL '!D9+'E Balans VL '!E9)/100/3.6*1000000</f>
        <v>0</v>
      </c>
      <c r="K7" s="33"/>
      <c r="L7" s="33"/>
      <c r="M7" s="33"/>
      <c r="N7" s="33">
        <f>$C$27*'E Balans VL '!Y9/100/3.6*1000000</f>
        <v>0.5953108737006505</v>
      </c>
      <c r="O7" s="33"/>
      <c r="P7" s="33"/>
      <c r="R7" s="32"/>
    </row>
    <row r="8" spans="1:18">
      <c r="A8" s="6" t="s">
        <v>51</v>
      </c>
      <c r="B8" s="37">
        <f t="shared" si="0"/>
        <v>10902.191898270801</v>
      </c>
      <c r="C8" s="33"/>
      <c r="D8" s="37">
        <f>IF(ISERROR(TER_handel_gas_kWh/1000),0,TER_handel_gas_kWh/1000)*0.903</f>
        <v>7304.3998097443855</v>
      </c>
      <c r="E8" s="33">
        <f>$C$28*'E Balans VL '!I13/100/3.6*1000000</f>
        <v>38.315245895617522</v>
      </c>
      <c r="F8" s="33">
        <f>$C$28*('E Balans VL '!L13+'E Balans VL '!N13)/100/3.6*1000000</f>
        <v>997.53098018232026</v>
      </c>
      <c r="G8" s="34"/>
      <c r="H8" s="33"/>
      <c r="I8" s="33"/>
      <c r="J8" s="33">
        <f>$C$28*('E Balans VL '!D13+'E Balans VL '!E13)/100/3.6*1000000</f>
        <v>0</v>
      </c>
      <c r="K8" s="33"/>
      <c r="L8" s="33"/>
      <c r="M8" s="33"/>
      <c r="N8" s="33">
        <f>$C$28*'E Balans VL '!Y13/100/3.6*1000000</f>
        <v>3.9483045486269517</v>
      </c>
      <c r="O8" s="33"/>
      <c r="P8" s="33"/>
      <c r="R8" s="32"/>
    </row>
    <row r="9" spans="1:18">
      <c r="A9" s="32" t="s">
        <v>50</v>
      </c>
      <c r="B9" s="37">
        <f t="shared" si="0"/>
        <v>13720.309087973199</v>
      </c>
      <c r="C9" s="33"/>
      <c r="D9" s="37">
        <f>IF(ISERROR(TER_gezond_gas_kWh/1000),0,TER_gezond_gas_kWh/1000)*0.903</f>
        <v>19466.837411489196</v>
      </c>
      <c r="E9" s="33">
        <f>$C$29*'E Balans VL '!I10/100/3.6*1000000</f>
        <v>0</v>
      </c>
      <c r="F9" s="33">
        <f>$C$29*('E Balans VL '!L10+'E Balans VL '!N10)/100/3.6*1000000</f>
        <v>1681.8579488593498</v>
      </c>
      <c r="G9" s="34"/>
      <c r="H9" s="33"/>
      <c r="I9" s="33"/>
      <c r="J9" s="33">
        <f>$C$29*('E Balans VL '!D10+'E Balans VL '!E10)/100/3.6*1000000</f>
        <v>0</v>
      </c>
      <c r="K9" s="33"/>
      <c r="L9" s="33"/>
      <c r="M9" s="33"/>
      <c r="N9" s="33">
        <f>$C$29*'E Balans VL '!Y10/100/3.6*1000000</f>
        <v>101.1777184600722</v>
      </c>
      <c r="O9" s="33"/>
      <c r="P9" s="33"/>
      <c r="R9" s="32"/>
    </row>
    <row r="10" spans="1:18">
      <c r="A10" s="32" t="s">
        <v>49</v>
      </c>
      <c r="B10" s="37">
        <f t="shared" si="0"/>
        <v>4776.9078390385203</v>
      </c>
      <c r="C10" s="33"/>
      <c r="D10" s="37">
        <f>IF(ISERROR(TER_ander_gas_kWh/1000),0,TER_ander_gas_kWh/1000)*0.903</f>
        <v>8264.1284746227557</v>
      </c>
      <c r="E10" s="33">
        <f>$C$30*'E Balans VL '!I14/100/3.6*1000000</f>
        <v>68.415864243367892</v>
      </c>
      <c r="F10" s="33">
        <f>$C$30*('E Balans VL '!L14+'E Balans VL '!N14)/100/3.6*1000000</f>
        <v>2843.855659428677</v>
      </c>
      <c r="G10" s="34"/>
      <c r="H10" s="33"/>
      <c r="I10" s="33"/>
      <c r="J10" s="33">
        <f>$C$30*('E Balans VL '!D14+'E Balans VL '!E14)/100/3.6*1000000</f>
        <v>4.717588248658465E-2</v>
      </c>
      <c r="K10" s="33"/>
      <c r="L10" s="33"/>
      <c r="M10" s="33"/>
      <c r="N10" s="33">
        <f>$C$30*'E Balans VL '!Y14/100/3.6*1000000</f>
        <v>1704.9115844449416</v>
      </c>
      <c r="O10" s="33"/>
      <c r="P10" s="33"/>
      <c r="R10" s="32"/>
    </row>
    <row r="11" spans="1:18">
      <c r="A11" s="32" t="s">
        <v>54</v>
      </c>
      <c r="B11" s="37">
        <f t="shared" si="0"/>
        <v>2314.7204620133098</v>
      </c>
      <c r="C11" s="33"/>
      <c r="D11" s="37">
        <f>IF(ISERROR(TER_onderwijs_gas_kWh/1000),0,TER_onderwijs_gas_kWh/1000)*0.903</f>
        <v>8756.7595046693423</v>
      </c>
      <c r="E11" s="33">
        <f>$C$31*'E Balans VL '!I11/100/3.6*1000000</f>
        <v>0</v>
      </c>
      <c r="F11" s="33">
        <f>$C$31*('E Balans VL '!L11+'E Balans VL '!N11)/100/3.6*1000000</f>
        <v>270.61838665610725</v>
      </c>
      <c r="G11" s="34"/>
      <c r="H11" s="33"/>
      <c r="I11" s="33"/>
      <c r="J11" s="33">
        <f>$C$31*('E Balans VL '!D11+'E Balans VL '!E11)/100/3.6*1000000</f>
        <v>0</v>
      </c>
      <c r="K11" s="33"/>
      <c r="L11" s="33"/>
      <c r="M11" s="33"/>
      <c r="N11" s="33">
        <f>$C$31*'E Balans VL '!Y11/100/3.6*1000000</f>
        <v>6.5179870188611417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900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-2250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40006.283934090949</v>
      </c>
      <c r="C16" s="21">
        <f t="shared" ca="1" si="1"/>
        <v>0</v>
      </c>
      <c r="D16" s="21">
        <f t="shared" ca="1" si="1"/>
        <v>56450.983493161752</v>
      </c>
      <c r="E16" s="21">
        <f t="shared" si="1"/>
        <v>108.03682994610577</v>
      </c>
      <c r="F16" s="21">
        <f t="shared" ca="1" si="1"/>
        <v>6469.9337615696759</v>
      </c>
      <c r="G16" s="21">
        <f t="shared" si="1"/>
        <v>0</v>
      </c>
      <c r="H16" s="21">
        <f t="shared" si="1"/>
        <v>0</v>
      </c>
      <c r="I16" s="21">
        <f t="shared" si="1"/>
        <v>0</v>
      </c>
      <c r="J16" s="21">
        <f t="shared" si="1"/>
        <v>4.717588248658465E-2</v>
      </c>
      <c r="K16" s="21">
        <f t="shared" si="1"/>
        <v>0</v>
      </c>
      <c r="L16" s="21">
        <f t="shared" ca="1" si="1"/>
        <v>0</v>
      </c>
      <c r="M16" s="21">
        <f t="shared" si="1"/>
        <v>0</v>
      </c>
      <c r="N16" s="21">
        <f t="shared" ca="1" si="1"/>
        <v>1819.9192856830512</v>
      </c>
      <c r="O16" s="21">
        <f>O5</f>
        <v>14.691782297523464</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0.1687543817026177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6751.2357095168854</v>
      </c>
      <c r="C20" s="23">
        <f t="shared" ref="C20:P20" ca="1" si="2">C16*C18</f>
        <v>0</v>
      </c>
      <c r="D20" s="23">
        <f t="shared" ca="1" si="2"/>
        <v>11403.098665618674</v>
      </c>
      <c r="E20" s="23">
        <f t="shared" si="2"/>
        <v>24.52436039776601</v>
      </c>
      <c r="F20" s="23">
        <f t="shared" ca="1" si="2"/>
        <v>1727.4723143391036</v>
      </c>
      <c r="G20" s="23">
        <f t="shared" si="2"/>
        <v>0</v>
      </c>
      <c r="H20" s="23">
        <f t="shared" si="2"/>
        <v>0</v>
      </c>
      <c r="I20" s="23">
        <f t="shared" si="2"/>
        <v>0</v>
      </c>
      <c r="J20" s="23">
        <f t="shared" si="2"/>
        <v>1.6700262400250965E-2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5450.1225144250002</v>
      </c>
      <c r="C26" s="39">
        <f>IF(ISERROR(B26*3.6/1000000/'E Balans VL '!Z12*100),0,B26*3.6/1000000/'E Balans VL '!Z12*100)</f>
        <v>0.1537078875619311</v>
      </c>
      <c r="D26" s="237" t="s">
        <v>702</v>
      </c>
      <c r="F26" s="6"/>
    </row>
    <row r="27" spans="1:18">
      <c r="A27" s="231" t="s">
        <v>52</v>
      </c>
      <c r="B27" s="33">
        <f>IF(ISERROR(TER_horeca_ele_kWh/1000),0,TER_horeca_ele_kWh/1000)</f>
        <v>1942.0321323701198</v>
      </c>
      <c r="C27" s="39">
        <f>IF(ISERROR(B27*3.6/1000000/'E Balans VL '!Z9*100),0,B27*3.6/1000000/'E Balans VL '!Z9*100)</f>
        <v>0.14397782537732734</v>
      </c>
      <c r="D27" s="237" t="s">
        <v>702</v>
      </c>
      <c r="F27" s="6"/>
    </row>
    <row r="28" spans="1:18">
      <c r="A28" s="171" t="s">
        <v>51</v>
      </c>
      <c r="B28" s="33">
        <f>IF(ISERROR(TER_handel_ele_kWh/1000),0,TER_handel_ele_kWh/1000)</f>
        <v>10902.191898270801</v>
      </c>
      <c r="C28" s="39">
        <f>IF(ISERROR(B28*3.6/1000000/'E Balans VL '!Z13*100),0,B28*3.6/1000000/'E Balans VL '!Z13*100)</f>
        <v>0.32660374834317651</v>
      </c>
      <c r="D28" s="237" t="s">
        <v>702</v>
      </c>
      <c r="F28" s="6"/>
    </row>
    <row r="29" spans="1:18">
      <c r="A29" s="231" t="s">
        <v>50</v>
      </c>
      <c r="B29" s="33">
        <f>IF(ISERROR(TER_gezond_ele_kWh/1000),0,TER_gezond_ele_kWh/1000)</f>
        <v>13720.309087973199</v>
      </c>
      <c r="C29" s="39">
        <f>IF(ISERROR(B29*3.6/1000000/'E Balans VL '!Z10*100),0,B29*3.6/1000000/'E Balans VL '!Z10*100)</f>
        <v>1.3566695402680315</v>
      </c>
      <c r="D29" s="237" t="s">
        <v>702</v>
      </c>
      <c r="F29" s="6"/>
    </row>
    <row r="30" spans="1:18">
      <c r="A30" s="231" t="s">
        <v>49</v>
      </c>
      <c r="B30" s="33">
        <f>IF(ISERROR(TER_ander_ele_kWh/1000),0,TER_ander_ele_kWh/1000)</f>
        <v>4776.9078390385203</v>
      </c>
      <c r="C30" s="39">
        <f>IF(ISERROR(B30*3.6/1000000/'E Balans VL '!Z14*100),0,B30*3.6/1000000/'E Balans VL '!Z14*100)</f>
        <v>0.1932118054058074</v>
      </c>
      <c r="D30" s="237" t="s">
        <v>702</v>
      </c>
      <c r="F30" s="6"/>
    </row>
    <row r="31" spans="1:18">
      <c r="A31" s="231" t="s">
        <v>54</v>
      </c>
      <c r="B31" s="33">
        <f>IF(ISERROR(TER_onderwijs_ele_kWh/1000),0,TER_onderwijs_ele_kWh/1000)</f>
        <v>2314.7204620133098</v>
      </c>
      <c r="C31" s="39">
        <f>IF(ISERROR(B31*3.6/1000000/'E Balans VL '!Z11*100),0,B31*3.6/1000000/'E Balans VL '!Z11*100)</f>
        <v>0.63595494437199318</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8</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65736.201502075302</v>
      </c>
      <c r="C5" s="17">
        <f>IF(ISERROR('Eigen informatie GS &amp; warmtenet'!B61),0,'Eigen informatie GS &amp; warmtenet'!B61)</f>
        <v>0</v>
      </c>
      <c r="D5" s="30">
        <f>SUM(D6:D15)</f>
        <v>28087.664569835513</v>
      </c>
      <c r="E5" s="17">
        <f>SUM(E6:E15)</f>
        <v>136.665186727974</v>
      </c>
      <c r="F5" s="17">
        <f>SUM(F6:F15)</f>
        <v>2435.7790420691526</v>
      </c>
      <c r="G5" s="18"/>
      <c r="H5" s="17"/>
      <c r="I5" s="17"/>
      <c r="J5" s="17">
        <f>SUM(J6:J15)</f>
        <v>11.328520832113647</v>
      </c>
      <c r="K5" s="17"/>
      <c r="L5" s="17"/>
      <c r="M5" s="17"/>
      <c r="N5" s="17">
        <f>SUM(N6:N15)</f>
        <v>939.18949918477301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5415.9648044056903</v>
      </c>
      <c r="C8" s="33"/>
      <c r="D8" s="37">
        <f>IF( ISERROR(IND_metaal_Gas_kWH/1000),0,IND_metaal_Gas_kWH/1000)*0.903</f>
        <v>7682.1814264120185</v>
      </c>
      <c r="E8" s="33">
        <f>C30*'E Balans VL '!I18/100/3.6*1000000</f>
        <v>27.308239517701168</v>
      </c>
      <c r="F8" s="33">
        <f>C30*'E Balans VL '!L18/100/3.6*1000000+C30*'E Balans VL '!N18/100/3.6*1000000</f>
        <v>370.0297826958398</v>
      </c>
      <c r="G8" s="34"/>
      <c r="H8" s="33"/>
      <c r="I8" s="33"/>
      <c r="J8" s="40">
        <f>C30*'E Balans VL '!D18/100/3.6*1000000+C30*'E Balans VL '!E18/100/3.6*1000000</f>
        <v>4.8017147868550074</v>
      </c>
      <c r="K8" s="33"/>
      <c r="L8" s="33"/>
      <c r="M8" s="33"/>
      <c r="N8" s="33">
        <f>C30*'E Balans VL '!Y18/100/3.6*1000000</f>
        <v>71.978204391742565</v>
      </c>
      <c r="O8" s="33"/>
      <c r="P8" s="33"/>
      <c r="R8" s="32"/>
    </row>
    <row r="9" spans="1:18">
      <c r="A9" s="6" t="s">
        <v>32</v>
      </c>
      <c r="B9" s="37">
        <f t="shared" si="0"/>
        <v>2467.33197895184</v>
      </c>
      <c r="C9" s="33"/>
      <c r="D9" s="37">
        <f>IF( ISERROR(IND_andere_gas_kWh/1000),0,IND_andere_gas_kWh/1000)*0.903</f>
        <v>4288.248819177883</v>
      </c>
      <c r="E9" s="33">
        <f>C31*'E Balans VL '!I19/100/3.6*1000000</f>
        <v>7.7776135350519242</v>
      </c>
      <c r="F9" s="33">
        <f>C31*'E Balans VL '!L19/100/3.6*1000000+C31*'E Balans VL '!N19/100/3.6*1000000</f>
        <v>1510.3968647106722</v>
      </c>
      <c r="G9" s="34"/>
      <c r="H9" s="33"/>
      <c r="I9" s="33"/>
      <c r="J9" s="40">
        <f>C31*'E Balans VL '!D19/100/3.6*1000000+C31*'E Balans VL '!E19/100/3.6*1000000</f>
        <v>0</v>
      </c>
      <c r="K9" s="33"/>
      <c r="L9" s="33"/>
      <c r="M9" s="33"/>
      <c r="N9" s="33">
        <f>C31*'E Balans VL '!Y19/100/3.6*1000000</f>
        <v>103.45858007228891</v>
      </c>
      <c r="O9" s="33"/>
      <c r="P9" s="33"/>
      <c r="R9" s="32"/>
    </row>
    <row r="10" spans="1:18">
      <c r="A10" s="6" t="s">
        <v>40</v>
      </c>
      <c r="B10" s="37">
        <f t="shared" si="0"/>
        <v>18798.364757548701</v>
      </c>
      <c r="C10" s="33"/>
      <c r="D10" s="37">
        <f>IF( ISERROR(IND_voed_gas_kWh/1000),0,IND_voed_gas_kWh/1000)*0.903</f>
        <v>13374.938432908672</v>
      </c>
      <c r="E10" s="33">
        <f>C32*'E Balans VL '!I20/100/3.6*1000000</f>
        <v>29.959314030511766</v>
      </c>
      <c r="F10" s="33">
        <f>C32*'E Balans VL '!L20/100/3.6*1000000+C32*'E Balans VL '!N20/100/3.6*1000000</f>
        <v>305.42776090569521</v>
      </c>
      <c r="G10" s="34"/>
      <c r="H10" s="33"/>
      <c r="I10" s="33"/>
      <c r="J10" s="40">
        <f>C32*'E Balans VL '!D20/100/3.6*1000000+C32*'E Balans VL '!E20/100/3.6*1000000</f>
        <v>0</v>
      </c>
      <c r="K10" s="33"/>
      <c r="L10" s="33"/>
      <c r="M10" s="33"/>
      <c r="N10" s="33">
        <f>C32*'E Balans VL '!Y20/100/3.6*1000000</f>
        <v>593.7462450685008</v>
      </c>
      <c r="O10" s="33"/>
      <c r="P10" s="33"/>
      <c r="R10" s="32"/>
    </row>
    <row r="11" spans="1:18">
      <c r="A11" s="6" t="s">
        <v>39</v>
      </c>
      <c r="B11" s="37">
        <f t="shared" si="0"/>
        <v>9.1904527155071989</v>
      </c>
      <c r="C11" s="33"/>
      <c r="D11" s="37">
        <f>IF( ISERROR(IND_textiel_gas_kWh/1000),0,IND_textiel_gas_kWh/1000)*0.903</f>
        <v>0</v>
      </c>
      <c r="E11" s="33">
        <f>C33*'E Balans VL '!I21/100/3.6*1000000</f>
        <v>1.3333667531245428E-2</v>
      </c>
      <c r="F11" s="33">
        <f>C33*'E Balans VL '!L21/100/3.6*1000000+C33*'E Balans VL '!N21/100/3.6*1000000</f>
        <v>0.17986306466606924</v>
      </c>
      <c r="G11" s="34"/>
      <c r="H11" s="33"/>
      <c r="I11" s="33"/>
      <c r="J11" s="40">
        <f>C33*'E Balans VL '!D21/100/3.6*1000000+C33*'E Balans VL '!E21/100/3.6*1000000</f>
        <v>0</v>
      </c>
      <c r="K11" s="33"/>
      <c r="L11" s="33"/>
      <c r="M11" s="33"/>
      <c r="N11" s="33">
        <f>C33*'E Balans VL '!Y21/100/3.6*1000000</f>
        <v>0.44773799817140486</v>
      </c>
      <c r="O11" s="33"/>
      <c r="P11" s="33"/>
      <c r="R11" s="32"/>
    </row>
    <row r="12" spans="1:18">
      <c r="A12" s="6" t="s">
        <v>36</v>
      </c>
      <c r="B12" s="37">
        <f t="shared" si="0"/>
        <v>724.94078147769994</v>
      </c>
      <c r="C12" s="33"/>
      <c r="D12" s="37">
        <f>IF( ISERROR(IND_min_gas_kWh/1000),0,IND_min_gas_kWh/1000)*0.903</f>
        <v>0</v>
      </c>
      <c r="E12" s="33">
        <f>C34*'E Balans VL '!I22/100/3.6*1000000</f>
        <v>3.1370150639977554</v>
      </c>
      <c r="F12" s="33">
        <f>C34*'E Balans VL '!L22/100/3.6*1000000+C34*'E Balans VL '!N22/100/3.6*1000000</f>
        <v>27.679133924994105</v>
      </c>
      <c r="G12" s="34"/>
      <c r="H12" s="33"/>
      <c r="I12" s="33"/>
      <c r="J12" s="40">
        <f>C34*'E Balans VL '!D22/100/3.6*1000000+C34*'E Balans VL '!E22/100/3.6*1000000</f>
        <v>0</v>
      </c>
      <c r="K12" s="33"/>
      <c r="L12" s="33"/>
      <c r="M12" s="33"/>
      <c r="N12" s="33">
        <f>C34*'E Balans VL '!Y22/100/3.6*1000000</f>
        <v>123.65856699522018</v>
      </c>
      <c r="O12" s="33"/>
      <c r="P12" s="33"/>
      <c r="R12" s="32"/>
    </row>
    <row r="13" spans="1:18">
      <c r="A13" s="6" t="s">
        <v>38</v>
      </c>
      <c r="B13" s="37">
        <f t="shared" si="0"/>
        <v>35603.981987147097</v>
      </c>
      <c r="C13" s="33"/>
      <c r="D13" s="37">
        <f>IF( ISERROR(IND_papier_gas_kWh/1000),0,IND_papier_gas_kWh/1000)*0.903</f>
        <v>2627.8853510772428</v>
      </c>
      <c r="E13" s="33">
        <f>C35*'E Balans VL '!I23/100/3.6*1000000</f>
        <v>0</v>
      </c>
      <c r="F13" s="33">
        <f>C35*'E Balans VL '!L23/100/3.6*1000000+C35*'E Balans VL '!N23/100/3.6*1000000</f>
        <v>1.5425300539220002</v>
      </c>
      <c r="G13" s="34"/>
      <c r="H13" s="33"/>
      <c r="I13" s="33"/>
      <c r="J13" s="40">
        <f>C35*'E Balans VL '!D23/100/3.6*1000000+C35*'E Balans VL '!E23/100/3.6*1000000</f>
        <v>0.98105950846588152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2716.4267398287702</v>
      </c>
      <c r="C15" s="33"/>
      <c r="D15" s="37">
        <f>IF( ISERROR(IND_rest_gas_kWh/1000),0,IND_rest_gas_kWh/1000)*0.903</f>
        <v>114.41054025969801</v>
      </c>
      <c r="E15" s="33">
        <f>C37*'E Balans VL '!I15/100/3.6*1000000</f>
        <v>68.469670913180167</v>
      </c>
      <c r="F15" s="33">
        <f>C37*'E Balans VL '!L15/100/3.6*1000000+C37*'E Balans VL '!N15/100/3.6*1000000</f>
        <v>220.52310671336298</v>
      </c>
      <c r="G15" s="34"/>
      <c r="H15" s="33"/>
      <c r="I15" s="33"/>
      <c r="J15" s="40">
        <f>C37*'E Balans VL '!D15/100/3.6*1000000+C37*'E Balans VL '!E15/100/3.6*1000000</f>
        <v>5.5457465367927581</v>
      </c>
      <c r="K15" s="33"/>
      <c r="L15" s="33"/>
      <c r="M15" s="33"/>
      <c r="N15" s="33">
        <f>C37*'E Balans VL '!Y15/100/3.6*1000000</f>
        <v>45.90016465884915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65736.201502075302</v>
      </c>
      <c r="C18" s="21">
        <f>C5+C16</f>
        <v>0</v>
      </c>
      <c r="D18" s="21">
        <f>MAX((D5+D16),0)</f>
        <v>28087.664569835513</v>
      </c>
      <c r="E18" s="21">
        <f>MAX((E5+E16),0)</f>
        <v>136.665186727974</v>
      </c>
      <c r="F18" s="21">
        <f>MAX((F5+F16),0)</f>
        <v>2435.7790420691526</v>
      </c>
      <c r="G18" s="21"/>
      <c r="H18" s="21"/>
      <c r="I18" s="21"/>
      <c r="J18" s="21">
        <f>MAX((J5+J16),0)</f>
        <v>11.328520832113647</v>
      </c>
      <c r="K18" s="21"/>
      <c r="L18" s="21">
        <f>MAX((L5+L16),0)</f>
        <v>0</v>
      </c>
      <c r="M18" s="21"/>
      <c r="N18" s="21">
        <f>MAX((N5+N16),0)</f>
        <v>939.18949918477301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0.1687543817026177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11093.272039961406</v>
      </c>
      <c r="C22" s="23">
        <f ca="1">C18*C20</f>
        <v>0</v>
      </c>
      <c r="D22" s="23">
        <f>D18*D20</f>
        <v>5673.7082431067738</v>
      </c>
      <c r="E22" s="23">
        <f>E18*E20</f>
        <v>31.022997387250101</v>
      </c>
      <c r="F22" s="23">
        <f>F18*F20</f>
        <v>650.35300423246383</v>
      </c>
      <c r="G22" s="23"/>
      <c r="H22" s="23"/>
      <c r="I22" s="23"/>
      <c r="J22" s="23">
        <f>J18*J20</f>
        <v>4.010296374568231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5415.9648044056903</v>
      </c>
      <c r="C30" s="39">
        <f>IF(ISERROR(B30*3.6/1000000/'E Balans VL '!Z18*100),0,B30*3.6/1000000/'E Balans VL '!Z18*100)</f>
        <v>0.26883628666684256</v>
      </c>
      <c r="D30" s="237" t="s">
        <v>702</v>
      </c>
    </row>
    <row r="31" spans="1:18">
      <c r="A31" s="6" t="s">
        <v>32</v>
      </c>
      <c r="B31" s="37">
        <f>IF( ISERROR(IND_ander_ele_kWh/1000),0,IND_ander_ele_kWh/1000)</f>
        <v>2467.33197895184</v>
      </c>
      <c r="C31" s="39">
        <f>IF(ISERROR(B31*3.6/1000000/'E Balans VL '!Z19*100),0,B31*3.6/1000000/'E Balans VL '!Z19*100)</f>
        <v>8.3259810898254363E-2</v>
      </c>
      <c r="D31" s="237" t="s">
        <v>702</v>
      </c>
    </row>
    <row r="32" spans="1:18">
      <c r="A32" s="171" t="s">
        <v>40</v>
      </c>
      <c r="B32" s="37">
        <f>IF( ISERROR(IND_voed_ele_kWh/1000),0,IND_voed_ele_kWh/1000)</f>
        <v>18798.364757548701</v>
      </c>
      <c r="C32" s="39">
        <f>IF(ISERROR(B32*3.6/1000000/'E Balans VL '!Z20*100),0,B32*3.6/1000000/'E Balans VL '!Z20*100)</f>
        <v>0.44146668336369166</v>
      </c>
      <c r="D32" s="237" t="s">
        <v>702</v>
      </c>
    </row>
    <row r="33" spans="1:5">
      <c r="A33" s="171" t="s">
        <v>39</v>
      </c>
      <c r="B33" s="37">
        <f>IF( ISERROR(IND_textiel_ele_kWh/1000),0,IND_textiel_ele_kWh/1000)</f>
        <v>9.1904527155071989</v>
      </c>
      <c r="C33" s="39">
        <f>IF(ISERROR(B33*3.6/1000000/'E Balans VL '!Z21*100),0,B33*3.6/1000000/'E Balans VL '!Z21*100)</f>
        <v>1.0086405360891686E-3</v>
      </c>
      <c r="D33" s="237" t="s">
        <v>702</v>
      </c>
    </row>
    <row r="34" spans="1:5">
      <c r="A34" s="171" t="s">
        <v>36</v>
      </c>
      <c r="B34" s="37">
        <f>IF( ISERROR(IND_min_ele_kWh/1000),0,IND_min_ele_kWh/1000)</f>
        <v>724.94078147769994</v>
      </c>
      <c r="C34" s="39">
        <f>IF(ISERROR(B34*3.6/1000000/'E Balans VL '!Z22*100),0,B34*3.6/1000000/'E Balans VL '!Z22*100)</f>
        <v>0.10284789857132268</v>
      </c>
      <c r="D34" s="237" t="s">
        <v>702</v>
      </c>
    </row>
    <row r="35" spans="1:5">
      <c r="A35" s="171" t="s">
        <v>38</v>
      </c>
      <c r="B35" s="37">
        <f>IF( ISERROR(IND_papier_ele_kWh/1000),0,IND_papier_ele_kWh/1000)</f>
        <v>35603.981987147097</v>
      </c>
      <c r="C35" s="39">
        <f>IF(ISERROR(B35*3.6/1000000/'E Balans VL '!Z22*100),0,B35*3.6/1000000/'E Balans VL '!Z22*100)</f>
        <v>5.0511639318803381</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2716.4267398287702</v>
      </c>
      <c r="C37" s="39">
        <f>IF(ISERROR(B37*3.6/1000000/'E Balans VL '!Z15*100),0,B37*3.6/1000000/'E Balans VL '!Z15*100)</f>
        <v>1.0179888534474303E-2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2338.9865102386602</v>
      </c>
      <c r="C5" s="17">
        <f>'Eigen informatie GS &amp; warmtenet'!B62</f>
        <v>0</v>
      </c>
      <c r="D5" s="30">
        <f>IF(ISERROR(SUM(LB_lb_gas_kWh,LB_rest_gas_kWh)/1000),0,SUM(LB_lb_gas_kWh,LB_rest_gas_kWh)/1000)*0.903</f>
        <v>320.13833153399497</v>
      </c>
      <c r="E5" s="17">
        <f>B17*'E Balans VL '!I25/3.6*1000000/100</f>
        <v>87.227961416166224</v>
      </c>
      <c r="F5" s="17">
        <f>B17*('E Balans VL '!L25/3.6*1000000+'E Balans VL '!N25/3.6*1000000)/100</f>
        <v>7588.5760591788903</v>
      </c>
      <c r="G5" s="18"/>
      <c r="H5" s="17"/>
      <c r="I5" s="17"/>
      <c r="J5" s="17">
        <f>('E Balans VL '!D25+'E Balans VL '!E25)/3.6*1000000*landbouw!B17/100</f>
        <v>613.99550629683597</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2338.9865102386602</v>
      </c>
      <c r="C8" s="21">
        <f>C5+C6</f>
        <v>62.357142857142847</v>
      </c>
      <c r="D8" s="21">
        <f>MAX((D5+D6),0)</f>
        <v>320.13833153399497</v>
      </c>
      <c r="E8" s="21">
        <f>MAX((E5+E6),0)</f>
        <v>87.227961416166224</v>
      </c>
      <c r="F8" s="21">
        <f>MAX((F5+F6),0)</f>
        <v>7588.5760591788903</v>
      </c>
      <c r="G8" s="21"/>
      <c r="H8" s="21"/>
      <c r="I8" s="21"/>
      <c r="J8" s="21">
        <f>MAX((J5+J6),0)</f>
        <v>613.99550629683597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0.1687543817026177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394.7142223460886</v>
      </c>
      <c r="C12" s="23">
        <f ca="1">C8*C10</f>
        <v>0</v>
      </c>
      <c r="D12" s="23">
        <f>D8*D10</f>
        <v>64.667942969866985</v>
      </c>
      <c r="E12" s="23">
        <f>E8*E10</f>
        <v>19.800747241469733</v>
      </c>
      <c r="F12" s="23">
        <f>F8*F10</f>
        <v>2026.1498078007639</v>
      </c>
      <c r="G12" s="23"/>
      <c r="H12" s="23"/>
      <c r="I12" s="23"/>
      <c r="J12" s="23">
        <f>J8*J10</f>
        <v>217.35440922907992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0.3212536935530515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404.95921516937409</v>
      </c>
      <c r="C26" s="247">
        <f>B26*'GWP N2O_CH4'!B5</f>
        <v>8504.1435185568553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222.89691964309716</v>
      </c>
      <c r="C27" s="247">
        <f>B27*'GWP N2O_CH4'!B5</f>
        <v>4680.8353125050407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5.0014464320562855</v>
      </c>
      <c r="C28" s="247">
        <f>B28*'GWP N2O_CH4'!B4</f>
        <v>1550.4483939374486</v>
      </c>
      <c r="D28" s="50"/>
    </row>
    <row r="29" spans="1:4">
      <c r="A29" s="41" t="s">
        <v>276</v>
      </c>
      <c r="B29" s="247">
        <f>B34*'ha_N2O bodem landbouw'!B4</f>
        <v>10.477133002749605</v>
      </c>
      <c r="C29" s="247">
        <f>B29*'GWP N2O_CH4'!B4</f>
        <v>3247.9112308523777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2.3877685320474926E-3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2.9532880955033945E-4</v>
      </c>
      <c r="C5" s="440" t="s">
        <v>210</v>
      </c>
      <c r="D5" s="425">
        <f>SUM(D6:D11)</f>
        <v>1.1786277906875586E-3</v>
      </c>
      <c r="E5" s="425">
        <f>SUM(E6:E11)</f>
        <v>6.3317213613516335E-4</v>
      </c>
      <c r="F5" s="438" t="s">
        <v>210</v>
      </c>
      <c r="G5" s="425">
        <f>SUM(G6:G11)</f>
        <v>0.37922461041157218</v>
      </c>
      <c r="H5" s="425">
        <f>SUM(H6:H11)</f>
        <v>7.5176745154367688E-2</v>
      </c>
      <c r="I5" s="440" t="s">
        <v>210</v>
      </c>
      <c r="J5" s="440" t="s">
        <v>210</v>
      </c>
      <c r="K5" s="440" t="s">
        <v>210</v>
      </c>
      <c r="L5" s="440" t="s">
        <v>210</v>
      </c>
      <c r="M5" s="425">
        <f>SUM(M6:M11)</f>
        <v>2.6576852860245182E-2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2.5071763566112001E-4</v>
      </c>
      <c r="C6" s="426"/>
      <c r="D6" s="893">
        <f>vkm_GW_PW*SUMIFS(TableVerdeelsleutelVkm[CNG],TableVerdeelsleutelVkm[Voertuigtype],"Lichte voertuigen")*SUMIFS(TableECFTransport[EnergieConsumptieFactor (PJ per km)],TableECFTransport[Index],CONCATENATE($A6,"_CNG_CNG"))</f>
        <v>9.0551558853867132E-4</v>
      </c>
      <c r="E6" s="893">
        <f>vkm_GW_PW*SUMIFS(TableVerdeelsleutelVkm[LPG],TableVerdeelsleutelVkm[Voertuigtype],"Lichte voertuigen")*SUMIFS(TableECFTransport[EnergieConsumptieFactor (PJ per km)],TableECFTransport[Index],CONCATENATE($A6,"_LPG_LPG"))</f>
        <v>4.9212447898255027E-4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0.15314610571199547</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5.7959651894127329E-2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1.2651534161549885E-2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0.16515848923980783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1.7387131058791092E-6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9.298681638374301E-3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4.4611173889219447E-5</v>
      </c>
      <c r="C8" s="426"/>
      <c r="D8" s="428">
        <f>vkm_NGW_PW*SUMIFS(TableVerdeelsleutelVkm[CNG],TableVerdeelsleutelVkm[Voertuigtype],"Lichte voertuigen")*SUMIFS(TableECFTransport[EnergieConsumptieFactor (PJ per km)],TableECFTransport[Index],CONCATENATE($A8,"_CNG_CNG"))</f>
        <v>2.7311220214888731E-4</v>
      </c>
      <c r="E8" s="428">
        <f>vkm_NGW_PW*SUMIFS(TableVerdeelsleutelVkm[LPG],TableVerdeelsleutelVkm[Voertuigtype],"Lichte voertuigen")*SUMIFS(TableECFTransport[EnergieConsumptieFactor (PJ per km)],TableECFTransport[Index],CONCATENATE($A8,"_LPG_LPG"))</f>
        <v>1.4104765715261308E-4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4.084743632335102E-2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1.7215047621532812E-2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3.4965127677479067E-3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2.007257913641786E-2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3.0692560166868072E-7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1.1301242925730909E-3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82.035780430649851</v>
      </c>
      <c r="C14" s="21"/>
      <c r="D14" s="21">
        <f t="shared" ref="D14:M14" si="0">((D5)*10^9/3600)+D12</f>
        <v>327.39660852432189</v>
      </c>
      <c r="E14" s="21">
        <f t="shared" si="0"/>
        <v>175.88114892643426</v>
      </c>
      <c r="F14" s="21"/>
      <c r="G14" s="21">
        <f t="shared" si="0"/>
        <v>105340.16955877004</v>
      </c>
      <c r="H14" s="21">
        <f t="shared" si="0"/>
        <v>20882.429209546579</v>
      </c>
      <c r="I14" s="21"/>
      <c r="J14" s="21"/>
      <c r="K14" s="21"/>
      <c r="L14" s="21"/>
      <c r="M14" s="21">
        <f t="shared" si="0"/>
        <v>7382.4591278458838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0.1687543817026177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13.84389740406602</v>
      </c>
      <c r="C18" s="23"/>
      <c r="D18" s="23">
        <f t="shared" ref="D18:M18" si="1">D14*D16</f>
        <v>66.134114921913024</v>
      </c>
      <c r="E18" s="23">
        <f t="shared" si="1"/>
        <v>39.92502080630058</v>
      </c>
      <c r="F18" s="23"/>
      <c r="G18" s="23">
        <f t="shared" si="1"/>
        <v>28125.825272191603</v>
      </c>
      <c r="H18" s="23">
        <f t="shared" si="1"/>
        <v>5199.7248731770978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4.570836005170555E-3</v>
      </c>
      <c r="H50" s="321">
        <f t="shared" si="2"/>
        <v>0</v>
      </c>
      <c r="I50" s="321">
        <f t="shared" si="2"/>
        <v>0</v>
      </c>
      <c r="J50" s="321">
        <f t="shared" si="2"/>
        <v>0</v>
      </c>
      <c r="K50" s="321">
        <f t="shared" si="2"/>
        <v>0</v>
      </c>
      <c r="L50" s="321">
        <f t="shared" si="2"/>
        <v>0</v>
      </c>
      <c r="M50" s="321">
        <f t="shared" si="2"/>
        <v>2.4803959524085728E-4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4.570836005170555E-3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2.4803959524085728E-4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1269.6766681029319</v>
      </c>
      <c r="H54" s="21">
        <f t="shared" si="3"/>
        <v>0</v>
      </c>
      <c r="I54" s="21">
        <f t="shared" si="3"/>
        <v>0</v>
      </c>
      <c r="J54" s="21">
        <f t="shared" si="3"/>
        <v>0</v>
      </c>
      <c r="K54" s="21">
        <f t="shared" si="3"/>
        <v>0</v>
      </c>
      <c r="L54" s="21">
        <f t="shared" si="3"/>
        <v>0</v>
      </c>
      <c r="M54" s="21">
        <f t="shared" si="3"/>
        <v>68.899887566904795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0.1687543817026177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339.00367038348281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41427.696934090949</v>
      </c>
      <c r="D10" s="689">
        <f ca="1">tertiair!C16</f>
        <v>0</v>
      </c>
      <c r="E10" s="689">
        <f ca="1">tertiair!D16</f>
        <v>56450.983493161752</v>
      </c>
      <c r="F10" s="689">
        <f>tertiair!E16</f>
        <v>108.03682994610577</v>
      </c>
      <c r="G10" s="689">
        <f ca="1">tertiair!F16</f>
        <v>6469.9337615696759</v>
      </c>
      <c r="H10" s="689">
        <f>tertiair!G16</f>
        <v>0</v>
      </c>
      <c r="I10" s="689">
        <f>tertiair!H16</f>
        <v>0</v>
      </c>
      <c r="J10" s="689">
        <f>tertiair!I16</f>
        <v>0</v>
      </c>
      <c r="K10" s="689">
        <f>tertiair!J16</f>
        <v>4.717588248658465E-2</v>
      </c>
      <c r="L10" s="689">
        <f>tertiair!K16</f>
        <v>0</v>
      </c>
      <c r="M10" s="689">
        <f ca="1">tertiair!L16</f>
        <v>0</v>
      </c>
      <c r="N10" s="689">
        <f>tertiair!M16</f>
        <v>0</v>
      </c>
      <c r="O10" s="689">
        <f ca="1">tertiair!N16</f>
        <v>1819.9192856830512</v>
      </c>
      <c r="P10" s="689">
        <f>tertiair!O16</f>
        <v>14.691782297523464</v>
      </c>
      <c r="Q10" s="690">
        <f>tertiair!P16</f>
        <v>420.31310645196015</v>
      </c>
      <c r="R10" s="692">
        <f ca="1">SUM(C10:Q10)</f>
        <v>106711.62236908349</v>
      </c>
      <c r="S10" s="67"/>
    </row>
    <row r="11" spans="1:19" s="451" customFormat="1">
      <c r="A11" s="811" t="s">
        <v>224</v>
      </c>
      <c r="B11" s="816"/>
      <c r="C11" s="689">
        <f>huishoudens!B8</f>
        <v>35192.807336164347</v>
      </c>
      <c r="D11" s="689">
        <f>huishoudens!C8</f>
        <v>0</v>
      </c>
      <c r="E11" s="689">
        <f>huishoudens!D8</f>
        <v>90166.070394510549</v>
      </c>
      <c r="F11" s="689">
        <f>huishoudens!E8</f>
        <v>5538.3082066322295</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9159.4690635710795</v>
      </c>
      <c r="P11" s="689">
        <f>huishoudens!O8</f>
        <v>317.43331510192507</v>
      </c>
      <c r="Q11" s="690">
        <f>huishoudens!P8</f>
        <v>779.51298876869168</v>
      </c>
      <c r="R11" s="692">
        <f>SUM(C11:Q11)</f>
        <v>141153.60130474882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65736.201502075302</v>
      </c>
      <c r="D13" s="689">
        <f>industrie!C18</f>
        <v>0</v>
      </c>
      <c r="E13" s="689">
        <f>industrie!D18</f>
        <v>28087.664569835513</v>
      </c>
      <c r="F13" s="689">
        <f>industrie!E18</f>
        <v>136.665186727974</v>
      </c>
      <c r="G13" s="689">
        <f>industrie!F18</f>
        <v>2435.7790420691526</v>
      </c>
      <c r="H13" s="689">
        <f>industrie!G18</f>
        <v>0</v>
      </c>
      <c r="I13" s="689">
        <f>industrie!H18</f>
        <v>0</v>
      </c>
      <c r="J13" s="689">
        <f>industrie!I18</f>
        <v>0</v>
      </c>
      <c r="K13" s="689">
        <f>industrie!J18</f>
        <v>11.328520832113647</v>
      </c>
      <c r="L13" s="689">
        <f>industrie!K18</f>
        <v>0</v>
      </c>
      <c r="M13" s="689">
        <f>industrie!L18</f>
        <v>0</v>
      </c>
      <c r="N13" s="689">
        <f>industrie!M18</f>
        <v>0</v>
      </c>
      <c r="O13" s="689">
        <f>industrie!N18</f>
        <v>939.18949918477301</v>
      </c>
      <c r="P13" s="689">
        <f>industrie!O18</f>
        <v>0</v>
      </c>
      <c r="Q13" s="690">
        <f>industrie!P18</f>
        <v>0</v>
      </c>
      <c r="R13" s="692">
        <f>SUM(C13:Q13)</f>
        <v>97346.828320724831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142356.70577233061</v>
      </c>
      <c r="D16" s="725">
        <f t="shared" ref="D16:R16" ca="1" si="0">SUM(D9:D15)</f>
        <v>0</v>
      </c>
      <c r="E16" s="725">
        <f t="shared" ca="1" si="0"/>
        <v>174704.71845750784</v>
      </c>
      <c r="F16" s="725">
        <f t="shared" si="0"/>
        <v>5783.0102233063099</v>
      </c>
      <c r="G16" s="725">
        <f t="shared" ca="1" si="0"/>
        <v>8905.7128036388276</v>
      </c>
      <c r="H16" s="725">
        <f t="shared" si="0"/>
        <v>0</v>
      </c>
      <c r="I16" s="725">
        <f t="shared" si="0"/>
        <v>0</v>
      </c>
      <c r="J16" s="725">
        <f t="shared" si="0"/>
        <v>0</v>
      </c>
      <c r="K16" s="725">
        <f t="shared" si="0"/>
        <v>11.375696714600231</v>
      </c>
      <c r="L16" s="725">
        <f t="shared" si="0"/>
        <v>0</v>
      </c>
      <c r="M16" s="725">
        <f t="shared" ca="1" si="0"/>
        <v>0</v>
      </c>
      <c r="N16" s="725">
        <f t="shared" si="0"/>
        <v>0</v>
      </c>
      <c r="O16" s="725">
        <f t="shared" ca="1" si="0"/>
        <v>11918.577848438903</v>
      </c>
      <c r="P16" s="725">
        <f t="shared" si="0"/>
        <v>332.12509739944852</v>
      </c>
      <c r="Q16" s="725">
        <f t="shared" si="0"/>
        <v>1199.826095220652</v>
      </c>
      <c r="R16" s="725">
        <f t="shared" ca="1" si="0"/>
        <v>345212.05199455714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1269.6766681029319</v>
      </c>
      <c r="I19" s="689">
        <f>transport!H54</f>
        <v>0</v>
      </c>
      <c r="J19" s="689">
        <f>transport!I54</f>
        <v>0</v>
      </c>
      <c r="K19" s="689">
        <f>transport!J54</f>
        <v>0</v>
      </c>
      <c r="L19" s="689">
        <f>transport!K54</f>
        <v>0</v>
      </c>
      <c r="M19" s="689">
        <f>transport!L54</f>
        <v>0</v>
      </c>
      <c r="N19" s="689">
        <f>transport!M54</f>
        <v>68.899887566904795</v>
      </c>
      <c r="O19" s="689">
        <f>transport!N54</f>
        <v>0</v>
      </c>
      <c r="P19" s="689">
        <f>transport!O54</f>
        <v>0</v>
      </c>
      <c r="Q19" s="690">
        <f>transport!P54</f>
        <v>0</v>
      </c>
      <c r="R19" s="692">
        <f>SUM(C19:Q19)</f>
        <v>1338.5765556698366</v>
      </c>
      <c r="S19" s="67"/>
    </row>
    <row r="20" spans="1:19" s="451" customFormat="1">
      <c r="A20" s="811" t="s">
        <v>306</v>
      </c>
      <c r="B20" s="816"/>
      <c r="C20" s="689">
        <f>transport!B14</f>
        <v>82.035780430649851</v>
      </c>
      <c r="D20" s="689">
        <f>transport!C14</f>
        <v>0</v>
      </c>
      <c r="E20" s="689">
        <f>transport!D14</f>
        <v>327.39660852432189</v>
      </c>
      <c r="F20" s="689">
        <f>transport!E14</f>
        <v>175.88114892643426</v>
      </c>
      <c r="G20" s="689">
        <f>transport!F14</f>
        <v>0</v>
      </c>
      <c r="H20" s="689">
        <f>transport!G14</f>
        <v>105340.16955877004</v>
      </c>
      <c r="I20" s="689">
        <f>transport!H14</f>
        <v>20882.429209546579</v>
      </c>
      <c r="J20" s="689">
        <f>transport!I14</f>
        <v>0</v>
      </c>
      <c r="K20" s="689">
        <f>transport!J14</f>
        <v>0</v>
      </c>
      <c r="L20" s="689">
        <f>transport!K14</f>
        <v>0</v>
      </c>
      <c r="M20" s="689">
        <f>transport!L14</f>
        <v>0</v>
      </c>
      <c r="N20" s="689">
        <f>transport!M14</f>
        <v>7382.4591278458838</v>
      </c>
      <c r="O20" s="689">
        <f>transport!N14</f>
        <v>0</v>
      </c>
      <c r="P20" s="689">
        <f>transport!O14</f>
        <v>0</v>
      </c>
      <c r="Q20" s="690">
        <f>transport!P14</f>
        <v>0</v>
      </c>
      <c r="R20" s="692">
        <f>SUM(C20:Q20)</f>
        <v>134190.37143404392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82.035780430649851</v>
      </c>
      <c r="D22" s="814">
        <f t="shared" ref="D22:R22" si="1">SUM(D18:D21)</f>
        <v>0</v>
      </c>
      <c r="E22" s="814">
        <f t="shared" si="1"/>
        <v>327.39660852432189</v>
      </c>
      <c r="F22" s="814">
        <f t="shared" si="1"/>
        <v>175.88114892643426</v>
      </c>
      <c r="G22" s="814">
        <f t="shared" si="1"/>
        <v>0</v>
      </c>
      <c r="H22" s="814">
        <f t="shared" si="1"/>
        <v>106609.84622687296</v>
      </c>
      <c r="I22" s="814">
        <f t="shared" si="1"/>
        <v>20882.429209546579</v>
      </c>
      <c r="J22" s="814">
        <f t="shared" si="1"/>
        <v>0</v>
      </c>
      <c r="K22" s="814">
        <f t="shared" si="1"/>
        <v>0</v>
      </c>
      <c r="L22" s="814">
        <f t="shared" si="1"/>
        <v>0</v>
      </c>
      <c r="M22" s="814">
        <f t="shared" si="1"/>
        <v>0</v>
      </c>
      <c r="N22" s="814">
        <f t="shared" si="1"/>
        <v>7451.3590154127887</v>
      </c>
      <c r="O22" s="814">
        <f t="shared" si="1"/>
        <v>0</v>
      </c>
      <c r="P22" s="814">
        <f t="shared" si="1"/>
        <v>0</v>
      </c>
      <c r="Q22" s="814">
        <f t="shared" si="1"/>
        <v>0</v>
      </c>
      <c r="R22" s="814">
        <f t="shared" si="1"/>
        <v>135528.94798971375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2338.9865102386602</v>
      </c>
      <c r="D24" s="689">
        <f>+landbouw!C8</f>
        <v>62.357142857142847</v>
      </c>
      <c r="E24" s="689">
        <f>+landbouw!D8</f>
        <v>320.13833153399497</v>
      </c>
      <c r="F24" s="689">
        <f>+landbouw!E8</f>
        <v>87.227961416166224</v>
      </c>
      <c r="G24" s="689">
        <f>+landbouw!F8</f>
        <v>7588.5760591788903</v>
      </c>
      <c r="H24" s="689">
        <f>+landbouw!G8</f>
        <v>0</v>
      </c>
      <c r="I24" s="689">
        <f>+landbouw!H8</f>
        <v>0</v>
      </c>
      <c r="J24" s="689">
        <f>+landbouw!I8</f>
        <v>0</v>
      </c>
      <c r="K24" s="689">
        <f>+landbouw!J8</f>
        <v>613.99550629683597</v>
      </c>
      <c r="L24" s="689">
        <f>+landbouw!K8</f>
        <v>0</v>
      </c>
      <c r="M24" s="689">
        <f>+landbouw!L8</f>
        <v>0</v>
      </c>
      <c r="N24" s="689">
        <f>+landbouw!M8</f>
        <v>0</v>
      </c>
      <c r="O24" s="689">
        <f>+landbouw!N8</f>
        <v>0</v>
      </c>
      <c r="P24" s="689">
        <f>+landbouw!O8</f>
        <v>0</v>
      </c>
      <c r="Q24" s="690">
        <f>+landbouw!P8</f>
        <v>0</v>
      </c>
      <c r="R24" s="692">
        <f>SUM(C24:Q24)</f>
        <v>11011.281511521691</v>
      </c>
      <c r="S24" s="67"/>
    </row>
    <row r="25" spans="1:19" s="451" customFormat="1" ht="15" thickBot="1">
      <c r="A25" s="833" t="s">
        <v>714</v>
      </c>
      <c r="B25" s="947"/>
      <c r="C25" s="948">
        <f>IF(Onbekend_ele_kWh="---",0,Onbekend_ele_kWh)/1000+IF(REST_rest_ele_kWh="---",0,REST_rest_ele_kWh)/1000</f>
        <v>1171.72342325257</v>
      </c>
      <c r="D25" s="948"/>
      <c r="E25" s="948">
        <f>IF(onbekend_gas_kWh="---",0,onbekend_gas_kWh)/1000+IF(REST_rest_gas_kWh="---",0,REST_rest_gas_kWh)/1000</f>
        <v>2857.7818179453602</v>
      </c>
      <c r="F25" s="948"/>
      <c r="G25" s="948"/>
      <c r="H25" s="948"/>
      <c r="I25" s="948"/>
      <c r="J25" s="948"/>
      <c r="K25" s="948"/>
      <c r="L25" s="948"/>
      <c r="M25" s="948"/>
      <c r="N25" s="948"/>
      <c r="O25" s="948"/>
      <c r="P25" s="948"/>
      <c r="Q25" s="949"/>
      <c r="R25" s="692">
        <f>SUM(C25:Q25)</f>
        <v>4029.5052411979304</v>
      </c>
      <c r="S25" s="67"/>
    </row>
    <row r="26" spans="1:19" s="451" customFormat="1" ht="15.75" thickBot="1">
      <c r="A26" s="697" t="s">
        <v>715</v>
      </c>
      <c r="B26" s="819"/>
      <c r="C26" s="814">
        <f>SUM(C24:C25)</f>
        <v>3510.70993349123</v>
      </c>
      <c r="D26" s="814">
        <f t="shared" ref="D26:R26" si="2">SUM(D24:D25)</f>
        <v>62.357142857142847</v>
      </c>
      <c r="E26" s="814">
        <f t="shared" si="2"/>
        <v>3177.9201494793551</v>
      </c>
      <c r="F26" s="814">
        <f t="shared" si="2"/>
        <v>87.227961416166224</v>
      </c>
      <c r="G26" s="814">
        <f t="shared" si="2"/>
        <v>7588.5760591788903</v>
      </c>
      <c r="H26" s="814">
        <f t="shared" si="2"/>
        <v>0</v>
      </c>
      <c r="I26" s="814">
        <f t="shared" si="2"/>
        <v>0</v>
      </c>
      <c r="J26" s="814">
        <f t="shared" si="2"/>
        <v>0</v>
      </c>
      <c r="K26" s="814">
        <f t="shared" si="2"/>
        <v>613.99550629683597</v>
      </c>
      <c r="L26" s="814">
        <f t="shared" si="2"/>
        <v>0</v>
      </c>
      <c r="M26" s="814">
        <f t="shared" si="2"/>
        <v>0</v>
      </c>
      <c r="N26" s="814">
        <f t="shared" si="2"/>
        <v>0</v>
      </c>
      <c r="O26" s="814">
        <f t="shared" si="2"/>
        <v>0</v>
      </c>
      <c r="P26" s="814">
        <f t="shared" si="2"/>
        <v>0</v>
      </c>
      <c r="Q26" s="814">
        <f t="shared" si="2"/>
        <v>0</v>
      </c>
      <c r="R26" s="814">
        <f t="shared" si="2"/>
        <v>15040.786752719621</v>
      </c>
      <c r="S26" s="67"/>
    </row>
    <row r="27" spans="1:19" s="451" customFormat="1" ht="17.25" thickTop="1" thickBot="1">
      <c r="A27" s="698" t="s">
        <v>115</v>
      </c>
      <c r="B27" s="806"/>
      <c r="C27" s="699">
        <f ca="1">C22+C16+C26</f>
        <v>145949.45148625248</v>
      </c>
      <c r="D27" s="699">
        <f t="shared" ref="D27:R27" ca="1" si="3">D22+D16+D26</f>
        <v>62.357142857142847</v>
      </c>
      <c r="E27" s="699">
        <f t="shared" ca="1" si="3"/>
        <v>178210.03521551151</v>
      </c>
      <c r="F27" s="699">
        <f t="shared" si="3"/>
        <v>6046.1193336489105</v>
      </c>
      <c r="G27" s="699">
        <f t="shared" ca="1" si="3"/>
        <v>16494.288862817717</v>
      </c>
      <c r="H27" s="699">
        <f t="shared" si="3"/>
        <v>106609.84622687296</v>
      </c>
      <c r="I27" s="699">
        <f t="shared" si="3"/>
        <v>20882.429209546579</v>
      </c>
      <c r="J27" s="699">
        <f t="shared" si="3"/>
        <v>0</v>
      </c>
      <c r="K27" s="699">
        <f t="shared" si="3"/>
        <v>625.37120301143625</v>
      </c>
      <c r="L27" s="699">
        <f t="shared" si="3"/>
        <v>0</v>
      </c>
      <c r="M27" s="699">
        <f t="shared" ca="1" si="3"/>
        <v>0</v>
      </c>
      <c r="N27" s="699">
        <f t="shared" si="3"/>
        <v>7451.3590154127887</v>
      </c>
      <c r="O27" s="699">
        <f t="shared" ca="1" si="3"/>
        <v>11918.577848438903</v>
      </c>
      <c r="P27" s="699">
        <f t="shared" si="3"/>
        <v>332.12509739944852</v>
      </c>
      <c r="Q27" s="699">
        <f t="shared" si="3"/>
        <v>1199.826095220652</v>
      </c>
      <c r="R27" s="699">
        <f t="shared" ca="1" si="3"/>
        <v>495781.7867369905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6991.105381475948</v>
      </c>
      <c r="D40" s="689">
        <f ca="1">tertiair!C20</f>
        <v>0</v>
      </c>
      <c r="E40" s="689">
        <f ca="1">tertiair!D20</f>
        <v>11403.098665618674</v>
      </c>
      <c r="F40" s="689">
        <f>tertiair!E20</f>
        <v>24.52436039776601</v>
      </c>
      <c r="G40" s="689">
        <f ca="1">tertiair!F20</f>
        <v>1727.4723143391036</v>
      </c>
      <c r="H40" s="689">
        <f>tertiair!G20</f>
        <v>0</v>
      </c>
      <c r="I40" s="689">
        <f>tertiair!H20</f>
        <v>0</v>
      </c>
      <c r="J40" s="689">
        <f>tertiair!I20</f>
        <v>0</v>
      </c>
      <c r="K40" s="689">
        <f>tertiair!J20</f>
        <v>1.6700262400250965E-2</v>
      </c>
      <c r="L40" s="689">
        <f>tertiair!K20</f>
        <v>0</v>
      </c>
      <c r="M40" s="689">
        <f ca="1">tertiair!L20</f>
        <v>0</v>
      </c>
      <c r="N40" s="689">
        <f>tertiair!M20</f>
        <v>0</v>
      </c>
      <c r="O40" s="689">
        <f ca="1">tertiair!N20</f>
        <v>0</v>
      </c>
      <c r="P40" s="689">
        <f>tertiair!O20</f>
        <v>0</v>
      </c>
      <c r="Q40" s="772">
        <f>tertiair!P20</f>
        <v>0</v>
      </c>
      <c r="R40" s="852">
        <f t="shared" ca="1" si="4"/>
        <v>20146.21742209389</v>
      </c>
    </row>
    <row r="41" spans="1:18">
      <c r="A41" s="824" t="s">
        <v>224</v>
      </c>
      <c r="B41" s="831"/>
      <c r="C41" s="689">
        <f ca="1">huishoudens!B12</f>
        <v>5938.9404423937622</v>
      </c>
      <c r="D41" s="689">
        <f ca="1">huishoudens!C12</f>
        <v>0</v>
      </c>
      <c r="E41" s="689">
        <f>huishoudens!D12</f>
        <v>18213.546219691132</v>
      </c>
      <c r="F41" s="689">
        <f>huishoudens!E12</f>
        <v>1257.1959629055161</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25409.682624990412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11093.272039961406</v>
      </c>
      <c r="D43" s="689">
        <f ca="1">industrie!C22</f>
        <v>0</v>
      </c>
      <c r="E43" s="689">
        <f>industrie!D22</f>
        <v>5673.7082431067738</v>
      </c>
      <c r="F43" s="689">
        <f>industrie!E22</f>
        <v>31.022997387250101</v>
      </c>
      <c r="G43" s="689">
        <f>industrie!F22</f>
        <v>650.35300423246383</v>
      </c>
      <c r="H43" s="689">
        <f>industrie!G22</f>
        <v>0</v>
      </c>
      <c r="I43" s="689">
        <f>industrie!H22</f>
        <v>0</v>
      </c>
      <c r="J43" s="689">
        <f>industrie!I22</f>
        <v>0</v>
      </c>
      <c r="K43" s="689">
        <f>industrie!J22</f>
        <v>4.010296374568231</v>
      </c>
      <c r="L43" s="689">
        <f>industrie!K22</f>
        <v>0</v>
      </c>
      <c r="M43" s="689">
        <f>industrie!L22</f>
        <v>0</v>
      </c>
      <c r="N43" s="689">
        <f>industrie!M22</f>
        <v>0</v>
      </c>
      <c r="O43" s="689">
        <f>industrie!N22</f>
        <v>0</v>
      </c>
      <c r="P43" s="689">
        <f>industrie!O22</f>
        <v>0</v>
      </c>
      <c r="Q43" s="772">
        <f>industrie!P22</f>
        <v>0</v>
      </c>
      <c r="R43" s="851">
        <f t="shared" ca="1" si="4"/>
        <v>17452.366581062459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24023.317863831115</v>
      </c>
      <c r="D46" s="725">
        <f t="shared" ref="D46:Q46" ca="1" si="5">SUM(D39:D45)</f>
        <v>0</v>
      </c>
      <c r="E46" s="725">
        <f t="shared" ca="1" si="5"/>
        <v>35290.35312841658</v>
      </c>
      <c r="F46" s="725">
        <f t="shared" si="5"/>
        <v>1312.7433206905323</v>
      </c>
      <c r="G46" s="725">
        <f t="shared" ca="1" si="5"/>
        <v>2377.8253185715675</v>
      </c>
      <c r="H46" s="725">
        <f t="shared" si="5"/>
        <v>0</v>
      </c>
      <c r="I46" s="725">
        <f t="shared" si="5"/>
        <v>0</v>
      </c>
      <c r="J46" s="725">
        <f t="shared" si="5"/>
        <v>0</v>
      </c>
      <c r="K46" s="725">
        <f t="shared" si="5"/>
        <v>4.026996636968482</v>
      </c>
      <c r="L46" s="725">
        <f t="shared" si="5"/>
        <v>0</v>
      </c>
      <c r="M46" s="725">
        <f t="shared" ca="1" si="5"/>
        <v>0</v>
      </c>
      <c r="N46" s="725">
        <f t="shared" si="5"/>
        <v>0</v>
      </c>
      <c r="O46" s="725">
        <f t="shared" ca="1" si="5"/>
        <v>0</v>
      </c>
      <c r="P46" s="725">
        <f t="shared" si="5"/>
        <v>0</v>
      </c>
      <c r="Q46" s="725">
        <f t="shared" si="5"/>
        <v>0</v>
      </c>
      <c r="R46" s="725">
        <f ca="1">SUM(R39:R45)</f>
        <v>63008.266628146761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339.00367038348281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339.00367038348281</v>
      </c>
    </row>
    <row r="50" spans="1:18">
      <c r="A50" s="827" t="s">
        <v>306</v>
      </c>
      <c r="B50" s="837"/>
      <c r="C50" s="695">
        <f ca="1">transport!B18</f>
        <v>13.84389740406602</v>
      </c>
      <c r="D50" s="695">
        <f>transport!C18</f>
        <v>0</v>
      </c>
      <c r="E50" s="695">
        <f>transport!D18</f>
        <v>66.134114921913024</v>
      </c>
      <c r="F50" s="695">
        <f>transport!E18</f>
        <v>39.92502080630058</v>
      </c>
      <c r="G50" s="695">
        <f>transport!F18</f>
        <v>0</v>
      </c>
      <c r="H50" s="695">
        <f>transport!G18</f>
        <v>28125.825272191603</v>
      </c>
      <c r="I50" s="695">
        <f>transport!H18</f>
        <v>5199.7248731770978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33445.453178500982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13.84389740406602</v>
      </c>
      <c r="D52" s="725">
        <f t="shared" ref="D52:Q52" ca="1" si="6">SUM(D48:D51)</f>
        <v>0</v>
      </c>
      <c r="E52" s="725">
        <f t="shared" si="6"/>
        <v>66.134114921913024</v>
      </c>
      <c r="F52" s="725">
        <f t="shared" si="6"/>
        <v>39.92502080630058</v>
      </c>
      <c r="G52" s="725">
        <f t="shared" si="6"/>
        <v>0</v>
      </c>
      <c r="H52" s="725">
        <f t="shared" si="6"/>
        <v>28464.828942575085</v>
      </c>
      <c r="I52" s="725">
        <f t="shared" si="6"/>
        <v>5199.7248731770978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33784.456848884467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394.7142223460886</v>
      </c>
      <c r="D54" s="695">
        <f ca="1">+landbouw!C12</f>
        <v>0</v>
      </c>
      <c r="E54" s="695">
        <f>+landbouw!D12</f>
        <v>64.667942969866985</v>
      </c>
      <c r="F54" s="695">
        <f>+landbouw!E12</f>
        <v>19.800747241469733</v>
      </c>
      <c r="G54" s="695">
        <f>+landbouw!F12</f>
        <v>2026.1498078007639</v>
      </c>
      <c r="H54" s="695">
        <f>+landbouw!G12</f>
        <v>0</v>
      </c>
      <c r="I54" s="695">
        <f>+landbouw!H12</f>
        <v>0</v>
      </c>
      <c r="J54" s="695">
        <f>+landbouw!I12</f>
        <v>0</v>
      </c>
      <c r="K54" s="695">
        <f>+landbouw!J12</f>
        <v>217.35440922907992</v>
      </c>
      <c r="L54" s="695">
        <f>+landbouw!K12</f>
        <v>0</v>
      </c>
      <c r="M54" s="695">
        <f>+landbouw!L12</f>
        <v>0</v>
      </c>
      <c r="N54" s="695">
        <f>+landbouw!M12</f>
        <v>0</v>
      </c>
      <c r="O54" s="695">
        <f>+landbouw!N12</f>
        <v>0</v>
      </c>
      <c r="P54" s="695">
        <f>+landbouw!O12</f>
        <v>0</v>
      </c>
      <c r="Q54" s="696">
        <f>+landbouw!P12</f>
        <v>0</v>
      </c>
      <c r="R54" s="724">
        <f ca="1">SUM(C54:Q54)</f>
        <v>2722.6871295872693</v>
      </c>
    </row>
    <row r="55" spans="1:18" ht="15" thickBot="1">
      <c r="A55" s="827" t="s">
        <v>714</v>
      </c>
      <c r="B55" s="837"/>
      <c r="C55" s="695">
        <f ca="1">C25*'EF ele_warmte'!B12</f>
        <v>197.73346181746206</v>
      </c>
      <c r="D55" s="695"/>
      <c r="E55" s="695">
        <f>E25*EF_CO2_aardgas</f>
        <v>577.27192722496284</v>
      </c>
      <c r="F55" s="695"/>
      <c r="G55" s="695"/>
      <c r="H55" s="695"/>
      <c r="I55" s="695"/>
      <c r="J55" s="695"/>
      <c r="K55" s="695"/>
      <c r="L55" s="695"/>
      <c r="M55" s="695"/>
      <c r="N55" s="695"/>
      <c r="O55" s="695"/>
      <c r="P55" s="695"/>
      <c r="Q55" s="696"/>
      <c r="R55" s="724">
        <f ca="1">SUM(C55:Q55)</f>
        <v>775.00538904242489</v>
      </c>
    </row>
    <row r="56" spans="1:18" ht="15.75" thickBot="1">
      <c r="A56" s="825" t="s">
        <v>715</v>
      </c>
      <c r="B56" s="838"/>
      <c r="C56" s="725">
        <f ca="1">SUM(C54:C55)</f>
        <v>592.44768416355066</v>
      </c>
      <c r="D56" s="725">
        <f t="shared" ref="D56:Q56" ca="1" si="7">SUM(D54:D55)</f>
        <v>0</v>
      </c>
      <c r="E56" s="725">
        <f t="shared" si="7"/>
        <v>641.93987019482984</v>
      </c>
      <c r="F56" s="725">
        <f t="shared" si="7"/>
        <v>19.800747241469733</v>
      </c>
      <c r="G56" s="725">
        <f t="shared" si="7"/>
        <v>2026.1498078007639</v>
      </c>
      <c r="H56" s="725">
        <f t="shared" si="7"/>
        <v>0</v>
      </c>
      <c r="I56" s="725">
        <f t="shared" si="7"/>
        <v>0</v>
      </c>
      <c r="J56" s="725">
        <f t="shared" si="7"/>
        <v>0</v>
      </c>
      <c r="K56" s="725">
        <f t="shared" si="7"/>
        <v>217.35440922907992</v>
      </c>
      <c r="L56" s="725">
        <f t="shared" si="7"/>
        <v>0</v>
      </c>
      <c r="M56" s="725">
        <f t="shared" si="7"/>
        <v>0</v>
      </c>
      <c r="N56" s="725">
        <f t="shared" si="7"/>
        <v>0</v>
      </c>
      <c r="O56" s="725">
        <f t="shared" si="7"/>
        <v>0</v>
      </c>
      <c r="P56" s="725">
        <f t="shared" si="7"/>
        <v>0</v>
      </c>
      <c r="Q56" s="726">
        <f t="shared" si="7"/>
        <v>0</v>
      </c>
      <c r="R56" s="727">
        <f ca="1">SUM(R54:R55)</f>
        <v>3497.692518629694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24629.609445398732</v>
      </c>
      <c r="D61" s="733">
        <f t="shared" ref="D61:Q61" ca="1" si="8">D46+D52+D56</f>
        <v>0</v>
      </c>
      <c r="E61" s="733">
        <f t="shared" ca="1" si="8"/>
        <v>35998.427113533326</v>
      </c>
      <c r="F61" s="733">
        <f t="shared" si="8"/>
        <v>1372.4690887383026</v>
      </c>
      <c r="G61" s="733">
        <f t="shared" ca="1" si="8"/>
        <v>4403.9751263723319</v>
      </c>
      <c r="H61" s="733">
        <f t="shared" si="8"/>
        <v>28464.828942575085</v>
      </c>
      <c r="I61" s="733">
        <f t="shared" si="8"/>
        <v>5199.7248731770978</v>
      </c>
      <c r="J61" s="733">
        <f t="shared" si="8"/>
        <v>0</v>
      </c>
      <c r="K61" s="733">
        <f t="shared" si="8"/>
        <v>221.3814058660484</v>
      </c>
      <c r="L61" s="733">
        <f t="shared" si="8"/>
        <v>0</v>
      </c>
      <c r="M61" s="733">
        <f t="shared" ca="1" si="8"/>
        <v>0</v>
      </c>
      <c r="N61" s="733">
        <f t="shared" si="8"/>
        <v>0</v>
      </c>
      <c r="O61" s="733">
        <f t="shared" ca="1" si="8"/>
        <v>0</v>
      </c>
      <c r="P61" s="733">
        <f t="shared" si="8"/>
        <v>0</v>
      </c>
      <c r="Q61" s="733">
        <f t="shared" si="8"/>
        <v>0</v>
      </c>
      <c r="R61" s="733">
        <f ca="1">R46+R52+R56</f>
        <v>100290.41599566091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0.16875438170261767</v>
      </c>
      <c r="D63" s="779">
        <f t="shared" ca="1" si="9"/>
        <v>0</v>
      </c>
      <c r="E63" s="973">
        <f t="shared" ca="1" si="9"/>
        <v>0.20200000000000001</v>
      </c>
      <c r="F63" s="779">
        <f t="shared" si="9"/>
        <v>0.22699999999999998</v>
      </c>
      <c r="G63" s="779">
        <f t="shared" ca="1" si="9"/>
        <v>0.26700000000000007</v>
      </c>
      <c r="H63" s="779">
        <f t="shared" si="9"/>
        <v>0.26700000000000002</v>
      </c>
      <c r="I63" s="779">
        <f t="shared" si="9"/>
        <v>0.24899999999999997</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28349.103719577291</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5210.5011811605536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900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2250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34503.254900737847</v>
      </c>
      <c r="C78" s="751">
        <f>SUM(C72:C77)</f>
        <v>0</v>
      </c>
      <c r="D78" s="752">
        <f t="shared" ref="D78:H78" si="10">SUM(D76:D77)</f>
        <v>0</v>
      </c>
      <c r="E78" s="752">
        <f t="shared" si="10"/>
        <v>0</v>
      </c>
      <c r="F78" s="752">
        <f t="shared" si="10"/>
        <v>0</v>
      </c>
      <c r="G78" s="752">
        <f t="shared" si="10"/>
        <v>0</v>
      </c>
      <c r="H78" s="752">
        <f t="shared" si="10"/>
        <v>0</v>
      </c>
      <c r="I78" s="752">
        <f>SUM(I76:I77)</f>
        <v>2250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28349.103719577291</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5210.5011811605536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900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34503.254900737847</v>
      </c>
      <c r="C10" s="566">
        <f t="shared" ref="C10:L10" si="0">SUM(C8:C9)</f>
        <v>0</v>
      </c>
      <c r="D10" s="566">
        <f t="shared" si="0"/>
        <v>0</v>
      </c>
      <c r="E10" s="566">
        <f t="shared" si="0"/>
        <v>0</v>
      </c>
      <c r="F10" s="566">
        <f t="shared" si="0"/>
        <v>0</v>
      </c>
      <c r="G10" s="566">
        <f t="shared" si="0"/>
        <v>0</v>
      </c>
      <c r="H10" s="566">
        <f t="shared" si="0"/>
        <v>0</v>
      </c>
      <c r="I10" s="566">
        <f t="shared" si="0"/>
        <v>2250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38.25">
      <c r="A28" s="595"/>
      <c r="B28" s="794">
        <v>43005</v>
      </c>
      <c r="C28" s="794">
        <v>9900</v>
      </c>
      <c r="D28" s="643"/>
      <c r="E28" s="642"/>
      <c r="F28" s="642" t="s">
        <v>865</v>
      </c>
      <c r="G28" s="642" t="s">
        <v>866</v>
      </c>
      <c r="H28" s="642" t="s">
        <v>867</v>
      </c>
      <c r="I28" s="642" t="s">
        <v>868</v>
      </c>
      <c r="J28" s="793">
        <v>42003</v>
      </c>
      <c r="K28" s="793">
        <v>42466</v>
      </c>
      <c r="L28" s="642" t="s">
        <v>869</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63.75">
      <c r="A35" s="597"/>
      <c r="B35" s="794">
        <v>43005</v>
      </c>
      <c r="C35" s="794">
        <v>9900</v>
      </c>
      <c r="D35" s="645" t="s">
        <v>870</v>
      </c>
      <c r="E35" s="645" t="s">
        <v>871</v>
      </c>
      <c r="F35" s="645" t="s">
        <v>872</v>
      </c>
      <c r="G35" s="645" t="s">
        <v>873</v>
      </c>
      <c r="H35" s="645" t="s">
        <v>874</v>
      </c>
      <c r="I35" s="645" t="s">
        <v>875</v>
      </c>
      <c r="J35" s="793">
        <v>39066</v>
      </c>
      <c r="K35" s="793">
        <v>39142</v>
      </c>
      <c r="L35" s="645" t="s">
        <v>876</v>
      </c>
      <c r="M35" s="645">
        <v>200</v>
      </c>
      <c r="N35" s="645">
        <v>900</v>
      </c>
      <c r="O35" s="645">
        <v>0</v>
      </c>
      <c r="P35" s="645">
        <v>0</v>
      </c>
      <c r="Q35" s="645">
        <v>0</v>
      </c>
      <c r="R35" s="645">
        <v>0</v>
      </c>
      <c r="S35" s="645">
        <v>0</v>
      </c>
      <c r="T35" s="645">
        <v>0</v>
      </c>
      <c r="U35" s="645">
        <v>2250</v>
      </c>
      <c r="V35" s="645">
        <v>0</v>
      </c>
      <c r="W35" s="645">
        <v>0</v>
      </c>
      <c r="X35" s="645">
        <v>1600</v>
      </c>
      <c r="Y35" s="645" t="s">
        <v>49</v>
      </c>
      <c r="Z35" s="646" t="s">
        <v>155</v>
      </c>
    </row>
    <row r="36" spans="1:27" s="576" customFormat="1">
      <c r="A36" s="598" t="s">
        <v>279</v>
      </c>
      <c r="B36" s="599"/>
      <c r="C36" s="599"/>
      <c r="D36" s="599"/>
      <c r="E36" s="599"/>
      <c r="F36" s="599"/>
      <c r="G36" s="599"/>
      <c r="H36" s="599"/>
      <c r="I36" s="599"/>
      <c r="J36" s="599"/>
      <c r="K36" s="599"/>
      <c r="L36" s="600"/>
      <c r="M36" s="600">
        <f>SUM(M35:M35)</f>
        <v>200</v>
      </c>
      <c r="N36" s="600">
        <f>SUM(N35:N35)</f>
        <v>900</v>
      </c>
      <c r="O36" s="600">
        <f>SUM(O35:O35)</f>
        <v>0</v>
      </c>
      <c r="P36" s="600">
        <f>SUM(P35:P35)</f>
        <v>0</v>
      </c>
      <c r="Q36" s="600">
        <f>SUM(Q35:Q35)</f>
        <v>0</v>
      </c>
      <c r="R36" s="600">
        <f>SUM(R35:R35)</f>
        <v>0</v>
      </c>
      <c r="S36" s="600">
        <f>SUM(S35:S35)</f>
        <v>0</v>
      </c>
      <c r="T36" s="600">
        <f>SUM(T35:T35)</f>
        <v>0</v>
      </c>
      <c r="U36" s="600">
        <f>SUM(U35:U35)</f>
        <v>2250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200</v>
      </c>
      <c r="N38" s="600">
        <f>SUMIF($Z$35:$Z$36,"tertiair",N35:N36)</f>
        <v>900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2250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35192.807336164347</v>
      </c>
      <c r="C4" s="455">
        <f>huishoudens!C8</f>
        <v>0</v>
      </c>
      <c r="D4" s="455">
        <f>huishoudens!D8</f>
        <v>90166.070394510549</v>
      </c>
      <c r="E4" s="455">
        <f>huishoudens!E8</f>
        <v>5538.3082066322295</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9159.4690635710795</v>
      </c>
      <c r="O4" s="455">
        <f>huishoudens!O8</f>
        <v>317.43331510192507</v>
      </c>
      <c r="P4" s="456">
        <f>huishoudens!P8</f>
        <v>779.51298876869168</v>
      </c>
      <c r="Q4" s="457">
        <f>SUM(B4:P4)</f>
        <v>141153.60130474882</v>
      </c>
    </row>
    <row r="5" spans="1:17">
      <c r="A5" s="454" t="s">
        <v>155</v>
      </c>
      <c r="B5" s="455">
        <f ca="1">tertiair!B16</f>
        <v>40006.283934090949</v>
      </c>
      <c r="C5" s="455">
        <f ca="1">tertiair!C16</f>
        <v>0</v>
      </c>
      <c r="D5" s="455">
        <f ca="1">tertiair!D16</f>
        <v>56450.983493161752</v>
      </c>
      <c r="E5" s="455">
        <f>tertiair!E16</f>
        <v>108.03682994610577</v>
      </c>
      <c r="F5" s="455">
        <f ca="1">tertiair!F16</f>
        <v>6469.9337615696759</v>
      </c>
      <c r="G5" s="455">
        <f>tertiair!G16</f>
        <v>0</v>
      </c>
      <c r="H5" s="455">
        <f>tertiair!H16</f>
        <v>0</v>
      </c>
      <c r="I5" s="455">
        <f>tertiair!I16</f>
        <v>0</v>
      </c>
      <c r="J5" s="455">
        <f>tertiair!J16</f>
        <v>4.717588248658465E-2</v>
      </c>
      <c r="K5" s="455">
        <f>tertiair!K16</f>
        <v>0</v>
      </c>
      <c r="L5" s="455">
        <f ca="1">tertiair!L16</f>
        <v>0</v>
      </c>
      <c r="M5" s="455">
        <f>tertiair!M16</f>
        <v>0</v>
      </c>
      <c r="N5" s="455">
        <f ca="1">tertiair!N16</f>
        <v>1819.9192856830512</v>
      </c>
      <c r="O5" s="455">
        <f>tertiair!O16</f>
        <v>14.691782297523464</v>
      </c>
      <c r="P5" s="456">
        <f>tertiair!P16</f>
        <v>420.31310645196015</v>
      </c>
      <c r="Q5" s="454">
        <f t="shared" ref="Q5:Q14" ca="1" si="0">SUM(B5:P5)</f>
        <v>105290.20936908349</v>
      </c>
    </row>
    <row r="6" spans="1:17">
      <c r="A6" s="454" t="s">
        <v>193</v>
      </c>
      <c r="B6" s="455">
        <f>'openbare verlichting'!B8</f>
        <v>1421.413</v>
      </c>
      <c r="C6" s="455"/>
      <c r="D6" s="455"/>
      <c r="E6" s="455"/>
      <c r="F6" s="455"/>
      <c r="G6" s="455"/>
      <c r="H6" s="455"/>
      <c r="I6" s="455"/>
      <c r="J6" s="455"/>
      <c r="K6" s="455"/>
      <c r="L6" s="455"/>
      <c r="M6" s="455"/>
      <c r="N6" s="455"/>
      <c r="O6" s="455"/>
      <c r="P6" s="456"/>
      <c r="Q6" s="454">
        <f t="shared" si="0"/>
        <v>1421.413</v>
      </c>
    </row>
    <row r="7" spans="1:17">
      <c r="A7" s="454" t="s">
        <v>111</v>
      </c>
      <c r="B7" s="455">
        <f>landbouw!B8</f>
        <v>2338.9865102386602</v>
      </c>
      <c r="C7" s="455">
        <f>landbouw!C8</f>
        <v>62.357142857142847</v>
      </c>
      <c r="D7" s="455">
        <f>landbouw!D8</f>
        <v>320.13833153399497</v>
      </c>
      <c r="E7" s="455">
        <f>landbouw!E8</f>
        <v>87.227961416166224</v>
      </c>
      <c r="F7" s="455">
        <f>landbouw!F8</f>
        <v>7588.5760591788903</v>
      </c>
      <c r="G7" s="455">
        <f>landbouw!G8</f>
        <v>0</v>
      </c>
      <c r="H7" s="455">
        <f>landbouw!H8</f>
        <v>0</v>
      </c>
      <c r="I7" s="455">
        <f>landbouw!I8</f>
        <v>0</v>
      </c>
      <c r="J7" s="455">
        <f>landbouw!J8</f>
        <v>613.99550629683597</v>
      </c>
      <c r="K7" s="455">
        <f>landbouw!K8</f>
        <v>0</v>
      </c>
      <c r="L7" s="455">
        <f>landbouw!L8</f>
        <v>0</v>
      </c>
      <c r="M7" s="455">
        <f>landbouw!M8</f>
        <v>0</v>
      </c>
      <c r="N7" s="455">
        <f>landbouw!N8</f>
        <v>0</v>
      </c>
      <c r="O7" s="455">
        <f>landbouw!O8</f>
        <v>0</v>
      </c>
      <c r="P7" s="456">
        <f>landbouw!P8</f>
        <v>0</v>
      </c>
      <c r="Q7" s="454">
        <f t="shared" si="0"/>
        <v>11011.281511521691</v>
      </c>
    </row>
    <row r="8" spans="1:17">
      <c r="A8" s="454" t="s">
        <v>626</v>
      </c>
      <c r="B8" s="455">
        <f>industrie!B18</f>
        <v>65736.201502075302</v>
      </c>
      <c r="C8" s="455">
        <f>industrie!C18</f>
        <v>0</v>
      </c>
      <c r="D8" s="455">
        <f>industrie!D18</f>
        <v>28087.664569835513</v>
      </c>
      <c r="E8" s="455">
        <f>industrie!E18</f>
        <v>136.665186727974</v>
      </c>
      <c r="F8" s="455">
        <f>industrie!F18</f>
        <v>2435.7790420691526</v>
      </c>
      <c r="G8" s="455">
        <f>industrie!G18</f>
        <v>0</v>
      </c>
      <c r="H8" s="455">
        <f>industrie!H18</f>
        <v>0</v>
      </c>
      <c r="I8" s="455">
        <f>industrie!I18</f>
        <v>0</v>
      </c>
      <c r="J8" s="455">
        <f>industrie!J18</f>
        <v>11.328520832113647</v>
      </c>
      <c r="K8" s="455">
        <f>industrie!K18</f>
        <v>0</v>
      </c>
      <c r="L8" s="455">
        <f>industrie!L18</f>
        <v>0</v>
      </c>
      <c r="M8" s="455">
        <f>industrie!M18</f>
        <v>0</v>
      </c>
      <c r="N8" s="455">
        <f>industrie!N18</f>
        <v>939.18949918477301</v>
      </c>
      <c r="O8" s="455">
        <f>industrie!O18</f>
        <v>0</v>
      </c>
      <c r="P8" s="456">
        <f>industrie!P18</f>
        <v>0</v>
      </c>
      <c r="Q8" s="454">
        <f t="shared" si="0"/>
        <v>97346.828320724831</v>
      </c>
    </row>
    <row r="9" spans="1:17" s="460" customFormat="1">
      <c r="A9" s="458" t="s">
        <v>552</v>
      </c>
      <c r="B9" s="459">
        <f>transport!B14</f>
        <v>82.035780430649851</v>
      </c>
      <c r="C9" s="459">
        <f>transport!C14</f>
        <v>0</v>
      </c>
      <c r="D9" s="459">
        <f>transport!D14</f>
        <v>327.39660852432189</v>
      </c>
      <c r="E9" s="459">
        <f>transport!E14</f>
        <v>175.88114892643426</v>
      </c>
      <c r="F9" s="459">
        <f>transport!F14</f>
        <v>0</v>
      </c>
      <c r="G9" s="459">
        <f>transport!G14</f>
        <v>105340.16955877004</v>
      </c>
      <c r="H9" s="459">
        <f>transport!H14</f>
        <v>20882.429209546579</v>
      </c>
      <c r="I9" s="459">
        <f>transport!I14</f>
        <v>0</v>
      </c>
      <c r="J9" s="459">
        <f>transport!J14</f>
        <v>0</v>
      </c>
      <c r="K9" s="459">
        <f>transport!K14</f>
        <v>0</v>
      </c>
      <c r="L9" s="459">
        <f>transport!L14</f>
        <v>0</v>
      </c>
      <c r="M9" s="459">
        <f>transport!M14</f>
        <v>7382.4591278458838</v>
      </c>
      <c r="N9" s="459">
        <f>transport!N14</f>
        <v>0</v>
      </c>
      <c r="O9" s="459">
        <f>transport!O14</f>
        <v>0</v>
      </c>
      <c r="P9" s="459">
        <f>transport!P14</f>
        <v>0</v>
      </c>
      <c r="Q9" s="458">
        <f>SUM(B9:P9)</f>
        <v>134190.37143404392</v>
      </c>
    </row>
    <row r="10" spans="1:17">
      <c r="A10" s="454" t="s">
        <v>542</v>
      </c>
      <c r="B10" s="455">
        <f>transport!B54</f>
        <v>0</v>
      </c>
      <c r="C10" s="455">
        <f>transport!C54</f>
        <v>0</v>
      </c>
      <c r="D10" s="455">
        <f>transport!D54</f>
        <v>0</v>
      </c>
      <c r="E10" s="455">
        <f>transport!E54</f>
        <v>0</v>
      </c>
      <c r="F10" s="455">
        <f>transport!F54</f>
        <v>0</v>
      </c>
      <c r="G10" s="455">
        <f>transport!G54</f>
        <v>1269.6766681029319</v>
      </c>
      <c r="H10" s="455">
        <f>transport!H54</f>
        <v>0</v>
      </c>
      <c r="I10" s="455">
        <f>transport!I54</f>
        <v>0</v>
      </c>
      <c r="J10" s="455">
        <f>transport!J54</f>
        <v>0</v>
      </c>
      <c r="K10" s="455">
        <f>transport!K54</f>
        <v>0</v>
      </c>
      <c r="L10" s="455">
        <f>transport!L54</f>
        <v>0</v>
      </c>
      <c r="M10" s="455">
        <f>transport!M54</f>
        <v>68.899887566904795</v>
      </c>
      <c r="N10" s="455">
        <f>transport!N54</f>
        <v>0</v>
      </c>
      <c r="O10" s="455">
        <f>transport!O54</f>
        <v>0</v>
      </c>
      <c r="P10" s="456">
        <f>transport!P54</f>
        <v>0</v>
      </c>
      <c r="Q10" s="454">
        <f t="shared" si="0"/>
        <v>1338.5765556698366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1171.72342325257</v>
      </c>
      <c r="C14" s="462"/>
      <c r="D14" s="462">
        <f>'SEAP template'!E25</f>
        <v>2857.7818179453602</v>
      </c>
      <c r="E14" s="462"/>
      <c r="F14" s="462"/>
      <c r="G14" s="462"/>
      <c r="H14" s="462"/>
      <c r="I14" s="462"/>
      <c r="J14" s="462"/>
      <c r="K14" s="462"/>
      <c r="L14" s="462"/>
      <c r="M14" s="462"/>
      <c r="N14" s="462"/>
      <c r="O14" s="462"/>
      <c r="P14" s="463"/>
      <c r="Q14" s="454">
        <f t="shared" si="0"/>
        <v>4029.5052411979304</v>
      </c>
    </row>
    <row r="15" spans="1:17" s="466" customFormat="1">
      <c r="A15" s="464" t="s">
        <v>546</v>
      </c>
      <c r="B15" s="465">
        <f ca="1">SUM(B4:B14)</f>
        <v>145949.45148625248</v>
      </c>
      <c r="C15" s="465">
        <f t="shared" ref="C15:Q15" ca="1" si="1">SUM(C4:C14)</f>
        <v>62.357142857142847</v>
      </c>
      <c r="D15" s="465">
        <f t="shared" ca="1" si="1"/>
        <v>178210.03521551151</v>
      </c>
      <c r="E15" s="465">
        <f t="shared" si="1"/>
        <v>6046.1193336489105</v>
      </c>
      <c r="F15" s="465">
        <f t="shared" ca="1" si="1"/>
        <v>16494.288862817717</v>
      </c>
      <c r="G15" s="465">
        <f t="shared" si="1"/>
        <v>106609.84622687296</v>
      </c>
      <c r="H15" s="465">
        <f t="shared" si="1"/>
        <v>20882.429209546579</v>
      </c>
      <c r="I15" s="465">
        <f t="shared" si="1"/>
        <v>0</v>
      </c>
      <c r="J15" s="465">
        <f t="shared" si="1"/>
        <v>625.37120301143625</v>
      </c>
      <c r="K15" s="465">
        <f t="shared" si="1"/>
        <v>0</v>
      </c>
      <c r="L15" s="465">
        <f t="shared" ca="1" si="1"/>
        <v>0</v>
      </c>
      <c r="M15" s="465">
        <f t="shared" si="1"/>
        <v>7451.3590154127887</v>
      </c>
      <c r="N15" s="465">
        <f t="shared" ca="1" si="1"/>
        <v>11918.577848438903</v>
      </c>
      <c r="O15" s="465">
        <f t="shared" si="1"/>
        <v>332.12509739944852</v>
      </c>
      <c r="P15" s="465">
        <f t="shared" si="1"/>
        <v>1199.826095220652</v>
      </c>
      <c r="Q15" s="465">
        <f t="shared" ca="1" si="1"/>
        <v>495781.7867369905</v>
      </c>
    </row>
    <row r="17" spans="1:17">
      <c r="A17" s="467" t="s">
        <v>547</v>
      </c>
      <c r="B17" s="784">
        <f ca="1">huishoudens!B10</f>
        <v>0.1687543817026177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5938.9404423937622</v>
      </c>
      <c r="C22" s="455">
        <f t="shared" ref="C22:C32" ca="1" si="3">C4*$C$17</f>
        <v>0</v>
      </c>
      <c r="D22" s="455">
        <f t="shared" ref="D22:D32" si="4">D4*$D$17</f>
        <v>18213.546219691132</v>
      </c>
      <c r="E22" s="455">
        <f t="shared" ref="E22:E32" si="5">E4*$E$17</f>
        <v>1257.1959629055161</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25409.682624990412</v>
      </c>
    </row>
    <row r="23" spans="1:17">
      <c r="A23" s="454" t="s">
        <v>155</v>
      </c>
      <c r="B23" s="455">
        <f t="shared" ca="1" si="2"/>
        <v>6751.2357095168854</v>
      </c>
      <c r="C23" s="455">
        <f t="shared" ca="1" si="3"/>
        <v>0</v>
      </c>
      <c r="D23" s="455">
        <f t="shared" ca="1" si="4"/>
        <v>11403.098665618674</v>
      </c>
      <c r="E23" s="455">
        <f t="shared" si="5"/>
        <v>24.52436039776601</v>
      </c>
      <c r="F23" s="455">
        <f t="shared" ca="1" si="6"/>
        <v>1727.4723143391036</v>
      </c>
      <c r="G23" s="455">
        <f t="shared" si="7"/>
        <v>0</v>
      </c>
      <c r="H23" s="455">
        <f t="shared" si="8"/>
        <v>0</v>
      </c>
      <c r="I23" s="455">
        <f t="shared" si="9"/>
        <v>0</v>
      </c>
      <c r="J23" s="455">
        <f t="shared" si="10"/>
        <v>1.6700262400250965E-2</v>
      </c>
      <c r="K23" s="455">
        <f t="shared" si="11"/>
        <v>0</v>
      </c>
      <c r="L23" s="455">
        <f t="shared" ca="1" si="12"/>
        <v>0</v>
      </c>
      <c r="M23" s="455">
        <f t="shared" si="13"/>
        <v>0</v>
      </c>
      <c r="N23" s="455">
        <f t="shared" ca="1" si="14"/>
        <v>0</v>
      </c>
      <c r="O23" s="455">
        <f t="shared" si="15"/>
        <v>0</v>
      </c>
      <c r="P23" s="456">
        <f t="shared" si="16"/>
        <v>0</v>
      </c>
      <c r="Q23" s="454">
        <f t="shared" ref="Q23:Q31" ca="1" si="17">SUM(B23:P23)</f>
        <v>19906.347750134828</v>
      </c>
    </row>
    <row r="24" spans="1:17">
      <c r="A24" s="454" t="s">
        <v>193</v>
      </c>
      <c r="B24" s="455">
        <f t="shared" ca="1" si="2"/>
        <v>239.86967195906294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239.86967195906294</v>
      </c>
    </row>
    <row r="25" spans="1:17">
      <c r="A25" s="454" t="s">
        <v>111</v>
      </c>
      <c r="B25" s="455">
        <f t="shared" ca="1" si="2"/>
        <v>394.7142223460886</v>
      </c>
      <c r="C25" s="455">
        <f t="shared" ca="1" si="3"/>
        <v>0</v>
      </c>
      <c r="D25" s="455">
        <f t="shared" si="4"/>
        <v>64.667942969866985</v>
      </c>
      <c r="E25" s="455">
        <f t="shared" si="5"/>
        <v>19.800747241469733</v>
      </c>
      <c r="F25" s="455">
        <f t="shared" si="6"/>
        <v>2026.1498078007639</v>
      </c>
      <c r="G25" s="455">
        <f t="shared" si="7"/>
        <v>0</v>
      </c>
      <c r="H25" s="455">
        <f t="shared" si="8"/>
        <v>0</v>
      </c>
      <c r="I25" s="455">
        <f t="shared" si="9"/>
        <v>0</v>
      </c>
      <c r="J25" s="455">
        <f t="shared" si="10"/>
        <v>217.35440922907992</v>
      </c>
      <c r="K25" s="455">
        <f t="shared" si="11"/>
        <v>0</v>
      </c>
      <c r="L25" s="455">
        <f t="shared" si="12"/>
        <v>0</v>
      </c>
      <c r="M25" s="455">
        <f t="shared" si="13"/>
        <v>0</v>
      </c>
      <c r="N25" s="455">
        <f t="shared" si="14"/>
        <v>0</v>
      </c>
      <c r="O25" s="455">
        <f t="shared" si="15"/>
        <v>0</v>
      </c>
      <c r="P25" s="456">
        <f t="shared" si="16"/>
        <v>0</v>
      </c>
      <c r="Q25" s="454">
        <f t="shared" ca="1" si="17"/>
        <v>2722.6871295872693</v>
      </c>
    </row>
    <row r="26" spans="1:17">
      <c r="A26" s="454" t="s">
        <v>626</v>
      </c>
      <c r="B26" s="455">
        <f t="shared" ca="1" si="2"/>
        <v>11093.272039961406</v>
      </c>
      <c r="C26" s="455">
        <f t="shared" ca="1" si="3"/>
        <v>0</v>
      </c>
      <c r="D26" s="455">
        <f t="shared" si="4"/>
        <v>5673.7082431067738</v>
      </c>
      <c r="E26" s="455">
        <f t="shared" si="5"/>
        <v>31.022997387250101</v>
      </c>
      <c r="F26" s="455">
        <f t="shared" si="6"/>
        <v>650.35300423246383</v>
      </c>
      <c r="G26" s="455">
        <f t="shared" si="7"/>
        <v>0</v>
      </c>
      <c r="H26" s="455">
        <f t="shared" si="8"/>
        <v>0</v>
      </c>
      <c r="I26" s="455">
        <f t="shared" si="9"/>
        <v>0</v>
      </c>
      <c r="J26" s="455">
        <f t="shared" si="10"/>
        <v>4.010296374568231</v>
      </c>
      <c r="K26" s="455">
        <f t="shared" si="11"/>
        <v>0</v>
      </c>
      <c r="L26" s="455">
        <f t="shared" si="12"/>
        <v>0</v>
      </c>
      <c r="M26" s="455">
        <f t="shared" si="13"/>
        <v>0</v>
      </c>
      <c r="N26" s="455">
        <f t="shared" si="14"/>
        <v>0</v>
      </c>
      <c r="O26" s="455">
        <f t="shared" si="15"/>
        <v>0</v>
      </c>
      <c r="P26" s="456">
        <f t="shared" si="16"/>
        <v>0</v>
      </c>
      <c r="Q26" s="454">
        <f t="shared" ca="1" si="17"/>
        <v>17452.366581062459</v>
      </c>
    </row>
    <row r="27" spans="1:17" s="460" customFormat="1">
      <c r="A27" s="458" t="s">
        <v>552</v>
      </c>
      <c r="B27" s="778">
        <f t="shared" ca="1" si="2"/>
        <v>13.84389740406602</v>
      </c>
      <c r="C27" s="459">
        <f t="shared" ca="1" si="3"/>
        <v>0</v>
      </c>
      <c r="D27" s="459">
        <f t="shared" si="4"/>
        <v>66.134114921913024</v>
      </c>
      <c r="E27" s="459">
        <f t="shared" si="5"/>
        <v>39.92502080630058</v>
      </c>
      <c r="F27" s="459">
        <f t="shared" si="6"/>
        <v>0</v>
      </c>
      <c r="G27" s="459">
        <f t="shared" si="7"/>
        <v>28125.825272191603</v>
      </c>
      <c r="H27" s="459">
        <f t="shared" si="8"/>
        <v>5199.7248731770978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33445.453178500982</v>
      </c>
    </row>
    <row r="28" spans="1:17" ht="16.5" customHeight="1">
      <c r="A28" s="454" t="s">
        <v>542</v>
      </c>
      <c r="B28" s="455">
        <f t="shared" ca="1" si="2"/>
        <v>0</v>
      </c>
      <c r="C28" s="455">
        <f t="shared" ca="1" si="3"/>
        <v>0</v>
      </c>
      <c r="D28" s="455">
        <f t="shared" si="4"/>
        <v>0</v>
      </c>
      <c r="E28" s="455">
        <f t="shared" si="5"/>
        <v>0</v>
      </c>
      <c r="F28" s="455">
        <f t="shared" si="6"/>
        <v>0</v>
      </c>
      <c r="G28" s="455">
        <f t="shared" si="7"/>
        <v>339.00367038348281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339.00367038348281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197.73346181746206</v>
      </c>
      <c r="C32" s="455">
        <f t="shared" ca="1" si="3"/>
        <v>0</v>
      </c>
      <c r="D32" s="455">
        <f t="shared" si="4"/>
        <v>577.27192722496284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775.00538904242489</v>
      </c>
    </row>
    <row r="33" spans="1:17" s="466" customFormat="1">
      <c r="A33" s="464" t="s">
        <v>546</v>
      </c>
      <c r="B33" s="465">
        <f ca="1">SUM(B22:B32)</f>
        <v>24629.609445398732</v>
      </c>
      <c r="C33" s="465">
        <f t="shared" ref="C33:Q33" ca="1" si="19">SUM(C22:C32)</f>
        <v>0</v>
      </c>
      <c r="D33" s="465">
        <f t="shared" ca="1" si="19"/>
        <v>35998.427113533318</v>
      </c>
      <c r="E33" s="465">
        <f t="shared" si="19"/>
        <v>1372.4690887383026</v>
      </c>
      <c r="F33" s="465">
        <f t="shared" ca="1" si="19"/>
        <v>4403.975126372331</v>
      </c>
      <c r="G33" s="465">
        <f t="shared" si="19"/>
        <v>28464.828942575085</v>
      </c>
      <c r="H33" s="465">
        <f t="shared" si="19"/>
        <v>5199.7248731770978</v>
      </c>
      <c r="I33" s="465">
        <f t="shared" si="19"/>
        <v>0</v>
      </c>
      <c r="J33" s="465">
        <f t="shared" si="19"/>
        <v>221.38140586604842</v>
      </c>
      <c r="K33" s="465">
        <f t="shared" si="19"/>
        <v>0</v>
      </c>
      <c r="L33" s="465">
        <f t="shared" ca="1" si="19"/>
        <v>0</v>
      </c>
      <c r="M33" s="465">
        <f t="shared" si="19"/>
        <v>0</v>
      </c>
      <c r="N33" s="465">
        <f t="shared" ca="1" si="19"/>
        <v>0</v>
      </c>
      <c r="O33" s="465">
        <f t="shared" si="19"/>
        <v>0</v>
      </c>
      <c r="P33" s="465">
        <f t="shared" si="19"/>
        <v>0</v>
      </c>
      <c r="Q33" s="465">
        <f t="shared" ca="1" si="19"/>
        <v>100290.41599566094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28349.103719577291</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5210.5011811605536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900</v>
      </c>
      <c r="C9" s="1026">
        <f>'SEAP template'!C77</f>
        <v>0</v>
      </c>
      <c r="D9" s="1026">
        <f>'SEAP template'!D77</f>
        <v>0</v>
      </c>
      <c r="E9" s="1026">
        <f>'SEAP template'!E77</f>
        <v>0</v>
      </c>
      <c r="F9" s="1026">
        <f>'SEAP template'!F77</f>
        <v>0</v>
      </c>
      <c r="G9" s="1026">
        <f>'SEAP template'!G77</f>
        <v>0</v>
      </c>
      <c r="H9" s="1026">
        <f>'SEAP template'!H77</f>
        <v>0</v>
      </c>
      <c r="I9" s="1026">
        <f>'SEAP template'!I77</f>
        <v>2250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34503.254900737847</v>
      </c>
      <c r="C10" s="1028">
        <f>SUM(C4:C9)</f>
        <v>0</v>
      </c>
      <c r="D10" s="1028">
        <f t="shared" ref="D10:H10" si="0">SUM(D8:D9)</f>
        <v>0</v>
      </c>
      <c r="E10" s="1028">
        <f t="shared" si="0"/>
        <v>0</v>
      </c>
      <c r="F10" s="1028">
        <f t="shared" si="0"/>
        <v>0</v>
      </c>
      <c r="G10" s="1028">
        <f t="shared" si="0"/>
        <v>0</v>
      </c>
      <c r="H10" s="1028">
        <f t="shared" si="0"/>
        <v>0</v>
      </c>
      <c r="I10" s="1028">
        <f>SUM(I8:I9)</f>
        <v>2250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0.1687543817026177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0.1687543817026177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2020-06-20T15:24:21Z</dcterms:modified>
</cp:coreProperties>
</file>