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C22" i="59"/>
  <c r="C29" i="20"/>
  <c r="C17" i="19"/>
  <c r="C19" i="19" s="1"/>
  <c r="D39" i="14" s="1"/>
  <c r="C20" i="16"/>
  <c r="C22" i="16" s="1"/>
  <c r="D43" i="14" s="1"/>
  <c r="C10" i="17"/>
  <c r="C12" i="17" s="1"/>
  <c r="D54" i="14" s="1"/>
  <c r="D56" i="14" s="1"/>
  <c r="C17" i="4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<sst xmlns="http://schemas.openxmlformats.org/spreadsheetml/2006/main" count="2375" uniqueCount="872">
  <si>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</si>
  <si>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</si>
  <si>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</si>
  <si>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</si>
  <si>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</si>
  <si>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</si>
  <si>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</si>
  <si>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</si>
  <si>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</si>
  <si>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</si>
  <si>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</si>
  <si>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</si>
  <si>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</si>
  <si>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</si>
  <si>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</si>
  <si>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</si>
  <si>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</si>
  <si>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</si>
  <si>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</si>
  <si>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</si>
  <si>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</si>
  <si>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</si>
  <si>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</si>
  <si>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</si>
  <si>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</si>
  <si>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</si>
  <si>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</si>
  <si>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</si>
  <si>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</si>
  <si>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</si>
  <si>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</si>
  <si>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</si>
  <si>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</si>
  <si>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</si>
  <si>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</si>
  <si>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</si>
  <si>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</si>
  <si>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</si>
  <si>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</si>
  <si>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</si>
  <si>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</si>
  <si>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</si>
  <si>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</si>
  <si>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</si>
  <si>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</si>
  <si>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</si>
  <si>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</si>
  <si>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</si>
  <si>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</si>
  <si>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</si>
  <si>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</si>
  <si>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</si>
  <si>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</si>
  <si>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</si>
  <si>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</si>
  <si>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</si>
  <si>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</si>
  <si>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</si>
  <si>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</si>
  <si>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</si>
  <si>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</si>
  <si>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</si>
  <si>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</si>
  <si>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</si>
  <si>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</si>
  <si>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</si>
  <si>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</si>
  <si>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</si>
  <si>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</si>
  <si>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</si>
  <si>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</si>
  <si>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</si>
  <si>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</si>
  <si>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</si>
  <si>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</si>
  <si>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</si>
  <si>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</si>
  <si>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</si>
  <si>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</si>
  <si>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</si>
  <si>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</si>
  <si>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</si>
  <si>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</si>
  <si>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</si>
  <si>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</si>
  <si>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</si>
  <si>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</si>
  <si>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</si>
  <si>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</si>
  <si>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</si>
  <si>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</si>
  <si>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</si>
  <si>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</si>
  <si>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</si>
  <si>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</si>
  <si>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</si>
  <si>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</si>
  <si>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</si>
  <si>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</si>
  <si>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</si>
  <si>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</si>
  <si>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</si>
  <si>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</si>
  <si>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</si>
  <si>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</si>
  <si>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</si>
  <si>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</si>
  <si>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</si>
  <si>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</si>
  <si>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</si>
  <si>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</si>
  <si>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</si>
  <si>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</si>
  <si>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</si>
  <si>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</si>
  <si>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</si>
  <si>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</si>
  <si>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</si>
  <si>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</si>
  <si>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</si>
  <si>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</si>
  <si>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</si>
  <si>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</si>
  <si>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</si>
  <si>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</si>
  <si>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</si>
  <si>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</si>
  <si>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</si>
  <si>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</si>
  <si>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</si>
  <si>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</si>
  <si>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</si>
  <si>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</si>
  <si>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</si>
  <si>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</si>
  <si>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</si>
  <si>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</si>
  <si>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</si>
  <si>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</si>
  <si>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</si>
  <si>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</si>
  <si>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</si>
  <si>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</si>
  <si>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</si>
  <si>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</si>
  <si>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</si>
  <si>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</si>
  <si>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</si>
  <si>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</si>
  <si>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</si>
  <si>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</si>
  <si>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</si>
  <si>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</si>
  <si>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</si>
  <si>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</si>
  <si>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</si>
  <si>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</si>
  <si>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</si>
  <si>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</si>
  <si>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</si>
  <si>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</si>
  <si>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</si>
  <si>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</si>
  <si>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</si>
  <si>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</si>
  <si>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</si>
  <si>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</si>
  <si>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</si>
  <si>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</si>
  <si>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</si>
  <si>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</si>
  <si>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</si>
  <si>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</si>
  <si>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</si>
  <si>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</si>
  <si>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</si>
  <si>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</si>
  <si>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</si>
  <si>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</si>
  <si>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</si>
  <si>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</si>
  <si>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</si>
  <si>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</si>
  <si>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</si>
  <si>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</si>
  <si>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</si>
  <si>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</si>
  <si>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</si>
  <si>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</si>
  <si>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</si>
  <si>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</si>
  <si>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</si>
  <si>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</si>
  <si>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</si>
  <si>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</si>
  <si>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</si>
  <si>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</si>
  <si>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</si>
  <si>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</si>
  <si>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</si>
  <si>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</si>
  <si>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</si>
  <si>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</si>
  <si>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</si>
  <si>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</si>
  <si>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</si>
  <si>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</si>
  <si>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</si>
  <si>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</si>
  <si>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</si>
  <si>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</si>
  <si>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</si>
  <si>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</si>
  <si>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</si>
  <si>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</si>
  <si>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</si>
  <si>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</si>
  <si>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</si>
  <si>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</si>
  <si>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</si>
  <si>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</si>
  <si>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</si>
  <si>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</si>
  <si>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</si>
  <si>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</si>
  <si>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</si>
  <si>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</si>
  <si>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</si>
  <si>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</si>
  <si>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</si>
  <si>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</si>
  <si>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</si>
  <si>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</si>
  <si>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</si>
  <si>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</si>
  <si>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</si>
  <si>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</si>
  <si>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</si>
  <si>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</si>
  <si>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</si>
  <si>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</si>
  <si>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</si>
  <si>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</si>
  <si>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</si>
  <si>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</si>
  <si>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</si>
  <si>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</si>
  <si>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</si>
  <si>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</si>
  <si>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</si>
  <si>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</si>
  <si>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</si>
  <si>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</si>
  <si>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</si>
  <si>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</si>
  <si>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</si>
  <si>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</si>
  <si>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</si>
  <si>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</si>
  <si>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</si>
  <si>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</si>
  <si>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</si>
  <si>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</si>
  <si>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</si>
  <si>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</si>
  <si>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</si>
  <si>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</si>
  <si>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</si>
  <si>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</si>
  <si>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</si>
  <si>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</si>
  <si>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</si>
  <si>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</si>
  <si>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</si>
  <si>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</si>
  <si>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</si>
  <si>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</si>
  <si>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</si>
  <si>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</si>
  <si>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</si>
  <si>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</si>
  <si>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</si>
  <si>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</si>
  <si>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</si>
  <si>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</si>
  <si>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</si>
  <si>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</si>
  <si>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</si>
  <si>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</si>
  <si>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</si>
  <si>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</si>
  <si>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</si>
  <si>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</si>
  <si>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</si>
  <si>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</si>
  <si>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</si>
  <si>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</si>
  <si>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</si>
  <si>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</si>
  <si>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</si>
  <si>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</si>
  <si>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</si>
  <si>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</si>
  <si>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</si>
  <si>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</si>
  <si>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</si>
  <si>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</si>
  <si>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</si>
  <si>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</si>
  <si>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</si>
  <si>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</si>
  <si>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</si>
  <si>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</si>
  <si>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</si>
  <si>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</si>
  <si>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</si>
  <si>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</si>
  <si>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</si>
  <si>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</si>
  <si>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</si>
  <si>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</si>
  <si>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</si>
  <si>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</si>
  <si>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</si>
  <si>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</si>
  <si>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</si>
  <si>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</si>
  <si>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</si>
  <si>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</si>
  <si>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</si>
  <si>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</si>
  <si>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</si>
  <si>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</si>
  <si>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</si>
  <si>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</si>
  <si>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</si>
  <si>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</si>
  <si>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</si>
  <si>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</si>
  <si>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</si>
  <si>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</si>
  <si>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</si>
  <si>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</si>
  <si>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</si>
  <si>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</si>
  <si>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</si>
  <si>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</si>
  <si>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</si>
  <si>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</si>
  <si>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</si>
  <si>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</si>
  <si>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</si>
  <si>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</si>
  <si>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</si>
  <si>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</si>
  <si>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</si>
  <si>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</si>
  <si>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</si>
  <si>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</si>
  <si>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</si>
  <si>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</si>
  <si>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</si>
  <si>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</si>
  <si>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</si>
  <si>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</si>
  <si>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</si>
  <si>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</si>
  <si>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</si>
  <si>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</si>
  <si>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</si>
  <si>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</si>
  <si>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</si>
  <si>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</si>
  <si>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</si>
  <si>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</si>
  <si>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</si>
  <si>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</si>
  <si>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</si>
  <si>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</si>
  <si>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</si>
  <si>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</si>
  <si>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</si>
  <si>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</si>
  <si>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</si>
  <si>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</si>
  <si>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</si>
  <si>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</si>
  <si>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</si>
  <si>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</si>
  <si>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</si>
  <si>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</si>
  <si>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</si>
  <si>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</si>
  <si>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</si>
  <si>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</si>
  <si>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</si>
  <si>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</si>
  <si>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</si>
  <si>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</si>
  <si>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</si>
  <si>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</si>
  <si>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</si>
  <si>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</si>
  <si>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</si>
  <si>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</si>
  <si>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</si>
  <si>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</si>
  <si>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</si>
  <si>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</si>
  <si>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</si>
  <si>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</si>
  <si>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</si>
  <si>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</si>
  <si>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</si>
  <si>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</si>
  <si>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</si>
  <si>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</si>
  <si>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</si>
  <si>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</si>
  <si>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</si>
  <si>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</si>
  <si>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</si>
  <si>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</si>
  <si>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</si>
  <si>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</si>
  <si>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</si>
  <si>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</si>
  <si>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</si>
  <si>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</si>
  <si>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</si>
  <si>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</si>
  <si>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</si>
  <si>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</si>
  <si>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</si>
  <si>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</si>
  <si>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</si>
  <si>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</si>
  <si>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</si>
  <si>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</si>
  <si>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</si>
  <si>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</si>
  <si>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</si>
  <si>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</si>
  <si>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</si>
  <si>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</si>
  <si>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</si>
  <si>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</si>
  <si>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</si>
  <si>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</si>
  <si>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</si>
  <si>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</si>
  <si>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</si>
  <si>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</si>
  <si>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</si>
  <si>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</si>
  <si>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</si>
  <si>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</si>
  <si>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</si>
  <si>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</si>
  <si>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</si>
  <si>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</si>
  <si>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</si>
  <si>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</si>
  <si>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</si>
  <si>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</si>
  <si>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</si>
  <si>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</si>
  <si>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</si>
  <si>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</si>
  <si>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</si>
  <si>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</si>
  <si>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</si>
  <si>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</si>
  <si>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</si>
  <si>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</si>
  <si>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</si>
  <si>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</si>
  <si>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</si>
  <si>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</si>
  <si>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</si>
  <si>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</si>
  <si>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</si>
  <si>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</si>
  <si>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</si>
  <si>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</si>
  <si>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</si>
  <si>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</si>
  <si>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</si>
  <si>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</si>
  <si>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</si>
  <si>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</si>
  <si>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</si>
  <si>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</si>
  <si>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</si>
  <si>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</si>
  <si>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</si>
  <si>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</si>
  <si>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</si>
  <si>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</si>
  <si>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</si>
  <si>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</si>
  <si>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</si>
  <si>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</si>
  <si>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</si>
  <si>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</si>
  <si>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</si>
  <si>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</si>
  <si>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</si>
  <si>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</si>
  <si>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</si>
  <si>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</si>
  <si>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</si>
  <si>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</si>
  <si>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</si>
  <si>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</si>
  <si>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</si>
  <si>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</si>
  <si>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</si>
  <si>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</si>
  <si>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</si>
  <si>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</si>
  <si>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</si>
  <si>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</si>
  <si>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</si>
  <si>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</si>
  <si>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</si>
  <si>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</si>
  <si>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</si>
  <si>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</si>
  <si>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</si>
  <si>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</si>
  <si>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</si>
  <si>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</si>
  <si>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</si>
  <si>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</si>
  <si>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</si>
  <si>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</si>
  <si>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</si>
  <si>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</si>
  <si>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</si>
  <si>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</si>
  <si>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</si>
  <si>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</si>
  <si>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</si>
  <si>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</si>
  <si>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</si>
  <si>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</si>
  <si>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</si>
  <si>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</si>
  <si>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</si>
  <si>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</si>
  <si>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</si>
  <si>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</si>
  <si>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</si>
  <si>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</si>
  <si>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</si>
  <si>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</si>
  <si>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</si>
  <si>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</si>
  <si>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</si>
  <si>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</si>
  <si>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</si>
  <si>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</si>
  <si>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</si>
  <si>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</si>
  <si>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</si>
  <si>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</si>
  <si>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</si>
  <si>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</si>
  <si>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</si>
  <si>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</si>
  <si>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</si>
  <si>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</si>
  <si>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</si>
  <si>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</si>
  <si>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</si>
  <si>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</si>
  <si>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</si>
  <si>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</si>
  <si>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</si>
  <si>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</si>
  <si>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</si>
  <si>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</si>
  <si>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</si>
  <si>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</si>
  <si>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</si>
  <si>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</si>
  <si>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</si>
  <si>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</si>
  <si>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</si>
  <si>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</si>
  <si>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</si>
  <si>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</si>
  <si>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</si>
  <si>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</si>
  <si>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</si>
  <si>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</si>
  <si>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</si>
  <si>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</si>
  <si>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</si>
  <si>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</si>
  <si>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</si>
  <si>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</si>
  <si>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</si>
  <si>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</si>
  <si>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</si>
  <si>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</si>
  <si>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</si>
  <si>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</si>
  <si>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</si>
  <si>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</si>
  <si>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</si>
  <si>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</si>
  <si>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</si>
  <si>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</si>
  <si>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</si>
  <si>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</si>
  <si>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</si>
  <si>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</si>
  <si>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</si>
  <si>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</si>
  <si>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</si>
  <si>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</si>
  <si>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</si>
  <si>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</si>
  <si>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</si>
  <si>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</si>
  <si>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</si>
  <si>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</si>
  <si>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</si>
  <si>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</si>
  <si>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</si>
  <si>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</si>
  <si>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</si>
  <si>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</si>
  <si>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</si>
  <si>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</si>
  <si>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</si>
  <si>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</si>
  <si>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</si>
  <si>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</si>
  <si>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</si>
  <si>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</si>
  <si>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</si>
  <si>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</si>
  <si>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</si>
  <si>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</si>
  <si>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</si>
  <si>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</si>
  <si>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</si>
  <si>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</si>
  <si>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</si>
  <si>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</si>
  <si>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</si>
  <si>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</si>
  <si>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</si>
  <si>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</si>
  <si>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</si>
  <si>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</si>
  <si>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</si>
  <si>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</si>
  <si>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</si>
  <si>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</si>
  <si>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</si>
  <si>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</si>
  <si>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</si>
  <si>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</si>
  <si>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</si>
  <si>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</si>
  <si>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</si>
  <si>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</si>
  <si>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</si>
  <si>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</si>
  <si>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</si>
  <si>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</si>
  <si>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</si>
  <si>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</si>
  <si>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</si>
  <si>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</si>
  <si>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</si>
  <si>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</si>
  <si>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</si>
  <si>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</si>
  <si>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</si>
  <si>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</si>
  <si>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</si>
  <si>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</si>
  <si>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</si>
  <si>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</si>
  <si>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</si>
  <si>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</si>
  <si>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</si>
  <si>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</si>
  <si>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</si>
  <si>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</si>
  <si>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</si>
  <si>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</si>
  <si>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</si>
  <si>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</si>
  <si>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</si>
  <si>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</si>
  <si>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</si>
  <si>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</si>
  <si>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</si>
  <si>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</si>
  <si>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</si>
  <si>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</si>
  <si>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</si>
  <si>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</si>
  <si>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</si>
  <si>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</si>
  <si>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</si>
  <si>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</si>
  <si>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</si>
  <si>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</si>
  <si>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</si>
  <si>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</si>
  <si>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</si>
  <si>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</si>
  <si>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</si>
  <si>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</si>
  <si>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</si>
  <si>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</si>
  <si>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</si>
  <si>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</si>
  <si>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</si>
  <si>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</si>
  <si>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</si>
  <si>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</si>
  <si>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</si>
  <si>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</si>
  <si>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</si>
  <si>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</si>
  <si>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</si>
  <si>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</si>
  <si>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</si>
  <si>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</si>
  <si>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</si>
  <si>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</si>
  <si>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</si>
  <si>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</si>
  <si>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</si>
  <si>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</si>
  <si>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</si>
  <si>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</si>
  <si>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</si>
  <si>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</si>
  <si>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</si>
  <si>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</si>
  <si>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</si>
  <si>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</si>
  <si>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</si>
  <si>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</si>
  <si>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</si>
  <si>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</si>
  <si>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</si>
  <si>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</si>
  <si>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</si>
  <si>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</si>
  <si>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</si>
  <si>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</si>
  <si>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</si>
  <si>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</si>
  <si>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</si>
  <si>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</si>
  <si>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</si>
  <si>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</si>
  <si>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</si>
  <si>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</si>
  <si>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</si>
  <si>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</si>
  <si>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</si>
  <si>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</si>
  <si>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</si>
  <si>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</si>
  <si>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</si>
  <si>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</si>
  <si>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</si>
  <si>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</si>
  <si>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</si>
  <si>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</si>
  <si>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</si>
  <si>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</si>
  <si>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</si>
  <si>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</si>
  <si>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</si>
  <si>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</si>
  <si>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</si>
  <si>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</si>
  <si>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</si>
  <si>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</si>
  <si>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</si>
  <si>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</si>
  <si>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</si>
  <si>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</si>
  <si>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</si>
  <si>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</si>
  <si>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</si>
  <si>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</si>
  <si>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</si>
  <si>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</si>
  <si>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</si>
  <si>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</si>
  <si>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</si>
  <si>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</si>
  <si>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</si>
  <si>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</si>
  <si>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</si>
  <si>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</si>
  <si>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</si>
  <si>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</si>
  <si>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</si>
  <si>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</si>
  <si>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</si>
  <si>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</si>
  <si>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</si>
  <si>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</si>
  <si>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</si>
  <si>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</si>
  <si>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</si>
  <si>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</si>
  <si>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</si>
  <si>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</si>
  <si>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</si>
  <si>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</si>
  <si>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</si>
  <si>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</si>
  <si>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</si>
  <si>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</si>
  <si>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</si>
  <si>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</si>
  <si>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</si>
  <si>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</si>
  <si>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</si>
  <si>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</si>
  <si>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</si>
  <si>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</si>
  <si>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</si>
  <si>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</si>
  <si>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</si>
  <si>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</si>
  <si>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</si>
  <si>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</si>
  <si>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</si>
  <si>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</si>
  <si>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</si>
  <si>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</si>
  <si>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</si>
  <si>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</si>
  <si>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</si>
  <si>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</si>
  <si>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</si>
  <si>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</si>
  <si>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</si>
  <si>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</si>
  <si>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</si>
  <si>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</si>
  <si>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</si>
  <si>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</si>
  <si>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</si>
  <si>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</si>
  <si>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</si>
  <si>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42008</t>
  </si>
  <si>
    <t>HAMME</t>
  </si>
  <si>
    <t>referentietaak LNE (2017); Jaarverslag De Lijn</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</si>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</sst>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179170.36124366985</c:v>
                </c:pt>
                <c:pt idx="1">
                  <c:v>48159.033495467644</c:v>
                </c:pt>
                <c:pt idx="2">
                  <c:v>1174.7059999999999</c:v>
                </c:pt>
                <c:pt idx="3">
                  <c:v>19816.112196272927</c:v>
                </c:pt>
                <c:pt idx="4">
                  <c:v>31630.628170826461</c:v>
                </c:pt>
                <c:pt idx="5">
                  <c:v>96306.071459307452</c:v>
                </c:pt>
                <c:pt idx="6">
                  <c:v>1161.0739767593161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179170.36124366985</c:v>
                </c:pt>
                <c:pt idx="1">
                  <c:v>48159.033495467644</c:v>
                </c:pt>
                <c:pt idx="2">
                  <c:v>1174.7059999999999</c:v>
                </c:pt>
                <c:pt idx="3">
                  <c:v>19816.112196272927</c:v>
                </c:pt>
                <c:pt idx="4">
                  <c:v>31630.628170826461</c:v>
                </c:pt>
                <c:pt idx="5">
                  <c:v>96306.071459307452</c:v>
                </c:pt>
                <c:pt idx="6">
                  <c:v>1161.0739767593161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30609.729503230825</c:v>
                </c:pt>
                <c:pt idx="1">
                  <c:v>9285.7729545322727</c:v>
                </c:pt>
                <c:pt idx="2">
                  <c:v>208.16813618601148</c:v>
                </c:pt>
                <c:pt idx="3">
                  <c:v>4703.821875085001</c:v>
                </c:pt>
                <c:pt idx="4">
                  <c:v>5978.7977241626395</c:v>
                </c:pt>
                <c:pt idx="5">
                  <c:v>23876.491516469985</c:v>
                </c:pt>
                <c:pt idx="6">
                  <c:v>294.04992791853385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30609.729503230825</c:v>
                </c:pt>
                <c:pt idx="1">
                  <c:v>9285.7729545322727</c:v>
                </c:pt>
                <c:pt idx="2">
                  <c:v>208.16813618601148</c:v>
                </c:pt>
                <c:pt idx="3">
                  <c:v>4703.821875085001</c:v>
                </c:pt>
                <c:pt idx="4">
                  <c:v>5978.7977241626395</c:v>
                </c:pt>
                <c:pt idx="5">
                  <c:v>23876.491516469985</c:v>
                </c:pt>
                <c:pt idx="6">
                  <c:v>294.04992791853385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42008</v>
      </c>
      <c r="B6" s="392"/>
      <c r="C6" s="393"/>
    </row>
    <row r="7" spans="1:7" s="390" customFormat="1" ht="15.75" customHeight="1">
      <c r="A7" s="394" t="str">
        <f>txtMunicipality</f>
        <v>HAMME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0.1772087111038945</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0.1772087111038945</v>
      </c>
      <c r="C29" s="505">
        <f ca="1">'EF ele_warmte'!B22</f>
        <v>0.23764705882352941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10433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1582.07</v>
      </c>
      <c r="C14" s="332"/>
      <c r="D14" s="332"/>
      <c r="E14" s="332"/>
      <c r="F14" s="332"/>
    </row>
    <row r="15" spans="1:6">
      <c r="A15" s="1310" t="s">
        <v>183</v>
      </c>
      <c r="B15" s="1311">
        <v>17</v>
      </c>
      <c r="C15" s="332"/>
      <c r="D15" s="332"/>
      <c r="E15" s="332"/>
      <c r="F15" s="332"/>
    </row>
    <row r="16" spans="1:6">
      <c r="A16" s="1310" t="s">
        <v>6</v>
      </c>
      <c r="B16" s="1311">
        <v>701</v>
      </c>
      <c r="C16" s="332"/>
      <c r="D16" s="332"/>
      <c r="E16" s="332"/>
      <c r="F16" s="332"/>
    </row>
    <row r="17" spans="1:6">
      <c r="A17" s="1310" t="s">
        <v>7</v>
      </c>
      <c r="B17" s="1311">
        <v>558</v>
      </c>
      <c r="C17" s="332"/>
      <c r="D17" s="332"/>
      <c r="E17" s="332"/>
      <c r="F17" s="332"/>
    </row>
    <row r="18" spans="1:6">
      <c r="A18" s="1310" t="s">
        <v>8</v>
      </c>
      <c r="B18" s="1311">
        <v>737</v>
      </c>
      <c r="C18" s="332"/>
      <c r="D18" s="332"/>
      <c r="E18" s="332"/>
      <c r="F18" s="332"/>
    </row>
    <row r="19" spans="1:6">
      <c r="A19" s="1310" t="s">
        <v>9</v>
      </c>
      <c r="B19" s="1311">
        <v>743</v>
      </c>
      <c r="C19" s="332"/>
      <c r="D19" s="332"/>
      <c r="E19" s="332"/>
      <c r="F19" s="332"/>
    </row>
    <row r="20" spans="1:6">
      <c r="A20" s="1310" t="s">
        <v>10</v>
      </c>
      <c r="B20" s="1311">
        <v>460</v>
      </c>
      <c r="C20" s="332"/>
      <c r="D20" s="332"/>
      <c r="E20" s="332"/>
      <c r="F20" s="332"/>
    </row>
    <row r="21" spans="1:6">
      <c r="A21" s="1310" t="s">
        <v>11</v>
      </c>
      <c r="B21" s="1311">
        <v>224</v>
      </c>
      <c r="C21" s="332"/>
      <c r="D21" s="332"/>
      <c r="E21" s="332"/>
      <c r="F21" s="332"/>
    </row>
    <row r="22" spans="1:6">
      <c r="A22" s="1310" t="s">
        <v>12</v>
      </c>
      <c r="B22" s="1311">
        <v>8427</v>
      </c>
      <c r="C22" s="332"/>
      <c r="D22" s="332"/>
      <c r="E22" s="332"/>
      <c r="F22" s="332"/>
    </row>
    <row r="23" spans="1:6">
      <c r="A23" s="1310" t="s">
        <v>13</v>
      </c>
      <c r="B23" s="1311">
        <v>41</v>
      </c>
      <c r="C23" s="332"/>
      <c r="D23" s="332"/>
      <c r="E23" s="332"/>
      <c r="F23" s="332"/>
    </row>
    <row r="24" spans="1:6">
      <c r="A24" s="1310" t="s">
        <v>14</v>
      </c>
      <c r="B24" s="1311">
        <v>1</v>
      </c>
      <c r="C24" s="332"/>
      <c r="D24" s="332"/>
      <c r="E24" s="332"/>
      <c r="F24" s="332"/>
    </row>
    <row r="25" spans="1:6">
      <c r="A25" s="1310" t="s">
        <v>15</v>
      </c>
      <c r="B25" s="1311">
        <v>69</v>
      </c>
      <c r="C25" s="332"/>
      <c r="D25" s="332"/>
      <c r="E25" s="332"/>
      <c r="F25" s="332"/>
    </row>
    <row r="26" spans="1:6">
      <c r="A26" s="1310" t="s">
        <v>16</v>
      </c>
      <c r="B26" s="1311">
        <v>80</v>
      </c>
      <c r="C26" s="332"/>
      <c r="D26" s="332"/>
      <c r="E26" s="332"/>
      <c r="F26" s="332"/>
    </row>
    <row r="27" spans="1:6">
      <c r="A27" s="1310" t="s">
        <v>17</v>
      </c>
      <c r="B27" s="1311">
        <v>7</v>
      </c>
      <c r="C27" s="332"/>
      <c r="D27" s="332"/>
      <c r="E27" s="332"/>
      <c r="F27" s="332"/>
    </row>
    <row r="28" spans="1:6" s="43" customFormat="1">
      <c r="A28" s="1312" t="s">
        <v>18</v>
      </c>
      <c r="B28" s="1313">
        <v>10</v>
      </c>
      <c r="C28" s="338"/>
      <c r="D28" s="338"/>
      <c r="E28" s="338"/>
      <c r="F28" s="338"/>
    </row>
    <row r="29" spans="1:6">
      <c r="A29" s="1312" t="s">
        <v>699</v>
      </c>
      <c r="B29" s="1313">
        <v>174</v>
      </c>
      <c r="C29" s="338"/>
      <c r="D29" s="338"/>
      <c r="E29" s="338"/>
      <c r="F29" s="338"/>
    </row>
    <row r="30" spans="1:6">
      <c r="A30" s="1305" t="s">
        <v>700</v>
      </c>
      <c r="B30" s="1314">
        <v>74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14379.630613667299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8450</v>
      </c>
      <c r="D39" s="1311">
        <v>121003116.13604195</v>
      </c>
      <c r="E39" s="1311">
        <v>10328</v>
      </c>
      <c r="F39" s="1311">
        <v>33201918.074556295</v>
      </c>
    </row>
    <row r="40" spans="1:6">
      <c r="A40" s="1310" t="s">
        <v>29</v>
      </c>
      <c r="B40" s="1310" t="s">
        <v>28</v>
      </c>
      <c r="C40" s="1311">
        <v>0</v>
      </c>
      <c r="D40" s="1311">
        <v>0</v>
      </c>
      <c r="E40" s="1311">
        <v>0</v>
      </c>
      <c r="F40" s="1311">
        <v>0</v>
      </c>
    </row>
    <row r="41" spans="1:6">
      <c r="A41" s="1310" t="s">
        <v>31</v>
      </c>
      <c r="B41" s="1310" t="s">
        <v>32</v>
      </c>
      <c r="C41" s="1311">
        <v>141</v>
      </c>
      <c r="D41" s="1311">
        <v>3222198.7599963201</v>
      </c>
      <c r="E41" s="1311">
        <v>250</v>
      </c>
      <c r="F41" s="1311">
        <v>1941033.5929725899</v>
      </c>
    </row>
    <row r="42" spans="1:6">
      <c r="A42" s="1310" t="s">
        <v>31</v>
      </c>
      <c r="B42" s="1310" t="s">
        <v>33</v>
      </c>
      <c r="C42" s="1311">
        <v>3</v>
      </c>
      <c r="D42" s="1311">
        <v>602638.27894335298</v>
      </c>
      <c r="E42" s="1311">
        <v>4</v>
      </c>
      <c r="F42" s="1311">
        <v>939804.75396979996</v>
      </c>
    </row>
    <row r="43" spans="1:6">
      <c r="A43" s="1310" t="s">
        <v>31</v>
      </c>
      <c r="B43" s="1310" t="s">
        <v>34</v>
      </c>
      <c r="C43" s="1311">
        <v>0</v>
      </c>
      <c r="D43" s="1311">
        <v>0</v>
      </c>
      <c r="E43" s="1311">
        <v>0</v>
      </c>
      <c r="F43" s="1311">
        <v>0</v>
      </c>
    </row>
    <row r="44" spans="1:6">
      <c r="A44" s="1310" t="s">
        <v>31</v>
      </c>
      <c r="B44" s="1310" t="s">
        <v>35</v>
      </c>
      <c r="C44" s="1311">
        <v>18</v>
      </c>
      <c r="D44" s="1311">
        <v>5694743.3348144898</v>
      </c>
      <c r="E44" s="1311">
        <v>33</v>
      </c>
      <c r="F44" s="1311">
        <v>12427774.3763829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143129.237256338</v>
      </c>
      <c r="E47" s="1311">
        <v>7</v>
      </c>
      <c r="F47" s="1311">
        <v>116630.808555761</v>
      </c>
    </row>
    <row r="48" spans="1:6">
      <c r="A48" s="1310" t="s">
        <v>31</v>
      </c>
      <c r="B48" s="1310" t="s">
        <v>28</v>
      </c>
      <c r="C48" s="1311">
        <v>0</v>
      </c>
      <c r="D48" s="1311">
        <v>0</v>
      </c>
      <c r="E48" s="1311">
        <v>2</v>
      </c>
      <c r="F48" s="1311">
        <v>124265.021542357</v>
      </c>
    </row>
    <row r="49" spans="1:6">
      <c r="A49" s="1310" t="s">
        <v>31</v>
      </c>
      <c r="B49" s="1310" t="s">
        <v>39</v>
      </c>
      <c r="C49" s="1311">
        <v>7</v>
      </c>
      <c r="D49" s="1311">
        <v>644380.819488112</v>
      </c>
      <c r="E49" s="1311">
        <v>9</v>
      </c>
      <c r="F49" s="1311">
        <v>2140250.1732425801</v>
      </c>
    </row>
    <row r="50" spans="1:6">
      <c r="A50" s="1310" t="s">
        <v>31</v>
      </c>
      <c r="B50" s="1310" t="s">
        <v>40</v>
      </c>
      <c r="C50" s="1311">
        <v>10</v>
      </c>
      <c r="D50" s="1311">
        <v>642536.41534655902</v>
      </c>
      <c r="E50" s="1311">
        <v>17</v>
      </c>
      <c r="F50" s="1311">
        <v>1394263.26813694</v>
      </c>
    </row>
    <row r="51" spans="1:6">
      <c r="A51" s="1310" t="s">
        <v>41</v>
      </c>
      <c r="B51" s="1310" t="s">
        <v>42</v>
      </c>
      <c r="C51" s="1311">
        <v>20</v>
      </c>
      <c r="D51" s="1311">
        <v>25726460.476490401</v>
      </c>
      <c r="E51" s="1311">
        <v>102</v>
      </c>
      <c r="F51" s="1311">
        <v>1489370.7906364801</v>
      </c>
    </row>
    <row r="52" spans="1:6">
      <c r="A52" s="1310" t="s">
        <v>41</v>
      </c>
      <c r="B52" s="1310" t="s">
        <v>28</v>
      </c>
      <c r="C52" s="1311">
        <v>0</v>
      </c>
      <c r="D52" s="1311">
        <v>0</v>
      </c>
      <c r="E52" s="1311">
        <v>0</v>
      </c>
      <c r="F52" s="1311">
        <v>0</v>
      </c>
    </row>
    <row r="53" spans="1:6">
      <c r="A53" s="1310" t="s">
        <v>43</v>
      </c>
      <c r="B53" s="1310" t="s">
        <v>44</v>
      </c>
      <c r="C53" s="1311">
        <v>183</v>
      </c>
      <c r="D53" s="1311">
        <v>2763442.9658984002</v>
      </c>
      <c r="E53" s="1311">
        <v>361</v>
      </c>
      <c r="F53" s="1311">
        <v>1016984.01379341</v>
      </c>
    </row>
    <row r="54" spans="1:6">
      <c r="A54" s="1310" t="s">
        <v>45</v>
      </c>
      <c r="B54" s="1310" t="s">
        <v>46</v>
      </c>
      <c r="C54" s="1311">
        <v>0</v>
      </c>
      <c r="D54" s="1311">
        <v>0</v>
      </c>
      <c r="E54" s="1311">
        <v>1</v>
      </c>
      <c r="F54" s="1311">
        <v>1174706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72</v>
      </c>
      <c r="D57" s="1311">
        <v>2550128.6572568901</v>
      </c>
      <c r="E57" s="1311">
        <v>102</v>
      </c>
      <c r="F57" s="1311">
        <v>2050222.74548537</v>
      </c>
    </row>
    <row r="58" spans="1:6">
      <c r="A58" s="1310" t="s">
        <v>48</v>
      </c>
      <c r="B58" s="1310" t="s">
        <v>50</v>
      </c>
      <c r="C58" s="1311">
        <v>48</v>
      </c>
      <c r="D58" s="1311">
        <v>4018748.0398506098</v>
      </c>
      <c r="E58" s="1311">
        <v>71</v>
      </c>
      <c r="F58" s="1311">
        <v>1282845.84669851</v>
      </c>
    </row>
    <row r="59" spans="1:6">
      <c r="A59" s="1310" t="s">
        <v>48</v>
      </c>
      <c r="B59" s="1310" t="s">
        <v>51</v>
      </c>
      <c r="C59" s="1311">
        <v>188</v>
      </c>
      <c r="D59" s="1311">
        <v>5560190.6957268203</v>
      </c>
      <c r="E59" s="1311">
        <v>314</v>
      </c>
      <c r="F59" s="1311">
        <v>7277698.2002678895</v>
      </c>
    </row>
    <row r="60" spans="1:6">
      <c r="A60" s="1310" t="s">
        <v>48</v>
      </c>
      <c r="B60" s="1310" t="s">
        <v>52</v>
      </c>
      <c r="C60" s="1311">
        <v>96</v>
      </c>
      <c r="D60" s="1311">
        <v>4452017.7730046203</v>
      </c>
      <c r="E60" s="1311">
        <v>114</v>
      </c>
      <c r="F60" s="1311">
        <v>1850779.76107041</v>
      </c>
    </row>
    <row r="61" spans="1:6">
      <c r="A61" s="1310" t="s">
        <v>48</v>
      </c>
      <c r="B61" s="1310" t="s">
        <v>53</v>
      </c>
      <c r="C61" s="1311">
        <v>279</v>
      </c>
      <c r="D61" s="1311">
        <v>9807825.4633976705</v>
      </c>
      <c r="E61" s="1311">
        <v>524</v>
      </c>
      <c r="F61" s="1311">
        <v>4932627.9744992098</v>
      </c>
    </row>
    <row r="62" spans="1:6">
      <c r="A62" s="1310" t="s">
        <v>48</v>
      </c>
      <c r="B62" s="1310" t="s">
        <v>54</v>
      </c>
      <c r="C62" s="1311">
        <v>23</v>
      </c>
      <c r="D62" s="1311">
        <v>2780178.6890685898</v>
      </c>
      <c r="E62" s="1311">
        <v>31</v>
      </c>
      <c r="F62" s="1311">
        <v>762516.54183201899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10</v>
      </c>
      <c r="F66" s="1311">
        <v>100112.96541323701</v>
      </c>
    </row>
    <row r="67" spans="1:6">
      <c r="A67" s="1312" t="s">
        <v>55</v>
      </c>
      <c r="B67" s="1312" t="s">
        <v>58</v>
      </c>
      <c r="C67" s="1311">
        <v>0</v>
      </c>
      <c r="D67" s="1311">
        <v>0</v>
      </c>
      <c r="E67" s="1311">
        <v>0</v>
      </c>
      <c r="F67" s="1311">
        <v>0</v>
      </c>
    </row>
    <row r="68" spans="1:6">
      <c r="A68" s="1305" t="s">
        <v>55</v>
      </c>
      <c r="B68" s="1305" t="s">
        <v>59</v>
      </c>
      <c r="C68" s="1314">
        <v>13</v>
      </c>
      <c r="D68" s="1314">
        <v>719494.60217228497</v>
      </c>
      <c r="E68" s="1314">
        <v>21</v>
      </c>
      <c r="F68" s="1314">
        <v>468086.43553688301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58816941</v>
      </c>
      <c r="E73" s="453"/>
      <c r="F73" s="332"/>
    </row>
    <row r="74" spans="1:6">
      <c r="A74" s="1310" t="s">
        <v>63</v>
      </c>
      <c r="B74" s="1310" t="s">
        <v>648</v>
      </c>
      <c r="C74" s="1324" t="s">
        <v>650</v>
      </c>
      <c r="D74" s="1325">
        <v>6092889.139150301</v>
      </c>
      <c r="E74" s="453"/>
      <c r="F74" s="332"/>
    </row>
    <row r="75" spans="1:6">
      <c r="A75" s="1310" t="s">
        <v>64</v>
      </c>
      <c r="B75" s="1310" t="s">
        <v>647</v>
      </c>
      <c r="C75" s="1324" t="s">
        <v>651</v>
      </c>
      <c r="D75" s="1325">
        <v>43947168</v>
      </c>
      <c r="E75" s="453"/>
      <c r="F75" s="332"/>
    </row>
    <row r="76" spans="1:6">
      <c r="A76" s="1310" t="s">
        <v>64</v>
      </c>
      <c r="B76" s="1310" t="s">
        <v>648</v>
      </c>
      <c r="C76" s="1324" t="s">
        <v>652</v>
      </c>
      <c r="D76" s="1325">
        <v>662130.13915030099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322053.72169939801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8579.3340203983898</v>
      </c>
      <c r="C90" s="332"/>
      <c r="D90" s="332"/>
      <c r="E90" s="332"/>
      <c r="F90" s="332"/>
    </row>
    <row r="91" spans="1:6">
      <c r="A91" s="1310" t="s">
        <v>67</v>
      </c>
      <c r="B91" s="1311">
        <v>6152.1180842604126</v>
      </c>
      <c r="C91" s="332"/>
      <c r="D91" s="332"/>
      <c r="E91" s="332"/>
      <c r="F91" s="332"/>
    </row>
    <row r="92" spans="1:6">
      <c r="A92" s="1305" t="s">
        <v>68</v>
      </c>
      <c r="B92" s="1306">
        <v>1725.9295678579078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5114</v>
      </c>
      <c r="C97" s="332"/>
      <c r="D97" s="332"/>
      <c r="E97" s="332"/>
      <c r="F97" s="332"/>
    </row>
    <row r="98" spans="1:6">
      <c r="A98" s="1310" t="s">
        <v>71</v>
      </c>
      <c r="B98" s="1311">
        <v>0</v>
      </c>
      <c r="C98" s="332"/>
      <c r="D98" s="332"/>
      <c r="E98" s="332"/>
      <c r="F98" s="332"/>
    </row>
    <row r="99" spans="1:6">
      <c r="A99" s="1310" t="s">
        <v>72</v>
      </c>
      <c r="B99" s="1311">
        <v>68</v>
      </c>
      <c r="C99" s="332"/>
      <c r="D99" s="332"/>
      <c r="E99" s="332"/>
      <c r="F99" s="332"/>
    </row>
    <row r="100" spans="1:6">
      <c r="A100" s="1310" t="s">
        <v>73</v>
      </c>
      <c r="B100" s="1311">
        <v>557</v>
      </c>
      <c r="C100" s="332"/>
      <c r="D100" s="332"/>
      <c r="E100" s="332"/>
      <c r="F100" s="332"/>
    </row>
    <row r="101" spans="1:6">
      <c r="A101" s="1310" t="s">
        <v>74</v>
      </c>
      <c r="B101" s="1311">
        <v>137</v>
      </c>
      <c r="C101" s="332"/>
      <c r="D101" s="332"/>
      <c r="E101" s="332"/>
      <c r="F101" s="332"/>
    </row>
    <row r="102" spans="1:6">
      <c r="A102" s="1310" t="s">
        <v>75</v>
      </c>
      <c r="B102" s="1311">
        <v>190</v>
      </c>
      <c r="C102" s="332"/>
      <c r="D102" s="332"/>
      <c r="E102" s="332"/>
      <c r="F102" s="332"/>
    </row>
    <row r="103" spans="1:6">
      <c r="A103" s="1310" t="s">
        <v>76</v>
      </c>
      <c r="B103" s="1311">
        <v>369</v>
      </c>
      <c r="C103" s="332"/>
      <c r="D103" s="332"/>
      <c r="E103" s="332"/>
      <c r="F103" s="332"/>
    </row>
    <row r="104" spans="1:6">
      <c r="A104" s="1310" t="s">
        <v>77</v>
      </c>
      <c r="B104" s="1311">
        <v>2299</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2</v>
      </c>
      <c r="C122" s="1311">
        <v>0</v>
      </c>
      <c r="D122" s="332"/>
      <c r="E122" s="332"/>
      <c r="F122" s="332"/>
    </row>
    <row r="123" spans="1:6">
      <c r="A123" s="1310" t="s">
        <v>87</v>
      </c>
      <c r="B123" s="1311">
        <v>26</v>
      </c>
      <c r="C123" s="1311">
        <v>34</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167</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80345.228538020485</v>
      </c>
      <c r="C3" s="43" t="s">
        <v>169</v>
      </c>
      <c r="D3" s="43"/>
      <c r="E3" s="154"/>
      <c r="F3" s="43"/>
      <c r="G3" s="43"/>
      <c r="H3" s="43"/>
      <c r="I3" s="43"/>
      <c r="J3" s="43"/>
      <c r="K3" s="96"/>
    </row>
    <row r="4" spans="1:11">
      <c r="A4" s="360" t="s">
        <v>170</v>
      </c>
      <c r="B4" s="49">
        <f>IF(ISERROR('SEAP template'!B78+'SEAP template'!C78),0,'SEAP template'!B78+'SEAP template'!C78)</f>
        <v>23585.381672516713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1693.9482352941175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0.1772087111038945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2419.9260504201679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10182.857142857143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1174.7059999999999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1174.7059999999999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0.1772087111038945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208.16813618601148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33201.918074556292</v>
      </c>
      <c r="C5" s="17">
        <f>IF(ISERROR('Eigen informatie GS &amp; warmtenet'!B59),0,'Eigen informatie GS &amp; warmtenet'!B59)</f>
        <v>0</v>
      </c>
      <c r="D5" s="30">
        <f>(SUM(HH_hh_gas_kWh,HH_rest_gas_kWh)/1000)*0.903</f>
        <v>109265.81387084589</v>
      </c>
      <c r="E5" s="17">
        <f>B46*B57</f>
        <v>6115.2797867567424</v>
      </c>
      <c r="F5" s="17">
        <f>B51*B62</f>
        <v>0</v>
      </c>
      <c r="G5" s="18"/>
      <c r="H5" s="17"/>
      <c r="I5" s="17"/>
      <c r="J5" s="17">
        <f>B50*B61+C50*C61</f>
        <v>497.14283979154834</v>
      </c>
      <c r="K5" s="17"/>
      <c r="L5" s="17"/>
      <c r="M5" s="17"/>
      <c r="N5" s="17">
        <f>B48*B59+C48*C59</f>
        <v>23092.918778000647</v>
      </c>
      <c r="O5" s="17">
        <f>B69*B70*B71</f>
        <v>402.74351853556743</v>
      </c>
      <c r="P5" s="17">
        <f>B77*B78*B79/1000-B77*B78*B79/1000/B80</f>
        <v>442.42629092277093</v>
      </c>
    </row>
    <row r="6" spans="1:16">
      <c r="A6" s="16" t="s">
        <v>612</v>
      </c>
      <c r="B6" s="786">
        <f>kWh_PV_kleiner_dan_10kW</f>
        <v>6152.1180842604126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39354.036158816707</v>
      </c>
      <c r="C8" s="21">
        <f>C5</f>
        <v>0</v>
      </c>
      <c r="D8" s="21">
        <f>D5</f>
        <v>109265.81387084589</v>
      </c>
      <c r="E8" s="21">
        <f>E5</f>
        <v>6115.2797867567424</v>
      </c>
      <c r="F8" s="21">
        <f>F5</f>
        <v>0</v>
      </c>
      <c r="G8" s="21"/>
      <c r="H8" s="21"/>
      <c r="I8" s="21"/>
      <c r="J8" s="21">
        <f>J5</f>
        <v>497.14283979154834</v>
      </c>
      <c r="K8" s="21"/>
      <c r="L8" s="21">
        <f>L5</f>
        <v>0</v>
      </c>
      <c r="M8" s="21">
        <f>M5</f>
        <v>0</v>
      </c>
      <c r="N8" s="21">
        <f>N5</f>
        <v>23092.918778000647</v>
      </c>
      <c r="O8" s="21">
        <f>O5</f>
        <v>402.74351853556743</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0.1772087111038945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6973.8780244399677</v>
      </c>
      <c r="C12" s="23">
        <f ca="1">C10*C8</f>
        <v>0</v>
      </c>
      <c r="D12" s="23">
        <f>D8*D10</f>
        <v>22071.694401910871</v>
      </c>
      <c r="E12" s="23">
        <f>E10*E8</f>
        <v>1388.1685115937805</v>
      </c>
      <c r="F12" s="23">
        <f>F10*F8</f>
        <v>0</v>
      </c>
      <c r="G12" s="23"/>
      <c r="H12" s="23"/>
      <c r="I12" s="23"/>
      <c r="J12" s="23">
        <f>J10*J8</f>
        <v>175.98856528620811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10433</v>
      </c>
      <c r="C28" s="36"/>
      <c r="D28" s="228"/>
    </row>
    <row r="29" spans="1:7" s="15" customFormat="1">
      <c r="A29" s="230" t="s">
        <v>839</v>
      </c>
      <c r="B29" s="37">
        <f>SUM(HH_hh_gas_aantal,HH_rest_gas_aantal)</f>
        <v>8450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8450</v>
      </c>
      <c r="C32" s="167">
        <f>IF(ISERROR(B32/SUM($B$32,$B$34,$B$35,$B$36,$B$38,$B$39)*100),0,B32/SUM($B$32,$B$34,$B$35,$B$36,$B$38,$B$39)*100)</f>
        <v>81.320373400057747</v>
      </c>
      <c r="D32" s="233"/>
      <c r="G32" s="15"/>
    </row>
    <row r="33" spans="1:7">
      <c r="A33" s="171" t="s">
        <v>71</v>
      </c>
      <c r="B33" s="34" t="s">
        <v>110</v>
      </c>
      <c r="C33" s="167"/>
      <c r="D33" s="233"/>
      <c r="G33" s="15"/>
    </row>
    <row r="34" spans="1:7">
      <c r="A34" s="171" t="s">
        <v>72</v>
      </c>
      <c r="B34" s="33">
        <f>IF((($B$28-$B$32-$B$39-$B$77-$B$38)*C20/100)&lt;0,0,($B$28-$B$32-$B$39-$B$77-$B$38)*C20/100)</f>
        <v>170.05354330708658</v>
      </c>
      <c r="C34" s="167">
        <f>IF(ISERROR(B34/SUM($B$32,$B$34,$B$35,$B$36,$B$38,$B$39)*100),0,B34/SUM($B$32,$B$34,$B$35,$B$36,$B$38,$B$39)*100)</f>
        <v>1.6365464662408487</v>
      </c>
      <c r="D34" s="233"/>
      <c r="G34" s="15"/>
    </row>
    <row r="35" spans="1:7">
      <c r="A35" s="171" t="s">
        <v>73</v>
      </c>
      <c r="B35" s="33">
        <f>IF((($B$28-$B$32-$B$39-$B$77-$B$38)*C21/100)&lt;0,0,($B$28-$B$32-$B$39-$B$77-$B$38)*C21/100)</f>
        <v>1392.9385826771654</v>
      </c>
      <c r="C35" s="167">
        <f>IF(ISERROR(B35/SUM($B$32,$B$34,$B$35,$B$36,$B$38,$B$39)*100),0,B35/SUM($B$32,$B$34,$B$35,$B$36,$B$38,$B$39)*100)</f>
        <v>13.405240907296367</v>
      </c>
      <c r="D35" s="233"/>
      <c r="G35" s="15"/>
    </row>
    <row r="36" spans="1:7">
      <c r="A36" s="171" t="s">
        <v>74</v>
      </c>
      <c r="B36" s="33">
        <f>IF((($B$28-$B$32-$B$39-$B$77-$B$38)*C22/100)&lt;0,0,($B$28-$B$32-$B$39-$B$77-$B$38)*C22/100)</f>
        <v>342.607874015748</v>
      </c>
      <c r="C36" s="167">
        <f>IF(ISERROR(B36/SUM($B$32,$B$34,$B$35,$B$36,$B$38,$B$39)*100),0,B36/SUM($B$32,$B$34,$B$35,$B$36,$B$38,$B$39)*100)</f>
        <v>3.297159792279357</v>
      </c>
      <c r="D36" s="233"/>
      <c r="G36" s="15"/>
    </row>
    <row r="37" spans="1:7">
      <c r="A37" s="171" t="s">
        <v>75</v>
      </c>
      <c r="B37" s="34" t="s">
        <v>110</v>
      </c>
      <c r="C37" s="167"/>
      <c r="D37" s="173"/>
      <c r="G37" s="15"/>
    </row>
    <row r="38" spans="1:7">
      <c r="A38" s="171" t="s">
        <v>76</v>
      </c>
      <c r="B38" s="33">
        <f>IF((B24-(B29-B18)*0.1)&lt;0,0,B24-(B29-B18)*0.1)</f>
        <v>35.399999999999977</v>
      </c>
      <c r="C38" s="167">
        <f>IF(ISERROR(B38/SUM($B$32,$B$34,$B$35,$B$36,$B$38,$B$39)*100),0,B38/SUM($B$32,$B$34,$B$35,$B$36,$B$38,$B$39)*100)</f>
        <v>0.34067943412568547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8450</v>
      </c>
      <c r="C44" s="34" t="s">
        <v>110</v>
      </c>
      <c r="D44" s="174"/>
    </row>
    <row r="45" spans="1:7">
      <c r="A45" s="171" t="s">
        <v>71</v>
      </c>
      <c r="B45" s="33" t="str">
        <f t="shared" si="0"/>
        <v>-</v>
      </c>
      <c r="C45" s="34" t="s">
        <v>110</v>
      </c>
      <c r="D45" s="174"/>
    </row>
    <row r="46" spans="1:7">
      <c r="A46" s="171" t="s">
        <v>72</v>
      </c>
      <c r="B46" s="33">
        <f t="shared" si="0"/>
        <v>170.05354330708658</v>
      </c>
      <c r="C46" s="34" t="s">
        <v>110</v>
      </c>
      <c r="D46" s="174"/>
    </row>
    <row r="47" spans="1:7">
      <c r="A47" s="171" t="s">
        <v>73</v>
      </c>
      <c r="B47" s="33">
        <f t="shared" si="0"/>
        <v>1392.9385826771654</v>
      </c>
      <c r="C47" s="34" t="s">
        <v>110</v>
      </c>
      <c r="D47" s="174"/>
    </row>
    <row r="48" spans="1:7">
      <c r="A48" s="171" t="s">
        <v>74</v>
      </c>
      <c r="B48" s="33">
        <f t="shared" si="0"/>
        <v>342.607874015748</v>
      </c>
      <c r="C48" s="33">
        <f>B48*10</f>
        <v>3426.0787401574798</v>
      </c>
      <c r="D48" s="234"/>
    </row>
    <row r="49" spans="1:6">
      <c r="A49" s="171" t="s">
        <v>75</v>
      </c>
      <c r="B49" s="33" t="str">
        <f t="shared" si="0"/>
        <v>-</v>
      </c>
      <c r="C49" s="34" t="s">
        <v>110</v>
      </c>
      <c r="D49" s="234"/>
    </row>
    <row r="50" spans="1:6">
      <c r="A50" s="171" t="s">
        <v>76</v>
      </c>
      <c r="B50" s="33">
        <f t="shared" si="0"/>
        <v>35.399999999999977</v>
      </c>
      <c r="C50" s="33">
        <f>B50*2</f>
        <v>70.799999999999955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18156.691069853408</v>
      </c>
      <c r="C5" s="17">
        <f>IF(ISERROR('Eigen informatie GS &amp; warmtenet'!B60),0,'Eigen informatie GS &amp; warmtenet'!B60)</f>
        <v>0</v>
      </c>
      <c r="D5" s="30">
        <f>SUM(D6:D12)</f>
        <v>26339.687654429603</v>
      </c>
      <c r="E5" s="17">
        <f>SUM(E6:E12)</f>
        <v>56.122587078951042</v>
      </c>
      <c r="F5" s="17">
        <f>SUM(F6:F12)</f>
        <v>2752.3791423553512</v>
      </c>
      <c r="G5" s="18"/>
      <c r="H5" s="17"/>
      <c r="I5" s="17"/>
      <c r="J5" s="17">
        <f>SUM(J6:J12)</f>
        <v>2.0247631013917248E-2</v>
      </c>
      <c r="K5" s="17"/>
      <c r="L5" s="17"/>
      <c r="M5" s="17"/>
      <c r="N5" s="17">
        <f>SUM(N6:N12)</f>
        <v>749.05451750632437</v>
      </c>
      <c r="O5" s="17">
        <f>B38*B39*B40</f>
        <v>0</v>
      </c>
      <c r="P5" s="17">
        <f>B46*B47*B48/1000-B46*B47*B48/1000/B49</f>
        <v>105.07827661299004</v>
      </c>
      <c r="R5" s="32"/>
    </row>
    <row r="6" spans="1:18">
      <c r="A6" s="32" t="s">
        <v>53</v>
      </c>
      <c r="B6" s="37">
        <f>B26</f>
        <v>4932.6279744992098</v>
      </c>
      <c r="C6" s="33"/>
      <c r="D6" s="37">
        <f>IF(ISERROR(TER_kantoor_gas_kWh/1000),0,TER_kantoor_gas_kWh/1000)*0.903</f>
        <v>8856.4663934480959</v>
      </c>
      <c r="E6" s="33">
        <f>$C$26*'E Balans VL '!I12/100/3.6*1000000</f>
        <v>1.1817404160022085</v>
      </c>
      <c r="F6" s="33">
        <f>$C$26*('E Balans VL '!L12+'E Balans VL '!N12)/100/3.6*1000000</f>
        <v>467.75531729543434</v>
      </c>
      <c r="G6" s="34"/>
      <c r="H6" s="33"/>
      <c r="I6" s="33"/>
      <c r="J6" s="33">
        <f>$C$26*('E Balans VL '!D12+'E Balans VL '!E12)/100/3.6*1000000</f>
        <v>0</v>
      </c>
      <c r="K6" s="33"/>
      <c r="L6" s="33"/>
      <c r="M6" s="33"/>
      <c r="N6" s="33">
        <f>$C$26*'E Balans VL '!Y12/100/3.6*1000000</f>
        <v>2.5055198772966256</v>
      </c>
      <c r="O6" s="33"/>
      <c r="P6" s="33"/>
      <c r="R6" s="32"/>
    </row>
    <row r="7" spans="1:18">
      <c r="A7" s="32" t="s">
        <v>52</v>
      </c>
      <c r="B7" s="37">
        <f t="shared" ref="B7:B12" si="0">B27</f>
        <v>1850.7797610704101</v>
      </c>
      <c r="C7" s="33"/>
      <c r="D7" s="37">
        <f>IF(ISERROR(TER_horeca_gas_kWh/1000),0,TER_horeca_gas_kWh/1000)*0.903</f>
        <v>4020.1720490231728</v>
      </c>
      <c r="E7" s="33">
        <f>$C$27*'E Balans VL '!I9/100/3.6*1000000</f>
        <v>0</v>
      </c>
      <c r="F7" s="33">
        <f>$C$27*('E Balans VL '!L9+'E Balans VL '!N9)/100/3.6*1000000</f>
        <v>151.75958979959566</v>
      </c>
      <c r="G7" s="34"/>
      <c r="H7" s="33"/>
      <c r="I7" s="33"/>
      <c r="J7" s="33">
        <f>$C$27*('E Balans VL '!D9+'E Balans VL '!E9)/100/3.6*1000000</f>
        <v>0</v>
      </c>
      <c r="K7" s="33"/>
      <c r="L7" s="33"/>
      <c r="M7" s="33"/>
      <c r="N7" s="33">
        <f>$C$27*'E Balans VL '!Y9/100/3.6*1000000</f>
        <v>0.56733835564587043</v>
      </c>
      <c r="O7" s="33"/>
      <c r="P7" s="33"/>
      <c r="R7" s="32"/>
    </row>
    <row r="8" spans="1:18">
      <c r="A8" s="6" t="s">
        <v>51</v>
      </c>
      <c r="B8" s="37">
        <f t="shared" si="0"/>
        <v>7277.6982002678897</v>
      </c>
      <c r="C8" s="33"/>
      <c r="D8" s="37">
        <f>IF(ISERROR(TER_handel_gas_kWh/1000),0,TER_handel_gas_kWh/1000)*0.903</f>
        <v>5020.8521982413185</v>
      </c>
      <c r="E8" s="33">
        <f>$C$28*'E Balans VL '!I13/100/3.6*1000000</f>
        <v>25.577131525412351</v>
      </c>
      <c r="F8" s="33">
        <f>$C$28*('E Balans VL '!L13+'E Balans VL '!N13)/100/3.6*1000000</f>
        <v>665.89631579827562</v>
      </c>
      <c r="G8" s="34"/>
      <c r="H8" s="33"/>
      <c r="I8" s="33"/>
      <c r="J8" s="33">
        <f>$C$28*('E Balans VL '!D13+'E Balans VL '!E13)/100/3.6*1000000</f>
        <v>0</v>
      </c>
      <c r="K8" s="33"/>
      <c r="L8" s="33"/>
      <c r="M8" s="33"/>
      <c r="N8" s="33">
        <f>$C$28*'E Balans VL '!Y13/100/3.6*1000000</f>
        <v>2.6356689715037471</v>
      </c>
      <c r="O8" s="33"/>
      <c r="P8" s="33"/>
      <c r="R8" s="32"/>
    </row>
    <row r="9" spans="1:18">
      <c r="A9" s="32" t="s">
        <v>50</v>
      </c>
      <c r="B9" s="37">
        <f t="shared" si="0"/>
        <v>1282.8458466985101</v>
      </c>
      <c r="C9" s="33"/>
      <c r="D9" s="37">
        <f>IF(ISERROR(TER_gezond_gas_kWh/1000),0,TER_gezond_gas_kWh/1000)*0.903</f>
        <v>3628.9294799851009</v>
      </c>
      <c r="E9" s="33">
        <f>$C$29*'E Balans VL '!I10/100/3.6*1000000</f>
        <v>0</v>
      </c>
      <c r="F9" s="33">
        <f>$C$29*('E Balans VL '!L10+'E Balans VL '!N10)/100/3.6*1000000</f>
        <v>157.25334397330352</v>
      </c>
      <c r="G9" s="34"/>
      <c r="H9" s="33"/>
      <c r="I9" s="33"/>
      <c r="J9" s="33">
        <f>$C$29*('E Balans VL '!D10+'E Balans VL '!E10)/100/3.6*1000000</f>
        <v>0</v>
      </c>
      <c r="K9" s="33"/>
      <c r="L9" s="33"/>
      <c r="M9" s="33"/>
      <c r="N9" s="33">
        <f>$C$29*'E Balans VL '!Y10/100/3.6*1000000</f>
        <v>9.460094162070261</v>
      </c>
      <c r="O9" s="33"/>
      <c r="P9" s="33"/>
      <c r="R9" s="32"/>
    </row>
    <row r="10" spans="1:18">
      <c r="A10" s="32" t="s">
        <v>49</v>
      </c>
      <c r="B10" s="37">
        <f t="shared" si="0"/>
        <v>2050.2227454853701</v>
      </c>
      <c r="C10" s="33"/>
      <c r="D10" s="37">
        <f>IF(ISERROR(TER_ander_gas_kWh/1000),0,TER_ander_gas_kWh/1000)*0.903</f>
        <v>2302.7661775029719</v>
      </c>
      <c r="E10" s="33">
        <f>$C$30*'E Balans VL '!I14/100/3.6*1000000</f>
        <v>29.363715137536477</v>
      </c>
      <c r="F10" s="33">
        <f>$C$30*('E Balans VL '!L14+'E Balans VL '!N14)/100/3.6*1000000</f>
        <v>1220.5673113868409</v>
      </c>
      <c r="G10" s="34"/>
      <c r="H10" s="33"/>
      <c r="I10" s="33"/>
      <c r="J10" s="33">
        <f>$C$30*('E Balans VL '!D14+'E Balans VL '!E14)/100/3.6*1000000</f>
        <v>2.0247631013917248E-2</v>
      </c>
      <c r="K10" s="33"/>
      <c r="L10" s="33"/>
      <c r="M10" s="33"/>
      <c r="N10" s="33">
        <f>$C$30*'E Balans VL '!Y14/100/3.6*1000000</f>
        <v>731.73873711871158</v>
      </c>
      <c r="O10" s="33"/>
      <c r="P10" s="33"/>
      <c r="R10" s="32"/>
    </row>
    <row r="11" spans="1:18">
      <c r="A11" s="32" t="s">
        <v>54</v>
      </c>
      <c r="B11" s="37">
        <f t="shared" si="0"/>
        <v>762.51654183201902</v>
      </c>
      <c r="C11" s="33"/>
      <c r="D11" s="37">
        <f>IF(ISERROR(TER_onderwijs_gas_kWh/1000),0,TER_onderwijs_gas_kWh/1000)*0.903</f>
        <v>2510.5013562289369</v>
      </c>
      <c r="E11" s="33">
        <f>$C$31*'E Balans VL '!I11/100/3.6*1000000</f>
        <v>0</v>
      </c>
      <c r="F11" s="33">
        <f>$C$31*('E Balans VL '!L11+'E Balans VL '!N11)/100/3.6*1000000</f>
        <v>89.147264101901101</v>
      </c>
      <c r="G11" s="34"/>
      <c r="H11" s="33"/>
      <c r="I11" s="33"/>
      <c r="J11" s="33">
        <f>$C$31*('E Balans VL '!D11+'E Balans VL '!E11)/100/3.6*1000000</f>
        <v>0</v>
      </c>
      <c r="K11" s="33"/>
      <c r="L11" s="33"/>
      <c r="M11" s="33"/>
      <c r="N11" s="33">
        <f>$C$31*'E Balans VL '!Y11/100/3.6*1000000</f>
        <v>2.1471590210962632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18156.691069853408</v>
      </c>
      <c r="C16" s="21">
        <f t="shared" ca="1" si="1"/>
        <v>0</v>
      </c>
      <c r="D16" s="21">
        <f t="shared" ca="1" si="1"/>
        <v>26339.687654429603</v>
      </c>
      <c r="E16" s="21">
        <f t="shared" si="1"/>
        <v>56.122587078951042</v>
      </c>
      <c r="F16" s="21">
        <f t="shared" ca="1" si="1"/>
        <v>2752.3791423553512</v>
      </c>
      <c r="G16" s="21">
        <f t="shared" si="1"/>
        <v>0</v>
      </c>
      <c r="H16" s="21">
        <f t="shared" si="1"/>
        <v>0</v>
      </c>
      <c r="I16" s="21">
        <f t="shared" si="1"/>
        <v>0</v>
      </c>
      <c r="J16" s="21">
        <f t="shared" si="1"/>
        <v>2.0247631013917248E-2</v>
      </c>
      <c r="K16" s="21">
        <f t="shared" si="1"/>
        <v>0</v>
      </c>
      <c r="L16" s="21">
        <f t="shared" ca="1" si="1"/>
        <v>0</v>
      </c>
      <c r="M16" s="21">
        <f t="shared" si="1"/>
        <v>0</v>
      </c>
      <c r="N16" s="21">
        <f t="shared" ca="1" si="1"/>
        <v>749.05451750632437</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0.1772087111038945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3217.5238224003137</v>
      </c>
      <c r="C20" s="23">
        <f t="shared" ref="C20:P20" ca="1" si="2">C16*C18</f>
        <v>0</v>
      </c>
      <c r="D20" s="23">
        <f t="shared" ca="1" si="2"/>
        <v>5320.6169061947803</v>
      </c>
      <c r="E20" s="23">
        <f t="shared" si="2"/>
        <v>12.739827266921887</v>
      </c>
      <c r="F20" s="23">
        <f t="shared" ca="1" si="2"/>
        <v>734.8852310088788</v>
      </c>
      <c r="G20" s="23">
        <f t="shared" si="2"/>
        <v>0</v>
      </c>
      <c r="H20" s="23">
        <f t="shared" si="2"/>
        <v>0</v>
      </c>
      <c r="I20" s="23">
        <f t="shared" si="2"/>
        <v>0</v>
      </c>
      <c r="J20" s="23">
        <f t="shared" si="2"/>
        <v>7.1676613789267056E-3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4932.6279744992098</v>
      </c>
      <c r="C26" s="39">
        <f>IF(ISERROR(B26*3.6/1000000/'E Balans VL '!Z12*100),0,B26*3.6/1000000/'E Balans VL '!Z12*100)</f>
        <v>0.13911317114109875</v>
      </c>
      <c r="D26" s="237" t="s">
        <v>702</v>
      </c>
      <c r="F26" s="6"/>
    </row>
    <row r="27" spans="1:18">
      <c r="A27" s="231" t="s">
        <v>52</v>
      </c>
      <c r="B27" s="33">
        <f>IF(ISERROR(TER_horeca_ele_kWh/1000),0,TER_horeca_ele_kWh/1000)</f>
        <v>1850.7797610704101</v>
      </c>
      <c r="C27" s="39">
        <f>IF(ISERROR(B27*3.6/1000000/'E Balans VL '!Z9*100),0,B27*3.6/1000000/'E Balans VL '!Z9*100)</f>
        <v>0.13721258305138179</v>
      </c>
      <c r="D27" s="237" t="s">
        <v>702</v>
      </c>
      <c r="F27" s="6"/>
    </row>
    <row r="28" spans="1:18">
      <c r="A28" s="171" t="s">
        <v>51</v>
      </c>
      <c r="B28" s="33">
        <f>IF(ISERROR(TER_handel_ele_kWh/1000),0,TER_handel_ele_kWh/1000)</f>
        <v>7277.6982002678897</v>
      </c>
      <c r="C28" s="39">
        <f>IF(ISERROR(B28*3.6/1000000/'E Balans VL '!Z13*100),0,B28*3.6/1000000/'E Balans VL '!Z13*100)</f>
        <v>0.21802253470651956</v>
      </c>
      <c r="D28" s="237" t="s">
        <v>702</v>
      </c>
      <c r="F28" s="6"/>
    </row>
    <row r="29" spans="1:18">
      <c r="A29" s="231" t="s">
        <v>50</v>
      </c>
      <c r="B29" s="33">
        <f>IF(ISERROR(TER_gezond_ele_kWh/1000),0,TER_gezond_ele_kWh/1000)</f>
        <v>1282.8458466985101</v>
      </c>
      <c r="C29" s="39">
        <f>IF(ISERROR(B29*3.6/1000000/'E Balans VL '!Z10*100),0,B29*3.6/1000000/'E Balans VL '!Z10*100)</f>
        <v>0.12684830013055615</v>
      </c>
      <c r="D29" s="237" t="s">
        <v>702</v>
      </c>
      <c r="F29" s="6"/>
    </row>
    <row r="30" spans="1:18">
      <c r="A30" s="231" t="s">
        <v>49</v>
      </c>
      <c r="B30" s="33">
        <f>IF(ISERROR(TER_ander_ele_kWh/1000),0,TER_ander_ele_kWh/1000)</f>
        <v>2050.2227454853701</v>
      </c>
      <c r="C30" s="39">
        <f>IF(ISERROR(B30*3.6/1000000/'E Balans VL '!Z14*100),0,B30*3.6/1000000/'E Balans VL '!Z14*100)</f>
        <v>8.2925451251538204E-2</v>
      </c>
      <c r="D30" s="237" t="s">
        <v>702</v>
      </c>
      <c r="F30" s="6"/>
    </row>
    <row r="31" spans="1:18">
      <c r="A31" s="231" t="s">
        <v>54</v>
      </c>
      <c r="B31" s="33">
        <f>IF(ISERROR(TER_onderwijs_ele_kWh/1000),0,TER_onderwijs_ele_kWh/1000)</f>
        <v>762.51654183201902</v>
      </c>
      <c r="C31" s="39">
        <f>IF(ISERROR(B31*3.6/1000000/'E Balans VL '!Z11*100),0,B31*3.6/1000000/'E Balans VL '!Z11*100)</f>
        <v>0.20949664242468596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19084.021994802926</v>
      </c>
      <c r="C5" s="17">
        <f>IF(ISERROR('Eigen informatie GS &amp; warmtenet'!B61),0,'Eigen informatie GS &amp; warmtenet'!B61)</f>
        <v>0</v>
      </c>
      <c r="D5" s="30">
        <f>SUM(D6:D15)</f>
        <v>9887.5130417981927</v>
      </c>
      <c r="E5" s="17">
        <f>SUM(E6:E15)</f>
        <v>132.20377129966769</v>
      </c>
      <c r="F5" s="17">
        <f>SUM(F6:F15)</f>
        <v>2118.5897974167533</v>
      </c>
      <c r="G5" s="18"/>
      <c r="H5" s="17"/>
      <c r="I5" s="17"/>
      <c r="J5" s="17">
        <f>SUM(J6:J15)</f>
        <v>11.275190244933675</v>
      </c>
      <c r="K5" s="17"/>
      <c r="L5" s="17"/>
      <c r="M5" s="17"/>
      <c r="N5" s="17">
        <f>SUM(N6:N15)</f>
        <v>397.02437526398796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12427.7743763829</v>
      </c>
      <c r="C8" s="33"/>
      <c r="D8" s="37">
        <f>IF( ISERROR(IND_metaal_Gas_kWH/1000),0,IND_metaal_Gas_kWH/1000)*0.903</f>
        <v>5142.3532313374844</v>
      </c>
      <c r="E8" s="33">
        <f>C30*'E Balans VL '!I18/100/3.6*1000000</f>
        <v>62.663006795417076</v>
      </c>
      <c r="F8" s="33">
        <f>C30*'E Balans VL '!L18/100/3.6*1000000+C30*'E Balans VL '!N18/100/3.6*1000000</f>
        <v>849.09094094279533</v>
      </c>
      <c r="G8" s="34"/>
      <c r="H8" s="33"/>
      <c r="I8" s="33"/>
      <c r="J8" s="40">
        <f>C30*'E Balans VL '!D18/100/3.6*1000000+C30*'E Balans VL '!E18/100/3.6*1000000</f>
        <v>11.018282087474498</v>
      </c>
      <c r="K8" s="33"/>
      <c r="L8" s="33"/>
      <c r="M8" s="33"/>
      <c r="N8" s="33">
        <f>C30*'E Balans VL '!Y18/100/3.6*1000000</f>
        <v>165.16519521509497</v>
      </c>
      <c r="O8" s="33"/>
      <c r="P8" s="33"/>
      <c r="R8" s="32"/>
    </row>
    <row r="9" spans="1:18">
      <c r="A9" s="6" t="s">
        <v>32</v>
      </c>
      <c r="B9" s="37">
        <f t="shared" si="0"/>
        <v>1941.03359297259</v>
      </c>
      <c r="C9" s="33"/>
      <c r="D9" s="37">
        <f>IF( ISERROR(IND_andere_gas_kWh/1000),0,IND_andere_gas_kWh/1000)*0.903</f>
        <v>2909.6454802766771</v>
      </c>
      <c r="E9" s="33">
        <f>C31*'E Balans VL '!I19/100/3.6*1000000</f>
        <v>6.1185966353450958</v>
      </c>
      <c r="F9" s="33">
        <f>C31*'E Balans VL '!L19/100/3.6*1000000+C31*'E Balans VL '!N19/100/3.6*1000000</f>
        <v>1188.2191282461047</v>
      </c>
      <c r="G9" s="34"/>
      <c r="H9" s="33"/>
      <c r="I9" s="33"/>
      <c r="J9" s="40">
        <f>C31*'E Balans VL '!D19/100/3.6*1000000+C31*'E Balans VL '!E19/100/3.6*1000000</f>
        <v>0</v>
      </c>
      <c r="K9" s="33"/>
      <c r="L9" s="33"/>
      <c r="M9" s="33"/>
      <c r="N9" s="33">
        <f>C31*'E Balans VL '!Y19/100/3.6*1000000</f>
        <v>81.390174129250042</v>
      </c>
      <c r="O9" s="33"/>
      <c r="P9" s="33"/>
      <c r="R9" s="32"/>
    </row>
    <row r="10" spans="1:18">
      <c r="A10" s="6" t="s">
        <v>40</v>
      </c>
      <c r="B10" s="37">
        <f t="shared" si="0"/>
        <v>1394.26326813694</v>
      </c>
      <c r="C10" s="33"/>
      <c r="D10" s="37">
        <f>IF( ISERROR(IND_voed_gas_kWh/1000),0,IND_voed_gas_kWh/1000)*0.903</f>
        <v>580.21038305794275</v>
      </c>
      <c r="E10" s="33">
        <f>C32*'E Balans VL '!I20/100/3.6*1000000</f>
        <v>2.2220640800444369</v>
      </c>
      <c r="F10" s="33">
        <f>C32*'E Balans VL '!L20/100/3.6*1000000+C32*'E Balans VL '!N20/100/3.6*1000000</f>
        <v>22.653391057810968</v>
      </c>
      <c r="G10" s="34"/>
      <c r="H10" s="33"/>
      <c r="I10" s="33"/>
      <c r="J10" s="40">
        <f>C32*'E Balans VL '!D20/100/3.6*1000000+C32*'E Balans VL '!E20/100/3.6*1000000</f>
        <v>0</v>
      </c>
      <c r="K10" s="33"/>
      <c r="L10" s="33"/>
      <c r="M10" s="33"/>
      <c r="N10" s="33">
        <f>C32*'E Balans VL '!Y20/100/3.6*1000000</f>
        <v>44.037797477081945</v>
      </c>
      <c r="O10" s="33"/>
      <c r="P10" s="33"/>
      <c r="R10" s="32"/>
    </row>
    <row r="11" spans="1:18">
      <c r="A11" s="6" t="s">
        <v>39</v>
      </c>
      <c r="B11" s="37">
        <f t="shared" si="0"/>
        <v>2140.2501732425803</v>
      </c>
      <c r="C11" s="33"/>
      <c r="D11" s="37">
        <f>IF( ISERROR(IND_textiel_gas_kWh/1000),0,IND_textiel_gas_kWh/1000)*0.903</f>
        <v>581.8758799977652</v>
      </c>
      <c r="E11" s="33">
        <f>C33*'E Balans VL '!I21/100/3.6*1000000</f>
        <v>3.1051119163646206</v>
      </c>
      <c r="F11" s="33">
        <f>C33*'E Balans VL '!L21/100/3.6*1000000+C33*'E Balans VL '!N21/100/3.6*1000000</f>
        <v>41.886071037823903</v>
      </c>
      <c r="G11" s="34"/>
      <c r="H11" s="33"/>
      <c r="I11" s="33"/>
      <c r="J11" s="40">
        <f>C33*'E Balans VL '!D21/100/3.6*1000000+C33*'E Balans VL '!E21/100/3.6*1000000</f>
        <v>0</v>
      </c>
      <c r="K11" s="33"/>
      <c r="L11" s="33"/>
      <c r="M11" s="33"/>
      <c r="N11" s="33">
        <f>C33*'E Balans VL '!Y21/100/3.6*1000000</f>
        <v>104.26813105046811</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116.63080855576101</v>
      </c>
      <c r="C13" s="33"/>
      <c r="D13" s="37">
        <f>IF( ISERROR(IND_papier_gas_kWh/1000),0,IND_papier_gas_kWh/1000)*0.903</f>
        <v>129.24570124247322</v>
      </c>
      <c r="E13" s="33">
        <f>C35*'E Balans VL '!I23/100/3.6*1000000</f>
        <v>0</v>
      </c>
      <c r="F13" s="33">
        <f>C35*'E Balans VL '!L23/100/3.6*1000000+C35*'E Balans VL '!N23/100/3.6*1000000</f>
        <v>5.0529889458833599E-3</v>
      </c>
      <c r="G13" s="34"/>
      <c r="H13" s="33"/>
      <c r="I13" s="33"/>
      <c r="J13" s="40">
        <f>C35*'E Balans VL '!D23/100/3.6*1000000+C35*'E Balans VL '!E23/100/3.6*1000000</f>
        <v>3.21373501859986E-3</v>
      </c>
      <c r="K13" s="33"/>
      <c r="L13" s="33"/>
      <c r="M13" s="33"/>
      <c r="N13" s="33">
        <f>C35*'E Balans VL '!Y23/100/3.6*1000000</f>
        <v>0</v>
      </c>
      <c r="O13" s="33"/>
      <c r="P13" s="33"/>
      <c r="R13" s="32"/>
    </row>
    <row r="14" spans="1:18">
      <c r="A14" s="6" t="s">
        <v>33</v>
      </c>
      <c r="B14" s="37">
        <f t="shared" si="0"/>
        <v>939.8047539698</v>
      </c>
      <c r="C14" s="33"/>
      <c r="D14" s="37">
        <f>IF( ISERROR(IND_chemie_gas_kWh/1000),0,IND_chemie_gas_kWh/1000)*0.903</f>
        <v>544.18236588584773</v>
      </c>
      <c r="E14" s="33">
        <f>C36*'E Balans VL '!I24/100/3.6*1000000</f>
        <v>54.962794340248351</v>
      </c>
      <c r="F14" s="33">
        <f>C36*'E Balans VL '!L24/100/3.6*1000000+C36*'E Balans VL '!N24/100/3.6*1000000</f>
        <v>6.647214742825966</v>
      </c>
      <c r="G14" s="34"/>
      <c r="H14" s="33"/>
      <c r="I14" s="33"/>
      <c r="J14" s="40">
        <f>C36*'E Balans VL '!D24/100/3.6*1000000+C36*'E Balans VL '!E24/100/3.6*1000000</f>
        <v>0</v>
      </c>
      <c r="K14" s="33"/>
      <c r="L14" s="33"/>
      <c r="M14" s="33"/>
      <c r="N14" s="33">
        <f>C36*'E Balans VL '!Y24/100/3.6*1000000</f>
        <v>6.3339207918928941E-2</v>
      </c>
      <c r="O14" s="33"/>
      <c r="P14" s="33"/>
      <c r="R14" s="32"/>
    </row>
    <row r="15" spans="1:18">
      <c r="A15" s="6" t="s">
        <v>269</v>
      </c>
      <c r="B15" s="37">
        <f t="shared" si="0"/>
        <v>124.265021542357</v>
      </c>
      <c r="C15" s="33"/>
      <c r="D15" s="37">
        <f>IF( ISERROR(IND_rest_gas_kWh/1000),0,IND_rest_gas_kWh/1000)*0.903</f>
        <v>0</v>
      </c>
      <c r="E15" s="33">
        <f>C37*'E Balans VL '!I15/100/3.6*1000000</f>
        <v>3.1321975322481017</v>
      </c>
      <c r="F15" s="33">
        <f>C37*'E Balans VL '!L15/100/3.6*1000000+C37*'E Balans VL '!N15/100/3.6*1000000</f>
        <v>10.0879984004468</v>
      </c>
      <c r="G15" s="34"/>
      <c r="H15" s="33"/>
      <c r="I15" s="33"/>
      <c r="J15" s="40">
        <f>C37*'E Balans VL '!D15/100/3.6*1000000+C37*'E Balans VL '!E15/100/3.6*1000000</f>
        <v>0.25369442244057866</v>
      </c>
      <c r="K15" s="33"/>
      <c r="L15" s="33"/>
      <c r="M15" s="33"/>
      <c r="N15" s="33">
        <f>C37*'E Balans VL '!Y15/100/3.6*1000000</f>
        <v>2.0997381841739498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19084.021994802926</v>
      </c>
      <c r="C18" s="21">
        <f>C5+C16</f>
        <v>0</v>
      </c>
      <c r="D18" s="21">
        <f>MAX((D5+D16),0)</f>
        <v>9887.5130417981927</v>
      </c>
      <c r="E18" s="21">
        <f>MAX((E5+E16),0)</f>
        <v>132.20377129966769</v>
      </c>
      <c r="F18" s="21">
        <f>MAX((F5+F16),0)</f>
        <v>2118.5897974167533</v>
      </c>
      <c r="G18" s="21"/>
      <c r="H18" s="21"/>
      <c r="I18" s="21"/>
      <c r="J18" s="21">
        <f>MAX((J5+J16),0)</f>
        <v>11.275190244933675</v>
      </c>
      <c r="K18" s="21"/>
      <c r="L18" s="21">
        <f>MAX((L5+L16),0)</f>
        <v>0</v>
      </c>
      <c r="M18" s="21"/>
      <c r="N18" s="21">
        <f>MAX((N5+N16),0)</f>
        <v>397.02437526398796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0.1772087111038945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3381.8549403774</v>
      </c>
      <c r="C22" s="23">
        <f ca="1">C18*C20</f>
        <v>0</v>
      </c>
      <c r="D22" s="23">
        <f>D18*D20</f>
        <v>1997.277634443235</v>
      </c>
      <c r="E22" s="23">
        <f>E18*E20</f>
        <v>30.010256085024569</v>
      </c>
      <c r="F22" s="23">
        <f>F18*F20</f>
        <v>565.66347591027318</v>
      </c>
      <c r="G22" s="23"/>
      <c r="H22" s="23"/>
      <c r="I22" s="23"/>
      <c r="J22" s="23">
        <f>J18*J20</f>
        <v>3.991417346706521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12427.7743763829</v>
      </c>
      <c r="C30" s="39">
        <f>IF(ISERROR(B30*3.6/1000000/'E Balans VL '!Z18*100),0,B30*3.6/1000000/'E Balans VL '!Z18*100)</f>
        <v>0.61688671096280057</v>
      </c>
      <c r="D30" s="237" t="s">
        <v>702</v>
      </c>
    </row>
    <row r="31" spans="1:18">
      <c r="A31" s="6" t="s">
        <v>32</v>
      </c>
      <c r="B31" s="37">
        <f>IF( ISERROR(IND_ander_ele_kWh/1000),0,IND_ander_ele_kWh/1000)</f>
        <v>1941.03359297259</v>
      </c>
      <c r="C31" s="39">
        <f>IF(ISERROR(B31*3.6/1000000/'E Balans VL '!Z19*100),0,B31*3.6/1000000/'E Balans VL '!Z19*100)</f>
        <v>6.5499937291256402E-2</v>
      </c>
      <c r="D31" s="237" t="s">
        <v>702</v>
      </c>
    </row>
    <row r="32" spans="1:18">
      <c r="A32" s="171" t="s">
        <v>40</v>
      </c>
      <c r="B32" s="37">
        <f>IF( ISERROR(IND_voed_ele_kWh/1000),0,IND_voed_ele_kWh/1000)</f>
        <v>1394.26326813694</v>
      </c>
      <c r="C32" s="39">
        <f>IF(ISERROR(B32*3.6/1000000/'E Balans VL '!Z20*100),0,B32*3.6/1000000/'E Balans VL '!Z20*100)</f>
        <v>3.2743315105270898E-2</v>
      </c>
      <c r="D32" s="237" t="s">
        <v>702</v>
      </c>
    </row>
    <row r="33" spans="1:5">
      <c r="A33" s="171" t="s">
        <v>39</v>
      </c>
      <c r="B33" s="37">
        <f>IF( ISERROR(IND_textiel_ele_kWh/1000),0,IND_textiel_ele_kWh/1000)</f>
        <v>2140.2501732425803</v>
      </c>
      <c r="C33" s="39">
        <f>IF(ISERROR(B33*3.6/1000000/'E Balans VL '!Z21*100),0,B33*3.6/1000000/'E Balans VL '!Z21*100)</f>
        <v>0.234889743620774</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116.63080855576101</v>
      </c>
      <c r="C35" s="39">
        <f>IF(ISERROR(B35*3.6/1000000/'E Balans VL '!Z22*100),0,B35*3.6/1000000/'E Balans VL '!Z22*100)</f>
        <v>1.6546501279985238E-2</v>
      </c>
      <c r="D35" s="237" t="s">
        <v>702</v>
      </c>
    </row>
    <row r="36" spans="1:5">
      <c r="A36" s="171" t="s">
        <v>33</v>
      </c>
      <c r="B36" s="37">
        <f>IF( ISERROR(IND_chemie_ele_kWh/1000),0,IND_chemie_ele_kWh/1000)</f>
        <v>939.8047539698</v>
      </c>
      <c r="C36" s="39">
        <f>IF(ISERROR(B36*3.6/1000000/'E Balans VL '!Z24*100),0,B36*3.6/1000000/'E Balans VL '!Z24*100)</f>
        <v>8.5819024654927543E-3</v>
      </c>
      <c r="D36" s="237" t="s">
        <v>702</v>
      </c>
    </row>
    <row r="37" spans="1:5">
      <c r="A37" s="171" t="s">
        <v>269</v>
      </c>
      <c r="B37" s="37">
        <f>IF( ISERROR(IND_rest_ele_kWh/1000),0,IND_rest_ele_kWh/1000)</f>
        <v>124.265021542357</v>
      </c>
      <c r="C37" s="39">
        <f>IF(ISERROR(B37*3.6/1000000/'E Balans VL '!Z15*100),0,B37*3.6/1000000/'E Balans VL '!Z15*100)</f>
        <v>4.6568679710279321E-4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1489.37079063648</v>
      </c>
      <c r="C5" s="17">
        <f>'Eigen informatie GS &amp; warmtenet'!B62</f>
        <v>0</v>
      </c>
      <c r="D5" s="30">
        <f>IF(ISERROR(SUM(LB_lb_gas_kWh,LB_rest_gas_kWh)/1000),0,SUM(LB_lb_gas_kWh,LB_rest_gas_kWh)/1000)*0.903</f>
        <v>23230.993810270833</v>
      </c>
      <c r="E5" s="17">
        <f>B17*'E Balans VL '!I25/3.6*1000000/100</f>
        <v>55.543192443101326</v>
      </c>
      <c r="F5" s="17">
        <f>B17*('E Balans VL '!L25/3.6*1000000+'E Balans VL '!N25/3.6*1000000)/100</f>
        <v>4832.0943603522974</v>
      </c>
      <c r="G5" s="18"/>
      <c r="H5" s="17"/>
      <c r="I5" s="17"/>
      <c r="J5" s="17">
        <f>('E Balans VL '!D25+'E Balans VL '!E25)/3.6*1000000*landbouw!B17/100</f>
        <v>390.96718542735687</v>
      </c>
      <c r="K5" s="17"/>
      <c r="L5" s="17">
        <f>L6*(-1)</f>
        <v>0</v>
      </c>
      <c r="M5" s="17"/>
      <c r="N5" s="17">
        <f>N6*(-1)</f>
        <v>0</v>
      </c>
      <c r="O5" s="17"/>
      <c r="P5" s="17"/>
      <c r="R5" s="32"/>
    </row>
    <row r="6" spans="1:18">
      <c r="A6" s="16" t="s">
        <v>479</v>
      </c>
      <c r="B6" s="17" t="s">
        <v>210</v>
      </c>
      <c r="C6" s="17">
        <f>'lokale energieproductie'!O39+'lokale energieproductie'!O32</f>
        <v>10182.857142857143</v>
      </c>
      <c r="D6" s="310">
        <f>('lokale energieproductie'!P32+'lokale energieproductie'!P39)*(-1)</f>
        <v>-20365.714285714286</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1489.37079063648</v>
      </c>
      <c r="C8" s="21">
        <f>C5+C6</f>
        <v>10182.857142857143</v>
      </c>
      <c r="D8" s="21">
        <f>MAX((D5+D6),0)</f>
        <v>2865.2795245565467</v>
      </c>
      <c r="E8" s="21">
        <f>MAX((E5+E6),0)</f>
        <v>55.543192443101326</v>
      </c>
      <c r="F8" s="21">
        <f>MAX((F5+F6),0)</f>
        <v>4832.0943603522974</v>
      </c>
      <c r="G8" s="21"/>
      <c r="H8" s="21"/>
      <c r="I8" s="21"/>
      <c r="J8" s="21">
        <f>MAX((J5+J6),0)</f>
        <v>390.96718542735687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0.1772087111038945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263.92947816447889</v>
      </c>
      <c r="C12" s="23">
        <f ca="1">C8*C10</f>
        <v>2419.9260504201679</v>
      </c>
      <c r="D12" s="23">
        <f>D8*D10</f>
        <v>578.78646396042245</v>
      </c>
      <c r="E12" s="23">
        <f>E8*E10</f>
        <v>12.608304684584001</v>
      </c>
      <c r="F12" s="23">
        <f>F8*F10</f>
        <v>1290.1691942140635</v>
      </c>
      <c r="G12" s="23"/>
      <c r="H12" s="23"/>
      <c r="I12" s="23"/>
      <c r="J12" s="23">
        <f>J8*J10</f>
        <v>138.40238364128433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0.20456119155350633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260.92663197795468</v>
      </c>
      <c r="C26" s="247">
        <f>B26*'GWP N2O_CH4'!B5</f>
        <v>5479.4592715370482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77.673510668776032</v>
      </c>
      <c r="C27" s="247">
        <f>B27*'GWP N2O_CH4'!B5</f>
        <v>1631.1437240442967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3.1856677553789581</v>
      </c>
      <c r="C28" s="247">
        <f>B28*'GWP N2O_CH4'!B4</f>
        <v>987.55700416747698</v>
      </c>
      <c r="D28" s="50"/>
    </row>
    <row r="29" spans="1:4">
      <c r="A29" s="41" t="s">
        <v>276</v>
      </c>
      <c r="B29" s="247">
        <f>B34*'ha_N2O bodem landbouw'!B4</f>
        <v>10.270307764066635</v>
      </c>
      <c r="C29" s="247">
        <f>B29*'GWP N2O_CH4'!B4</f>
        <v>3183.7954068606568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2.3406324694976708E-3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2.4990663642317202E-4</v>
      </c>
      <c r="C5" s="440" t="s">
        <v>210</v>
      </c>
      <c r="D5" s="425">
        <f>SUM(D6:D11)</f>
        <v>1.1708760884682284E-3</v>
      </c>
      <c r="E5" s="425">
        <f>SUM(E6:E11)</f>
        <v>6.1865684762137454E-4</v>
      </c>
      <c r="F5" s="438" t="s">
        <v>210</v>
      </c>
      <c r="G5" s="425">
        <f>SUM(G6:G11)</f>
        <v>0.25105424565910439</v>
      </c>
      <c r="H5" s="425">
        <f>SUM(H6:H11)</f>
        <v>7.430782394013484E-2</v>
      </c>
      <c r="I5" s="440" t="s">
        <v>210</v>
      </c>
      <c r="J5" s="440" t="s">
        <v>210</v>
      </c>
      <c r="K5" s="440" t="s">
        <v>210</v>
      </c>
      <c r="L5" s="440" t="s">
        <v>210</v>
      </c>
      <c r="M5" s="425">
        <f>SUM(M6:M11)</f>
        <v>1.930034808175482E-2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1.4303382798765043E-4</v>
      </c>
      <c r="C6" s="426"/>
      <c r="D6" s="893">
        <f>vkm_GW_PW*SUMIFS(TableVerdeelsleutelVkm[CNG],TableVerdeelsleutelVkm[Voertuigtype],"Lichte voertuigen")*SUMIFS(TableECFTransport[EnergieConsumptieFactor (PJ per km)],TableECFTransport[Index],CONCATENATE($A6,"_CNG_CNG"))</f>
        <v>5.1659453707612304E-4</v>
      </c>
      <c r="E6" s="893">
        <f>vkm_GW_PW*SUMIFS(TableVerdeelsleutelVkm[LPG],TableVerdeelsleutelVkm[Voertuigtype],"Lichte voertuigen")*SUMIFS(TableECFTransport[EnergieConsumptieFactor (PJ per km)],TableECFTransport[Index],CONCATENATE($A6,"_LPG_LPG"))</f>
        <v>2.8075587060195776E-4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8.7369497098304924E-2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3.3065846594270143E-2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7.2176708123114809E-3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5.8204178050840445E-2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6.1274699023781897E-7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3.276986391732923E-3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1.068728084355216E-4</v>
      </c>
      <c r="C8" s="426"/>
      <c r="D8" s="428">
        <f>vkm_NGW_PW*SUMIFS(TableVerdeelsleutelVkm[CNG],TableVerdeelsleutelVkm[Voertuigtype],"Lichte voertuigen")*SUMIFS(TableECFTransport[EnergieConsumptieFactor (PJ per km)],TableECFTransport[Index],CONCATENATE($A8,"_CNG_CNG"))</f>
        <v>6.5428155139210531E-4</v>
      </c>
      <c r="E8" s="428">
        <f>vkm_NGW_PW*SUMIFS(TableVerdeelsleutelVkm[LPG],TableVerdeelsleutelVkm[Voertuigtype],"Lichte voertuigen")*SUMIFS(TableECFTransport[EnergieConsumptieFactor (PJ per km)],TableECFTransport[Index],CONCATENATE($A8,"_LPG_LPG"))</f>
        <v>3.3790097701941679E-4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9.7856206342120125E-2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4.1241248016319544E-2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8.3764247080299302E-3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7.6243641678389006E-3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1.165825549198806E-7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4.2926616968048747E-4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69.418510117547783</v>
      </c>
      <c r="C14" s="21"/>
      <c r="D14" s="21">
        <f t="shared" ref="D14:M14" si="0">((D5)*10^9/3600)+D12</f>
        <v>325.24335790784124</v>
      </c>
      <c r="E14" s="21">
        <f t="shared" si="0"/>
        <v>171.8491243392707</v>
      </c>
      <c r="F14" s="21"/>
      <c r="G14" s="21">
        <f t="shared" si="0"/>
        <v>69737.290460862321</v>
      </c>
      <c r="H14" s="21">
        <f t="shared" si="0"/>
        <v>20641.062205593011</v>
      </c>
      <c r="I14" s="21"/>
      <c r="J14" s="21"/>
      <c r="K14" s="21"/>
      <c r="L14" s="21"/>
      <c r="M14" s="21">
        <f t="shared" si="0"/>
        <v>5361.2078004874493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0.1772087111038945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12.301564704683303</v>
      </c>
      <c r="C18" s="23"/>
      <c r="D18" s="23">
        <f t="shared" ref="D18:M18" si="1">D14*D16</f>
        <v>65.699158297383931</v>
      </c>
      <c r="E18" s="23">
        <f t="shared" si="1"/>
        <v>39.009751225014448</v>
      </c>
      <c r="F18" s="23"/>
      <c r="G18" s="23">
        <f t="shared" si="1"/>
        <v>18619.856553050242</v>
      </c>
      <c r="H18" s="23">
        <f t="shared" si="1"/>
        <v>5139.6244891926599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3.9647181292386587E-3</v>
      </c>
      <c r="H50" s="321">
        <f t="shared" si="2"/>
        <v>0</v>
      </c>
      <c r="I50" s="321">
        <f t="shared" si="2"/>
        <v>0</v>
      </c>
      <c r="J50" s="321">
        <f t="shared" si="2"/>
        <v>0</v>
      </c>
      <c r="K50" s="321">
        <f t="shared" si="2"/>
        <v>0</v>
      </c>
      <c r="L50" s="321">
        <f t="shared" si="2"/>
        <v>0</v>
      </c>
      <c r="M50" s="321">
        <f t="shared" si="2"/>
        <v>2.1514818709487949E-4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3.9647181292386587E-3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2.1514818709487949E-4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1101.3105914551829</v>
      </c>
      <c r="H54" s="21">
        <f t="shared" si="3"/>
        <v>0</v>
      </c>
      <c r="I54" s="21">
        <f t="shared" si="3"/>
        <v>0</v>
      </c>
      <c r="J54" s="21">
        <f t="shared" si="3"/>
        <v>0</v>
      </c>
      <c r="K54" s="21">
        <f t="shared" si="3"/>
        <v>0</v>
      </c>
      <c r="L54" s="21">
        <f t="shared" si="3"/>
        <v>0</v>
      </c>
      <c r="M54" s="21">
        <f t="shared" si="3"/>
        <v>59.763385304133188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0.1772087111038945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294.04992791853385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19331.397069853407</v>
      </c>
      <c r="D10" s="689">
        <f ca="1">tertiair!C16</f>
        <v>0</v>
      </c>
      <c r="E10" s="689">
        <f ca="1">tertiair!D16</f>
        <v>26339.687654429603</v>
      </c>
      <c r="F10" s="689">
        <f>tertiair!E16</f>
        <v>56.122587078951042</v>
      </c>
      <c r="G10" s="689">
        <f ca="1">tertiair!F16</f>
        <v>2752.3791423553512</v>
      </c>
      <c r="H10" s="689">
        <f>tertiair!G16</f>
        <v>0</v>
      </c>
      <c r="I10" s="689">
        <f>tertiair!H16</f>
        <v>0</v>
      </c>
      <c r="J10" s="689">
        <f>tertiair!I16</f>
        <v>0</v>
      </c>
      <c r="K10" s="689">
        <f>tertiair!J16</f>
        <v>2.0247631013917248E-2</v>
      </c>
      <c r="L10" s="689">
        <f>tertiair!K16</f>
        <v>0</v>
      </c>
      <c r="M10" s="689">
        <f ca="1">tertiair!L16</f>
        <v>0</v>
      </c>
      <c r="N10" s="689">
        <f>tertiair!M16</f>
        <v>0</v>
      </c>
      <c r="O10" s="689">
        <f ca="1">tertiair!N16</f>
        <v>749.05451750632437</v>
      </c>
      <c r="P10" s="689">
        <f>tertiair!O16</f>
        <v>0</v>
      </c>
      <c r="Q10" s="690">
        <f>tertiair!P16</f>
        <v>105.07827661299004</v>
      </c>
      <c r="R10" s="692">
        <f ca="1">SUM(C10:Q10)</f>
        <v>49333.739495467635</v>
      </c>
      <c r="S10" s="67"/>
    </row>
    <row r="11" spans="1:19" s="451" customFormat="1">
      <c r="A11" s="811" t="s">
        <v>224</v>
      </c>
      <c r="B11" s="816"/>
      <c r="C11" s="689">
        <f>huishoudens!B8</f>
        <v>39354.036158816707</v>
      </c>
      <c r="D11" s="689">
        <f>huishoudens!C8</f>
        <v>0</v>
      </c>
      <c r="E11" s="689">
        <f>huishoudens!D8</f>
        <v>109265.81387084589</v>
      </c>
      <c r="F11" s="689">
        <f>huishoudens!E8</f>
        <v>6115.2797867567424</v>
      </c>
      <c r="G11" s="689">
        <f>huishoudens!F8</f>
        <v>0</v>
      </c>
      <c r="H11" s="689">
        <f>huishoudens!G8</f>
        <v>0</v>
      </c>
      <c r="I11" s="689">
        <f>huishoudens!H8</f>
        <v>0</v>
      </c>
      <c r="J11" s="689">
        <f>huishoudens!I8</f>
        <v>0</v>
      </c>
      <c r="K11" s="689">
        <f>huishoudens!J8</f>
        <v>497.14283979154834</v>
      </c>
      <c r="L11" s="689">
        <f>huishoudens!K8</f>
        <v>0</v>
      </c>
      <c r="M11" s="689">
        <f>huishoudens!L8</f>
        <v>0</v>
      </c>
      <c r="N11" s="689">
        <f>huishoudens!M8</f>
        <v>0</v>
      </c>
      <c r="O11" s="689">
        <f>huishoudens!N8</f>
        <v>23092.918778000647</v>
      </c>
      <c r="P11" s="689">
        <f>huishoudens!O8</f>
        <v>402.74351853556743</v>
      </c>
      <c r="Q11" s="690">
        <f>huishoudens!P8</f>
        <v>442.42629092277093</v>
      </c>
      <c r="R11" s="692">
        <f>SUM(C11:Q11)</f>
        <v>179170.36124366985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19084.021994802926</v>
      </c>
      <c r="D13" s="689">
        <f>industrie!C18</f>
        <v>0</v>
      </c>
      <c r="E13" s="689">
        <f>industrie!D18</f>
        <v>9887.5130417981927</v>
      </c>
      <c r="F13" s="689">
        <f>industrie!E18</f>
        <v>132.20377129966769</v>
      </c>
      <c r="G13" s="689">
        <f>industrie!F18</f>
        <v>2118.5897974167533</v>
      </c>
      <c r="H13" s="689">
        <f>industrie!G18</f>
        <v>0</v>
      </c>
      <c r="I13" s="689">
        <f>industrie!H18</f>
        <v>0</v>
      </c>
      <c r="J13" s="689">
        <f>industrie!I18</f>
        <v>0</v>
      </c>
      <c r="K13" s="689">
        <f>industrie!J18</f>
        <v>11.275190244933675</v>
      </c>
      <c r="L13" s="689">
        <f>industrie!K18</f>
        <v>0</v>
      </c>
      <c r="M13" s="689">
        <f>industrie!L18</f>
        <v>0</v>
      </c>
      <c r="N13" s="689">
        <f>industrie!M18</f>
        <v>0</v>
      </c>
      <c r="O13" s="689">
        <f>industrie!N18</f>
        <v>397.02437526398796</v>
      </c>
      <c r="P13" s="689">
        <f>industrie!O18</f>
        <v>0</v>
      </c>
      <c r="Q13" s="690">
        <f>industrie!P18</f>
        <v>0</v>
      </c>
      <c r="R13" s="692">
        <f>SUM(C13:Q13)</f>
        <v>31630.628170826461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77769.455223473036</v>
      </c>
      <c r="D16" s="725">
        <f t="shared" ref="D16:R16" ca="1" si="0">SUM(D9:D15)</f>
        <v>0</v>
      </c>
      <c r="E16" s="725">
        <f t="shared" ca="1" si="0"/>
        <v>145493.0145670737</v>
      </c>
      <c r="F16" s="725">
        <f t="shared" si="0"/>
        <v>6303.6061451353617</v>
      </c>
      <c r="G16" s="725">
        <f t="shared" ca="1" si="0"/>
        <v>4870.9689397721049</v>
      </c>
      <c r="H16" s="725">
        <f t="shared" si="0"/>
        <v>0</v>
      </c>
      <c r="I16" s="725">
        <f t="shared" si="0"/>
        <v>0</v>
      </c>
      <c r="J16" s="725">
        <f t="shared" si="0"/>
        <v>0</v>
      </c>
      <c r="K16" s="725">
        <f t="shared" si="0"/>
        <v>508.43827766749598</v>
      </c>
      <c r="L16" s="725">
        <f t="shared" si="0"/>
        <v>0</v>
      </c>
      <c r="M16" s="725">
        <f t="shared" ca="1" si="0"/>
        <v>0</v>
      </c>
      <c r="N16" s="725">
        <f t="shared" si="0"/>
        <v>0</v>
      </c>
      <c r="O16" s="725">
        <f t="shared" ca="1" si="0"/>
        <v>24238.997670770957</v>
      </c>
      <c r="P16" s="725">
        <f t="shared" si="0"/>
        <v>402.74351853556743</v>
      </c>
      <c r="Q16" s="725">
        <f t="shared" si="0"/>
        <v>547.504567535761</v>
      </c>
      <c r="R16" s="725">
        <f t="shared" ca="1" si="0"/>
        <v>260134.72890996395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1101.3105914551829</v>
      </c>
      <c r="I19" s="689">
        <f>transport!H54</f>
        <v>0</v>
      </c>
      <c r="J19" s="689">
        <f>transport!I54</f>
        <v>0</v>
      </c>
      <c r="K19" s="689">
        <f>transport!J54</f>
        <v>0</v>
      </c>
      <c r="L19" s="689">
        <f>transport!K54</f>
        <v>0</v>
      </c>
      <c r="M19" s="689">
        <f>transport!L54</f>
        <v>0</v>
      </c>
      <c r="N19" s="689">
        <f>transport!M54</f>
        <v>59.763385304133188</v>
      </c>
      <c r="O19" s="689">
        <f>transport!N54</f>
        <v>0</v>
      </c>
      <c r="P19" s="689">
        <f>transport!O54</f>
        <v>0</v>
      </c>
      <c r="Q19" s="690">
        <f>transport!P54</f>
        <v>0</v>
      </c>
      <c r="R19" s="692">
        <f>SUM(C19:Q19)</f>
        <v>1161.0739767593161</v>
      </c>
      <c r="S19" s="67"/>
    </row>
    <row r="20" spans="1:19" s="451" customFormat="1">
      <c r="A20" s="811" t="s">
        <v>306</v>
      </c>
      <c r="B20" s="816"/>
      <c r="C20" s="689">
        <f>transport!B14</f>
        <v>69.418510117547783</v>
      </c>
      <c r="D20" s="689">
        <f>transport!C14</f>
        <v>0</v>
      </c>
      <c r="E20" s="689">
        <f>transport!D14</f>
        <v>325.24335790784124</v>
      </c>
      <c r="F20" s="689">
        <f>transport!E14</f>
        <v>171.8491243392707</v>
      </c>
      <c r="G20" s="689">
        <f>transport!F14</f>
        <v>0</v>
      </c>
      <c r="H20" s="689">
        <f>transport!G14</f>
        <v>69737.290460862321</v>
      </c>
      <c r="I20" s="689">
        <f>transport!H14</f>
        <v>20641.062205593011</v>
      </c>
      <c r="J20" s="689">
        <f>transport!I14</f>
        <v>0</v>
      </c>
      <c r="K20" s="689">
        <f>transport!J14</f>
        <v>0</v>
      </c>
      <c r="L20" s="689">
        <f>transport!K14</f>
        <v>0</v>
      </c>
      <c r="M20" s="689">
        <f>transport!L14</f>
        <v>0</v>
      </c>
      <c r="N20" s="689">
        <f>transport!M14</f>
        <v>5361.2078004874493</v>
      </c>
      <c r="O20" s="689">
        <f>transport!N14</f>
        <v>0</v>
      </c>
      <c r="P20" s="689">
        <f>transport!O14</f>
        <v>0</v>
      </c>
      <c r="Q20" s="690">
        <f>transport!P14</f>
        <v>0</v>
      </c>
      <c r="R20" s="692">
        <f>SUM(C20:Q20)</f>
        <v>96306.071459307452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69.418510117547783</v>
      </c>
      <c r="D22" s="814">
        <f t="shared" ref="D22:R22" si="1">SUM(D18:D21)</f>
        <v>0</v>
      </c>
      <c r="E22" s="814">
        <f t="shared" si="1"/>
        <v>325.24335790784124</v>
      </c>
      <c r="F22" s="814">
        <f t="shared" si="1"/>
        <v>171.8491243392707</v>
      </c>
      <c r="G22" s="814">
        <f t="shared" si="1"/>
        <v>0</v>
      </c>
      <c r="H22" s="814">
        <f t="shared" si="1"/>
        <v>70838.601052317506</v>
      </c>
      <c r="I22" s="814">
        <f t="shared" si="1"/>
        <v>20641.062205593011</v>
      </c>
      <c r="J22" s="814">
        <f t="shared" si="1"/>
        <v>0</v>
      </c>
      <c r="K22" s="814">
        <f t="shared" si="1"/>
        <v>0</v>
      </c>
      <c r="L22" s="814">
        <f t="shared" si="1"/>
        <v>0</v>
      </c>
      <c r="M22" s="814">
        <f t="shared" si="1"/>
        <v>0</v>
      </c>
      <c r="N22" s="814">
        <f t="shared" si="1"/>
        <v>5420.9711857915827</v>
      </c>
      <c r="O22" s="814">
        <f t="shared" si="1"/>
        <v>0</v>
      </c>
      <c r="P22" s="814">
        <f t="shared" si="1"/>
        <v>0</v>
      </c>
      <c r="Q22" s="814">
        <f t="shared" si="1"/>
        <v>0</v>
      </c>
      <c r="R22" s="814">
        <f t="shared" si="1"/>
        <v>97467.14543606677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1489.37079063648</v>
      </c>
      <c r="D24" s="689">
        <f>+landbouw!C8</f>
        <v>10182.857142857143</v>
      </c>
      <c r="E24" s="689">
        <f>+landbouw!D8</f>
        <v>2865.2795245565467</v>
      </c>
      <c r="F24" s="689">
        <f>+landbouw!E8</f>
        <v>55.543192443101326</v>
      </c>
      <c r="G24" s="689">
        <f>+landbouw!F8</f>
        <v>4832.0943603522974</v>
      </c>
      <c r="H24" s="689">
        <f>+landbouw!G8</f>
        <v>0</v>
      </c>
      <c r="I24" s="689">
        <f>+landbouw!H8</f>
        <v>0</v>
      </c>
      <c r="J24" s="689">
        <f>+landbouw!I8</f>
        <v>0</v>
      </c>
      <c r="K24" s="689">
        <f>+landbouw!J8</f>
        <v>390.96718542735687</v>
      </c>
      <c r="L24" s="689">
        <f>+landbouw!K8</f>
        <v>0</v>
      </c>
      <c r="M24" s="689">
        <f>+landbouw!L8</f>
        <v>0</v>
      </c>
      <c r="N24" s="689">
        <f>+landbouw!M8</f>
        <v>0</v>
      </c>
      <c r="O24" s="689">
        <f>+landbouw!N8</f>
        <v>0</v>
      </c>
      <c r="P24" s="689">
        <f>+landbouw!O8</f>
        <v>0</v>
      </c>
      <c r="Q24" s="690">
        <f>+landbouw!P8</f>
        <v>0</v>
      </c>
      <c r="R24" s="692">
        <f>SUM(C24:Q24)</f>
        <v>19816.112196272927</v>
      </c>
      <c r="S24" s="67"/>
    </row>
    <row r="25" spans="1:19" s="451" customFormat="1" ht="15" thickBot="1">
      <c r="A25" s="833" t="s">
        <v>714</v>
      </c>
      <c r="B25" s="947"/>
      <c r="C25" s="948">
        <f>IF(Onbekend_ele_kWh="---",0,Onbekend_ele_kWh)/1000+IF(REST_rest_ele_kWh="---",0,REST_rest_ele_kWh)/1000</f>
        <v>1016.98401379341</v>
      </c>
      <c r="D25" s="948"/>
      <c r="E25" s="948">
        <f>IF(onbekend_gas_kWh="---",0,onbekend_gas_kWh)/1000+IF(REST_rest_gas_kWh="---",0,REST_rest_gas_kWh)/1000</f>
        <v>2763.4429658984</v>
      </c>
      <c r="F25" s="948"/>
      <c r="G25" s="948"/>
      <c r="H25" s="948"/>
      <c r="I25" s="948"/>
      <c r="J25" s="948"/>
      <c r="K25" s="948"/>
      <c r="L25" s="948"/>
      <c r="M25" s="948"/>
      <c r="N25" s="948"/>
      <c r="O25" s="948"/>
      <c r="P25" s="948"/>
      <c r="Q25" s="949"/>
      <c r="R25" s="692">
        <f>SUM(C25:Q25)</f>
        <v>3780.4269796918097</v>
      </c>
      <c r="S25" s="67"/>
    </row>
    <row r="26" spans="1:19" s="451" customFormat="1" ht="15.75" thickBot="1">
      <c r="A26" s="697" t="s">
        <v>715</v>
      </c>
      <c r="B26" s="819"/>
      <c r="C26" s="814">
        <f>SUM(C24:C25)</f>
        <v>2506.35480442989</v>
      </c>
      <c r="D26" s="814">
        <f t="shared" ref="D26:R26" si="2">SUM(D24:D25)</f>
        <v>10182.857142857143</v>
      </c>
      <c r="E26" s="814">
        <f t="shared" si="2"/>
        <v>5628.7224904549466</v>
      </c>
      <c r="F26" s="814">
        <f t="shared" si="2"/>
        <v>55.543192443101326</v>
      </c>
      <c r="G26" s="814">
        <f t="shared" si="2"/>
        <v>4832.0943603522974</v>
      </c>
      <c r="H26" s="814">
        <f t="shared" si="2"/>
        <v>0</v>
      </c>
      <c r="I26" s="814">
        <f t="shared" si="2"/>
        <v>0</v>
      </c>
      <c r="J26" s="814">
        <f t="shared" si="2"/>
        <v>0</v>
      </c>
      <c r="K26" s="814">
        <f t="shared" si="2"/>
        <v>390.96718542735687</v>
      </c>
      <c r="L26" s="814">
        <f t="shared" si="2"/>
        <v>0</v>
      </c>
      <c r="M26" s="814">
        <f t="shared" si="2"/>
        <v>0</v>
      </c>
      <c r="N26" s="814">
        <f t="shared" si="2"/>
        <v>0</v>
      </c>
      <c r="O26" s="814">
        <f t="shared" si="2"/>
        <v>0</v>
      </c>
      <c r="P26" s="814">
        <f t="shared" si="2"/>
        <v>0</v>
      </c>
      <c r="Q26" s="814">
        <f t="shared" si="2"/>
        <v>0</v>
      </c>
      <c r="R26" s="814">
        <f t="shared" si="2"/>
        <v>23596.539175964735</v>
      </c>
      <c r="S26" s="67"/>
    </row>
    <row r="27" spans="1:19" s="451" customFormat="1" ht="17.25" thickTop="1" thickBot="1">
      <c r="A27" s="698" t="s">
        <v>115</v>
      </c>
      <c r="B27" s="806"/>
      <c r="C27" s="699">
        <f ca="1">C22+C16+C26</f>
        <v>80345.228538020485</v>
      </c>
      <c r="D27" s="699">
        <f t="shared" ref="D27:R27" ca="1" si="3">D22+D16+D26</f>
        <v>10182.857142857143</v>
      </c>
      <c r="E27" s="699">
        <f t="shared" ca="1" si="3"/>
        <v>151446.98041543647</v>
      </c>
      <c r="F27" s="699">
        <f t="shared" si="3"/>
        <v>6530.9984619177339</v>
      </c>
      <c r="G27" s="699">
        <f t="shared" ca="1" si="3"/>
        <v>9703.0633001244023</v>
      </c>
      <c r="H27" s="699">
        <f t="shared" si="3"/>
        <v>70838.601052317506</v>
      </c>
      <c r="I27" s="699">
        <f t="shared" si="3"/>
        <v>20641.062205593011</v>
      </c>
      <c r="J27" s="699">
        <f t="shared" si="3"/>
        <v>0</v>
      </c>
      <c r="K27" s="699">
        <f t="shared" si="3"/>
        <v>899.40546309485285</v>
      </c>
      <c r="L27" s="699">
        <f t="shared" si="3"/>
        <v>0</v>
      </c>
      <c r="M27" s="699">
        <f t="shared" ca="1" si="3"/>
        <v>0</v>
      </c>
      <c r="N27" s="699">
        <f t="shared" si="3"/>
        <v>5420.9711857915827</v>
      </c>
      <c r="O27" s="699">
        <f t="shared" ca="1" si="3"/>
        <v>24238.997670770957</v>
      </c>
      <c r="P27" s="699">
        <f t="shared" si="3"/>
        <v>402.74351853556743</v>
      </c>
      <c r="Q27" s="699">
        <f t="shared" si="3"/>
        <v>547.504567535761</v>
      </c>
      <c r="R27" s="699">
        <f t="shared" ca="1" si="3"/>
        <v>381198.41352199542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3425.6919585863252</v>
      </c>
      <c r="D40" s="689">
        <f ca="1">tertiair!C20</f>
        <v>0</v>
      </c>
      <c r="E40" s="689">
        <f ca="1">tertiair!D20</f>
        <v>5320.6169061947803</v>
      </c>
      <c r="F40" s="689">
        <f>tertiair!E20</f>
        <v>12.739827266921887</v>
      </c>
      <c r="G40" s="689">
        <f ca="1">tertiair!F20</f>
        <v>734.8852310088788</v>
      </c>
      <c r="H40" s="689">
        <f>tertiair!G20</f>
        <v>0</v>
      </c>
      <c r="I40" s="689">
        <f>tertiair!H20</f>
        <v>0</v>
      </c>
      <c r="J40" s="689">
        <f>tertiair!I20</f>
        <v>0</v>
      </c>
      <c r="K40" s="689">
        <f>tertiair!J20</f>
        <v>7.1676613789267056E-3</v>
      </c>
      <c r="L40" s="689">
        <f>tertiair!K20</f>
        <v>0</v>
      </c>
      <c r="M40" s="689">
        <f ca="1">tertiair!L20</f>
        <v>0</v>
      </c>
      <c r="N40" s="689">
        <f>tertiair!M20</f>
        <v>0</v>
      </c>
      <c r="O40" s="689">
        <f ca="1">tertiair!N20</f>
        <v>0</v>
      </c>
      <c r="P40" s="689">
        <f>tertiair!O20</f>
        <v>0</v>
      </c>
      <c r="Q40" s="772">
        <f>tertiair!P20</f>
        <v>0</v>
      </c>
      <c r="R40" s="852">
        <f t="shared" ca="1" si="4"/>
        <v>9493.9410907182846</v>
      </c>
    </row>
    <row r="41" spans="1:18">
      <c r="A41" s="824" t="s">
        <v>224</v>
      </c>
      <c r="B41" s="831"/>
      <c r="C41" s="689">
        <f ca="1">huishoudens!B12</f>
        <v>6973.8780244399677</v>
      </c>
      <c r="D41" s="689">
        <f ca="1">huishoudens!C12</f>
        <v>0</v>
      </c>
      <c r="E41" s="689">
        <f>huishoudens!D12</f>
        <v>22071.694401910871</v>
      </c>
      <c r="F41" s="689">
        <f>huishoudens!E12</f>
        <v>1388.1685115937805</v>
      </c>
      <c r="G41" s="689">
        <f>huishoudens!F12</f>
        <v>0</v>
      </c>
      <c r="H41" s="689">
        <f>huishoudens!G12</f>
        <v>0</v>
      </c>
      <c r="I41" s="689">
        <f>huishoudens!H12</f>
        <v>0</v>
      </c>
      <c r="J41" s="689">
        <f>huishoudens!I12</f>
        <v>0</v>
      </c>
      <c r="K41" s="689">
        <f>huishoudens!J12</f>
        <v>175.98856528620811</v>
      </c>
      <c r="L41" s="689">
        <f>huishoudens!K12</f>
        <v>0</v>
      </c>
      <c r="M41" s="689">
        <f>huishoudens!L12</f>
        <v>0</v>
      </c>
      <c r="N41" s="689">
        <f>huishoudens!M12</f>
        <v>0</v>
      </c>
      <c r="O41" s="689">
        <f>huishoudens!N12</f>
        <v>0</v>
      </c>
      <c r="P41" s="689">
        <f>huishoudens!O12</f>
        <v>0</v>
      </c>
      <c r="Q41" s="772">
        <f>huishoudens!P12</f>
        <v>0</v>
      </c>
      <c r="R41" s="852">
        <f t="shared" ca="1" si="4"/>
        <v>30609.729503230825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3381.8549403774</v>
      </c>
      <c r="D43" s="689">
        <f ca="1">industrie!C22</f>
        <v>0</v>
      </c>
      <c r="E43" s="689">
        <f>industrie!D22</f>
        <v>1997.277634443235</v>
      </c>
      <c r="F43" s="689">
        <f>industrie!E22</f>
        <v>30.010256085024569</v>
      </c>
      <c r="G43" s="689">
        <f>industrie!F22</f>
        <v>565.66347591027318</v>
      </c>
      <c r="H43" s="689">
        <f>industrie!G22</f>
        <v>0</v>
      </c>
      <c r="I43" s="689">
        <f>industrie!H22</f>
        <v>0</v>
      </c>
      <c r="J43" s="689">
        <f>industrie!I22</f>
        <v>0</v>
      </c>
      <c r="K43" s="689">
        <f>industrie!J22</f>
        <v>3.991417346706521</v>
      </c>
      <c r="L43" s="689">
        <f>industrie!K22</f>
        <v>0</v>
      </c>
      <c r="M43" s="689">
        <f>industrie!L22</f>
        <v>0</v>
      </c>
      <c r="N43" s="689">
        <f>industrie!M22</f>
        <v>0</v>
      </c>
      <c r="O43" s="689">
        <f>industrie!N22</f>
        <v>0</v>
      </c>
      <c r="P43" s="689">
        <f>industrie!O22</f>
        <v>0</v>
      </c>
      <c r="Q43" s="772">
        <f>industrie!P22</f>
        <v>0</v>
      </c>
      <c r="R43" s="851">
        <f t="shared" ca="1" si="4"/>
        <v>5978.7977241626395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13781.424923403692</v>
      </c>
      <c r="D46" s="725">
        <f t="shared" ref="D46:Q46" ca="1" si="5">SUM(D39:D45)</f>
        <v>0</v>
      </c>
      <c r="E46" s="725">
        <f t="shared" ca="1" si="5"/>
        <v>29389.588942548886</v>
      </c>
      <c r="F46" s="725">
        <f t="shared" si="5"/>
        <v>1430.9185949457269</v>
      </c>
      <c r="G46" s="725">
        <f t="shared" ca="1" si="5"/>
        <v>1300.548706919152</v>
      </c>
      <c r="H46" s="725">
        <f t="shared" si="5"/>
        <v>0</v>
      </c>
      <c r="I46" s="725">
        <f t="shared" si="5"/>
        <v>0</v>
      </c>
      <c r="J46" s="725">
        <f t="shared" si="5"/>
        <v>0</v>
      </c>
      <c r="K46" s="725">
        <f t="shared" si="5"/>
        <v>179.98715029429357</v>
      </c>
      <c r="L46" s="725">
        <f t="shared" si="5"/>
        <v>0</v>
      </c>
      <c r="M46" s="725">
        <f t="shared" ca="1" si="5"/>
        <v>0</v>
      </c>
      <c r="N46" s="725">
        <f t="shared" si="5"/>
        <v>0</v>
      </c>
      <c r="O46" s="725">
        <f t="shared" ca="1" si="5"/>
        <v>0</v>
      </c>
      <c r="P46" s="725">
        <f t="shared" si="5"/>
        <v>0</v>
      </c>
      <c r="Q46" s="725">
        <f t="shared" si="5"/>
        <v>0</v>
      </c>
      <c r="R46" s="725">
        <f ca="1">SUM(R39:R45)</f>
        <v>46082.468318111743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294.04992791853385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294.04992791853385</v>
      </c>
    </row>
    <row r="50" spans="1:18">
      <c r="A50" s="827" t="s">
        <v>306</v>
      </c>
      <c r="B50" s="837"/>
      <c r="C50" s="695">
        <f ca="1">transport!B18</f>
        <v>12.301564704683303</v>
      </c>
      <c r="D50" s="695">
        <f>transport!C18</f>
        <v>0</v>
      </c>
      <c r="E50" s="695">
        <f>transport!D18</f>
        <v>65.699158297383931</v>
      </c>
      <c r="F50" s="695">
        <f>transport!E18</f>
        <v>39.009751225014448</v>
      </c>
      <c r="G50" s="695">
        <f>transport!F18</f>
        <v>0</v>
      </c>
      <c r="H50" s="695">
        <f>transport!G18</f>
        <v>18619.856553050242</v>
      </c>
      <c r="I50" s="695">
        <f>transport!H18</f>
        <v>5139.6244891926599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23876.491516469985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12.301564704683303</v>
      </c>
      <c r="D52" s="725">
        <f t="shared" ref="D52:Q52" ca="1" si="6">SUM(D48:D51)</f>
        <v>0</v>
      </c>
      <c r="E52" s="725">
        <f t="shared" si="6"/>
        <v>65.699158297383931</v>
      </c>
      <c r="F52" s="725">
        <f t="shared" si="6"/>
        <v>39.009751225014448</v>
      </c>
      <c r="G52" s="725">
        <f t="shared" si="6"/>
        <v>0</v>
      </c>
      <c r="H52" s="725">
        <f t="shared" si="6"/>
        <v>18913.906480968777</v>
      </c>
      <c r="I52" s="725">
        <f t="shared" si="6"/>
        <v>5139.6244891926599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24170.54144438852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263.92947816447889</v>
      </c>
      <c r="D54" s="695">
        <f ca="1">+landbouw!C12</f>
        <v>2419.9260504201679</v>
      </c>
      <c r="E54" s="695">
        <f>+landbouw!D12</f>
        <v>578.78646396042245</v>
      </c>
      <c r="F54" s="695">
        <f>+landbouw!E12</f>
        <v>12.608304684584001</v>
      </c>
      <c r="G54" s="695">
        <f>+landbouw!F12</f>
        <v>1290.1691942140635</v>
      </c>
      <c r="H54" s="695">
        <f>+landbouw!G12</f>
        <v>0</v>
      </c>
      <c r="I54" s="695">
        <f>+landbouw!H12</f>
        <v>0</v>
      </c>
      <c r="J54" s="695">
        <f>+landbouw!I12</f>
        <v>0</v>
      </c>
      <c r="K54" s="695">
        <f>+landbouw!J12</f>
        <v>138.40238364128433</v>
      </c>
      <c r="L54" s="695">
        <f>+landbouw!K12</f>
        <v>0</v>
      </c>
      <c r="M54" s="695">
        <f>+landbouw!L12</f>
        <v>0</v>
      </c>
      <c r="N54" s="695">
        <f>+landbouw!M12</f>
        <v>0</v>
      </c>
      <c r="O54" s="695">
        <f>+landbouw!N12</f>
        <v>0</v>
      </c>
      <c r="P54" s="695">
        <f>+landbouw!O12</f>
        <v>0</v>
      </c>
      <c r="Q54" s="696">
        <f>+landbouw!P12</f>
        <v>0</v>
      </c>
      <c r="R54" s="724">
        <f ca="1">SUM(C54:Q54)</f>
        <v>4703.821875085001</v>
      </c>
    </row>
    <row r="55" spans="1:18" ht="15" thickBot="1">
      <c r="A55" s="827" t="s">
        <v>714</v>
      </c>
      <c r="B55" s="837"/>
      <c r="C55" s="695">
        <f ca="1">C25*'EF ele_warmte'!B12</f>
        <v>180.21842629759544</v>
      </c>
      <c r="D55" s="695"/>
      <c r="E55" s="695">
        <f>E25*EF_CO2_aardgas</f>
        <v>558.21547911147684</v>
      </c>
      <c r="F55" s="695"/>
      <c r="G55" s="695"/>
      <c r="H55" s="695"/>
      <c r="I55" s="695"/>
      <c r="J55" s="695"/>
      <c r="K55" s="695"/>
      <c r="L55" s="695"/>
      <c r="M55" s="695"/>
      <c r="N55" s="695"/>
      <c r="O55" s="695"/>
      <c r="P55" s="695"/>
      <c r="Q55" s="696"/>
      <c r="R55" s="724">
        <f ca="1">SUM(C55:Q55)</f>
        <v>738.43390540907228</v>
      </c>
    </row>
    <row r="56" spans="1:18" ht="15.75" thickBot="1">
      <c r="A56" s="825" t="s">
        <v>715</v>
      </c>
      <c r="B56" s="838"/>
      <c r="C56" s="725">
        <f ca="1">SUM(C54:C55)</f>
        <v>444.14790446207434</v>
      </c>
      <c r="D56" s="725">
        <f t="shared" ref="D56:Q56" ca="1" si="7">SUM(D54:D55)</f>
        <v>2419.9260504201679</v>
      </c>
      <c r="E56" s="725">
        <f t="shared" si="7"/>
        <v>1137.0019430718994</v>
      </c>
      <c r="F56" s="725">
        <f t="shared" si="7"/>
        <v>12.608304684584001</v>
      </c>
      <c r="G56" s="725">
        <f t="shared" si="7"/>
        <v>1290.1691942140635</v>
      </c>
      <c r="H56" s="725">
        <f t="shared" si="7"/>
        <v>0</v>
      </c>
      <c r="I56" s="725">
        <f t="shared" si="7"/>
        <v>0</v>
      </c>
      <c r="J56" s="725">
        <f t="shared" si="7"/>
        <v>0</v>
      </c>
      <c r="K56" s="725">
        <f t="shared" si="7"/>
        <v>138.40238364128433</v>
      </c>
      <c r="L56" s="725">
        <f t="shared" si="7"/>
        <v>0</v>
      </c>
      <c r="M56" s="725">
        <f t="shared" si="7"/>
        <v>0</v>
      </c>
      <c r="N56" s="725">
        <f t="shared" si="7"/>
        <v>0</v>
      </c>
      <c r="O56" s="725">
        <f t="shared" si="7"/>
        <v>0</v>
      </c>
      <c r="P56" s="725">
        <f t="shared" si="7"/>
        <v>0</v>
      </c>
      <c r="Q56" s="726">
        <f t="shared" si="7"/>
        <v>0</v>
      </c>
      <c r="R56" s="727">
        <f ca="1">SUM(R54:R55)</f>
        <v>5442.2557804940734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14237.874392570449</v>
      </c>
      <c r="D61" s="733">
        <f t="shared" ref="D61:Q61" ca="1" si="8">D46+D52+D56</f>
        <v>2419.9260504201679</v>
      </c>
      <c r="E61" s="733">
        <f t="shared" ca="1" si="8"/>
        <v>30592.290043918169</v>
      </c>
      <c r="F61" s="733">
        <f t="shared" si="8"/>
        <v>1482.5366508553254</v>
      </c>
      <c r="G61" s="733">
        <f t="shared" ca="1" si="8"/>
        <v>2590.7179011332155</v>
      </c>
      <c r="H61" s="733">
        <f t="shared" si="8"/>
        <v>18913.906480968777</v>
      </c>
      <c r="I61" s="733">
        <f t="shared" si="8"/>
        <v>5139.6244891926599</v>
      </c>
      <c r="J61" s="733">
        <f t="shared" si="8"/>
        <v>0</v>
      </c>
      <c r="K61" s="733">
        <f t="shared" si="8"/>
        <v>318.3895339355779</v>
      </c>
      <c r="L61" s="733">
        <f t="shared" si="8"/>
        <v>0</v>
      </c>
      <c r="M61" s="733">
        <f t="shared" ca="1" si="8"/>
        <v>0</v>
      </c>
      <c r="N61" s="733">
        <f t="shared" si="8"/>
        <v>0</v>
      </c>
      <c r="O61" s="733">
        <f t="shared" ca="1" si="8"/>
        <v>0</v>
      </c>
      <c r="P61" s="733">
        <f t="shared" si="8"/>
        <v>0</v>
      </c>
      <c r="Q61" s="733">
        <f t="shared" si="8"/>
        <v>0</v>
      </c>
      <c r="R61" s="733">
        <f ca="1">R46+R52+R56</f>
        <v>75695.265542994341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0.17720871110389447</v>
      </c>
      <c r="D63" s="779">
        <f t="shared" ca="1" si="9"/>
        <v>0.23764705882352941</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8579.3340203983898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7878.0476521183209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7128</v>
      </c>
      <c r="D76" s="956">
        <f>'lokale energieproductie'!C8</f>
        <v>8385.8823529411748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1693.9482352941175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16457.381672516713</v>
      </c>
      <c r="C78" s="751">
        <f>SUM(C72:C77)</f>
        <v>7128</v>
      </c>
      <c r="D78" s="752">
        <f t="shared" ref="D78:H78" si="10">SUM(D76:D77)</f>
        <v>8385.8823529411748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1693.9482352941175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10182.857142857143</v>
      </c>
      <c r="D87" s="775">
        <f>'lokale energieproductie'!C17</f>
        <v>11979.831932773108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2419.9260504201679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10182.857142857143</v>
      </c>
      <c r="D90" s="751">
        <f t="shared" ref="D90:H90" si="12">SUM(D87:D89)</f>
        <v>11979.831932773108</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2419.9260504201679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8579.3340203983898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7878.0476521183209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7128</v>
      </c>
      <c r="C8" s="551">
        <f>B48</f>
        <v>8385.8823529411748</v>
      </c>
      <c r="D8" s="552"/>
      <c r="E8" s="552">
        <f>E48</f>
        <v>0</v>
      </c>
      <c r="F8" s="553"/>
      <c r="G8" s="554"/>
      <c r="H8" s="552">
        <f>I48</f>
        <v>0</v>
      </c>
      <c r="I8" s="552">
        <f>G48+F48</f>
        <v>0</v>
      </c>
      <c r="J8" s="552">
        <f>H48+D48+C48</f>
        <v>0</v>
      </c>
      <c r="K8" s="552"/>
      <c r="L8" s="552"/>
      <c r="M8" s="552"/>
      <c r="N8" s="555"/>
      <c r="O8" s="556">
        <f>C8*$C$12+D8*$D$12+E8*$E$12+F8*$F$12+G8*$G$12+H8*$H$12+I8*$I$12+J8*$J$12</f>
        <v>1693.9482352941175</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23585.381672516713</v>
      </c>
      <c r="C10" s="566">
        <f t="shared" ref="C10:L10" si="0">SUM(C8:C9)</f>
        <v>8385.8823529411748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1693.9482352941175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10182.857142857143</v>
      </c>
      <c r="C17" s="582">
        <f>B49</f>
        <v>11979.831932773108</v>
      </c>
      <c r="D17" s="583"/>
      <c r="E17" s="583">
        <f>E49</f>
        <v>0</v>
      </c>
      <c r="F17" s="584"/>
      <c r="G17" s="585"/>
      <c r="H17" s="582">
        <f>I49</f>
        <v>0</v>
      </c>
      <c r="I17" s="583">
        <f>G49+F49</f>
        <v>0</v>
      </c>
      <c r="J17" s="583">
        <f>H49+D49+C49</f>
        <v>0</v>
      </c>
      <c r="K17" s="583"/>
      <c r="L17" s="583"/>
      <c r="M17" s="583"/>
      <c r="N17" s="970"/>
      <c r="O17" s="586">
        <f>C17*$C$22+E17*$E$22+H17*$H$22+I17*$I$22+J17*$J$22+D17*$D$22+F17*$F$22+G17*$G$22+K17*$K$22+L17*$L$22</f>
        <v>2419.9260504201679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10182.857142857143</v>
      </c>
      <c r="C20" s="565">
        <f>SUM(C17:C19)</f>
        <v>11979.831932773108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2419.9260504201679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42008</v>
      </c>
      <c r="C28" s="794">
        <v>9220</v>
      </c>
      <c r="D28" s="643" t="s">
        <v>865</v>
      </c>
      <c r="E28" s="642" t="s">
        <v>866</v>
      </c>
      <c r="F28" s="642" t="s">
        <v>867</v>
      </c>
      <c r="G28" s="642" t="s">
        <v>868</v>
      </c>
      <c r="H28" s="642" t="s">
        <v>869</v>
      </c>
      <c r="I28" s="642" t="s">
        <v>870</v>
      </c>
      <c r="J28" s="793">
        <v>41092</v>
      </c>
      <c r="K28" s="793">
        <v>38534</v>
      </c>
      <c r="L28" s="642" t="s">
        <v>871</v>
      </c>
      <c r="M28" s="642">
        <v>1584</v>
      </c>
      <c r="N28" s="642">
        <v>7128</v>
      </c>
      <c r="O28" s="642">
        <v>10182.857142857143</v>
      </c>
      <c r="P28" s="642">
        <v>20365.714285714286</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1584</v>
      </c>
      <c r="N29" s="600">
        <f>SUM(N28:N28)</f>
        <v>7128</v>
      </c>
      <c r="O29" s="600">
        <f>SUM(O28:O28)</f>
        <v>10182.857142857143</v>
      </c>
      <c r="P29" s="600">
        <f>SUM(P28:P28)</f>
        <v>20365.714285714286</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1584</v>
      </c>
      <c r="N32" s="605">
        <f>SUMIF($Z$28:$Z$28,"landbouw",N28:N28)</f>
        <v>7128</v>
      </c>
      <c r="O32" s="605">
        <f>SUMIF($Z$28:$Z$28,"landbouw",O28:O28)</f>
        <v>10182.857142857143</v>
      </c>
      <c r="P32" s="605">
        <f>SUMIF($Z$28:$Z$28,"landbouw",P28:P28)</f>
        <v>20365.714285714286</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0.58823529411764697</v>
      </c>
      <c r="C45" s="625">
        <f>IF(ISERROR(N29/(O29+N29)),0,N29/(N29+O29))</f>
        <v>0.41176470588235287</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8385.8823529411748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11979.831932773108</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39354.036158816707</v>
      </c>
      <c r="C4" s="455">
        <f>huishoudens!C8</f>
        <v>0</v>
      </c>
      <c r="D4" s="455">
        <f>huishoudens!D8</f>
        <v>109265.81387084589</v>
      </c>
      <c r="E4" s="455">
        <f>huishoudens!E8</f>
        <v>6115.2797867567424</v>
      </c>
      <c r="F4" s="455">
        <f>huishoudens!F8</f>
        <v>0</v>
      </c>
      <c r="G4" s="455">
        <f>huishoudens!G8</f>
        <v>0</v>
      </c>
      <c r="H4" s="455">
        <f>huishoudens!H8</f>
        <v>0</v>
      </c>
      <c r="I4" s="455">
        <f>huishoudens!I8</f>
        <v>0</v>
      </c>
      <c r="J4" s="455">
        <f>huishoudens!J8</f>
        <v>497.14283979154834</v>
      </c>
      <c r="K4" s="455">
        <f>huishoudens!K8</f>
        <v>0</v>
      </c>
      <c r="L4" s="455">
        <f>huishoudens!L8</f>
        <v>0</v>
      </c>
      <c r="M4" s="455">
        <f>huishoudens!M8</f>
        <v>0</v>
      </c>
      <c r="N4" s="455">
        <f>huishoudens!N8</f>
        <v>23092.918778000647</v>
      </c>
      <c r="O4" s="455">
        <f>huishoudens!O8</f>
        <v>402.74351853556743</v>
      </c>
      <c r="P4" s="456">
        <f>huishoudens!P8</f>
        <v>442.42629092277093</v>
      </c>
      <c r="Q4" s="457">
        <f>SUM(B4:P4)</f>
        <v>179170.36124366985</v>
      </c>
    </row>
    <row r="5" spans="1:17">
      <c r="A5" s="454" t="s">
        <v>155</v>
      </c>
      <c r="B5" s="455">
        <f ca="1">tertiair!B16</f>
        <v>18156.691069853408</v>
      </c>
      <c r="C5" s="455">
        <f ca="1">tertiair!C16</f>
        <v>0</v>
      </c>
      <c r="D5" s="455">
        <f ca="1">tertiair!D16</f>
        <v>26339.687654429603</v>
      </c>
      <c r="E5" s="455">
        <f>tertiair!E16</f>
        <v>56.122587078951042</v>
      </c>
      <c r="F5" s="455">
        <f ca="1">tertiair!F16</f>
        <v>2752.3791423553512</v>
      </c>
      <c r="G5" s="455">
        <f>tertiair!G16</f>
        <v>0</v>
      </c>
      <c r="H5" s="455">
        <f>tertiair!H16</f>
        <v>0</v>
      </c>
      <c r="I5" s="455">
        <f>tertiair!I16</f>
        <v>0</v>
      </c>
      <c r="J5" s="455">
        <f>tertiair!J16</f>
        <v>2.0247631013917248E-2</v>
      </c>
      <c r="K5" s="455">
        <f>tertiair!K16</f>
        <v>0</v>
      </c>
      <c r="L5" s="455">
        <f ca="1">tertiair!L16</f>
        <v>0</v>
      </c>
      <c r="M5" s="455">
        <f>tertiair!M16</f>
        <v>0</v>
      </c>
      <c r="N5" s="455">
        <f ca="1">tertiair!N16</f>
        <v>749.05451750632437</v>
      </c>
      <c r="O5" s="455">
        <f>tertiair!O16</f>
        <v>0</v>
      </c>
      <c r="P5" s="456">
        <f>tertiair!P16</f>
        <v>105.07827661299004</v>
      </c>
      <c r="Q5" s="454">
        <f t="shared" ref="Q5:Q14" ca="1" si="0">SUM(B5:P5)</f>
        <v>48159.033495467644</v>
      </c>
    </row>
    <row r="6" spans="1:17">
      <c r="A6" s="454" t="s">
        <v>193</v>
      </c>
      <c r="B6" s="455">
        <f>'openbare verlichting'!B8</f>
        <v>1174.7059999999999</v>
      </c>
      <c r="C6" s="455"/>
      <c r="D6" s="455"/>
      <c r="E6" s="455"/>
      <c r="F6" s="455"/>
      <c r="G6" s="455"/>
      <c r="H6" s="455"/>
      <c r="I6" s="455"/>
      <c r="J6" s="455"/>
      <c r="K6" s="455"/>
      <c r="L6" s="455"/>
      <c r="M6" s="455"/>
      <c r="N6" s="455"/>
      <c r="O6" s="455"/>
      <c r="P6" s="456"/>
      <c r="Q6" s="454">
        <f t="shared" si="0"/>
        <v>1174.7059999999999</v>
      </c>
    </row>
    <row r="7" spans="1:17">
      <c r="A7" s="454" t="s">
        <v>111</v>
      </c>
      <c r="B7" s="455">
        <f>landbouw!B8</f>
        <v>1489.37079063648</v>
      </c>
      <c r="C7" s="455">
        <f>landbouw!C8</f>
        <v>10182.857142857143</v>
      </c>
      <c r="D7" s="455">
        <f>landbouw!D8</f>
        <v>2865.2795245565467</v>
      </c>
      <c r="E7" s="455">
        <f>landbouw!E8</f>
        <v>55.543192443101326</v>
      </c>
      <c r="F7" s="455">
        <f>landbouw!F8</f>
        <v>4832.0943603522974</v>
      </c>
      <c r="G7" s="455">
        <f>landbouw!G8</f>
        <v>0</v>
      </c>
      <c r="H7" s="455">
        <f>landbouw!H8</f>
        <v>0</v>
      </c>
      <c r="I7" s="455">
        <f>landbouw!I8</f>
        <v>0</v>
      </c>
      <c r="J7" s="455">
        <f>landbouw!J8</f>
        <v>390.96718542735687</v>
      </c>
      <c r="K7" s="455">
        <f>landbouw!K8</f>
        <v>0</v>
      </c>
      <c r="L7" s="455">
        <f>landbouw!L8</f>
        <v>0</v>
      </c>
      <c r="M7" s="455">
        <f>landbouw!M8</f>
        <v>0</v>
      </c>
      <c r="N7" s="455">
        <f>landbouw!N8</f>
        <v>0</v>
      </c>
      <c r="O7" s="455">
        <f>landbouw!O8</f>
        <v>0</v>
      </c>
      <c r="P7" s="456">
        <f>landbouw!P8</f>
        <v>0</v>
      </c>
      <c r="Q7" s="454">
        <f t="shared" si="0"/>
        <v>19816.112196272927</v>
      </c>
    </row>
    <row r="8" spans="1:17">
      <c r="A8" s="454" t="s">
        <v>626</v>
      </c>
      <c r="B8" s="455">
        <f>industrie!B18</f>
        <v>19084.021994802926</v>
      </c>
      <c r="C8" s="455">
        <f>industrie!C18</f>
        <v>0</v>
      </c>
      <c r="D8" s="455">
        <f>industrie!D18</f>
        <v>9887.5130417981927</v>
      </c>
      <c r="E8" s="455">
        <f>industrie!E18</f>
        <v>132.20377129966769</v>
      </c>
      <c r="F8" s="455">
        <f>industrie!F18</f>
        <v>2118.5897974167533</v>
      </c>
      <c r="G8" s="455">
        <f>industrie!G18</f>
        <v>0</v>
      </c>
      <c r="H8" s="455">
        <f>industrie!H18</f>
        <v>0</v>
      </c>
      <c r="I8" s="455">
        <f>industrie!I18</f>
        <v>0</v>
      </c>
      <c r="J8" s="455">
        <f>industrie!J18</f>
        <v>11.275190244933675</v>
      </c>
      <c r="K8" s="455">
        <f>industrie!K18</f>
        <v>0</v>
      </c>
      <c r="L8" s="455">
        <f>industrie!L18</f>
        <v>0</v>
      </c>
      <c r="M8" s="455">
        <f>industrie!M18</f>
        <v>0</v>
      </c>
      <c r="N8" s="455">
        <f>industrie!N18</f>
        <v>397.02437526398796</v>
      </c>
      <c r="O8" s="455">
        <f>industrie!O18</f>
        <v>0</v>
      </c>
      <c r="P8" s="456">
        <f>industrie!P18</f>
        <v>0</v>
      </c>
      <c r="Q8" s="454">
        <f t="shared" si="0"/>
        <v>31630.628170826461</v>
      </c>
    </row>
    <row r="9" spans="1:17" s="460" customFormat="1">
      <c r="A9" s="458" t="s">
        <v>552</v>
      </c>
      <c r="B9" s="459">
        <f>transport!B14</f>
        <v>69.418510117547783</v>
      </c>
      <c r="C9" s="459">
        <f>transport!C14</f>
        <v>0</v>
      </c>
      <c r="D9" s="459">
        <f>transport!D14</f>
        <v>325.24335790784124</v>
      </c>
      <c r="E9" s="459">
        <f>transport!E14</f>
        <v>171.8491243392707</v>
      </c>
      <c r="F9" s="459">
        <f>transport!F14</f>
        <v>0</v>
      </c>
      <c r="G9" s="459">
        <f>transport!G14</f>
        <v>69737.290460862321</v>
      </c>
      <c r="H9" s="459">
        <f>transport!H14</f>
        <v>20641.062205593011</v>
      </c>
      <c r="I9" s="459">
        <f>transport!I14</f>
        <v>0</v>
      </c>
      <c r="J9" s="459">
        <f>transport!J14</f>
        <v>0</v>
      </c>
      <c r="K9" s="459">
        <f>transport!K14</f>
        <v>0</v>
      </c>
      <c r="L9" s="459">
        <f>transport!L14</f>
        <v>0</v>
      </c>
      <c r="M9" s="459">
        <f>transport!M14</f>
        <v>5361.2078004874493</v>
      </c>
      <c r="N9" s="459">
        <f>transport!N14</f>
        <v>0</v>
      </c>
      <c r="O9" s="459">
        <f>transport!O14</f>
        <v>0</v>
      </c>
      <c r="P9" s="459">
        <f>transport!P14</f>
        <v>0</v>
      </c>
      <c r="Q9" s="458">
        <f>SUM(B9:P9)</f>
        <v>96306.071459307452</v>
      </c>
    </row>
    <row r="10" spans="1:17">
      <c r="A10" s="454" t="s">
        <v>542</v>
      </c>
      <c r="B10" s="455">
        <f>transport!B54</f>
        <v>0</v>
      </c>
      <c r="C10" s="455">
        <f>transport!C54</f>
        <v>0</v>
      </c>
      <c r="D10" s="455">
        <f>transport!D54</f>
        <v>0</v>
      </c>
      <c r="E10" s="455">
        <f>transport!E54</f>
        <v>0</v>
      </c>
      <c r="F10" s="455">
        <f>transport!F54</f>
        <v>0</v>
      </c>
      <c r="G10" s="455">
        <f>transport!G54</f>
        <v>1101.3105914551829</v>
      </c>
      <c r="H10" s="455">
        <f>transport!H54</f>
        <v>0</v>
      </c>
      <c r="I10" s="455">
        <f>transport!I54</f>
        <v>0</v>
      </c>
      <c r="J10" s="455">
        <f>transport!J54</f>
        <v>0</v>
      </c>
      <c r="K10" s="455">
        <f>transport!K54</f>
        <v>0</v>
      </c>
      <c r="L10" s="455">
        <f>transport!L54</f>
        <v>0</v>
      </c>
      <c r="M10" s="455">
        <f>transport!M54</f>
        <v>59.763385304133188</v>
      </c>
      <c r="N10" s="455">
        <f>transport!N54</f>
        <v>0</v>
      </c>
      <c r="O10" s="455">
        <f>transport!O54</f>
        <v>0</v>
      </c>
      <c r="P10" s="456">
        <f>transport!P54</f>
        <v>0</v>
      </c>
      <c r="Q10" s="454">
        <f t="shared" si="0"/>
        <v>1161.0739767593161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1016.98401379341</v>
      </c>
      <c r="C14" s="462"/>
      <c r="D14" s="462">
        <f>'SEAP template'!E25</f>
        <v>2763.4429658984</v>
      </c>
      <c r="E14" s="462"/>
      <c r="F14" s="462"/>
      <c r="G14" s="462"/>
      <c r="H14" s="462"/>
      <c r="I14" s="462"/>
      <c r="J14" s="462"/>
      <c r="K14" s="462"/>
      <c r="L14" s="462"/>
      <c r="M14" s="462"/>
      <c r="N14" s="462"/>
      <c r="O14" s="462"/>
      <c r="P14" s="463"/>
      <c r="Q14" s="454">
        <f t="shared" si="0"/>
        <v>3780.4269796918097</v>
      </c>
    </row>
    <row r="15" spans="1:17" s="466" customFormat="1">
      <c r="A15" s="464" t="s">
        <v>546</v>
      </c>
      <c r="B15" s="465">
        <f ca="1">SUM(B4:B14)</f>
        <v>80345.228538020485</v>
      </c>
      <c r="C15" s="465">
        <f t="shared" ref="C15:Q15" ca="1" si="1">SUM(C4:C14)</f>
        <v>10182.857142857143</v>
      </c>
      <c r="D15" s="465">
        <f t="shared" ca="1" si="1"/>
        <v>151446.98041543647</v>
      </c>
      <c r="E15" s="465">
        <f t="shared" si="1"/>
        <v>6530.9984619177339</v>
      </c>
      <c r="F15" s="465">
        <f t="shared" ca="1" si="1"/>
        <v>9703.0633001244023</v>
      </c>
      <c r="G15" s="465">
        <f t="shared" si="1"/>
        <v>70838.601052317506</v>
      </c>
      <c r="H15" s="465">
        <f t="shared" si="1"/>
        <v>20641.062205593011</v>
      </c>
      <c r="I15" s="465">
        <f t="shared" si="1"/>
        <v>0</v>
      </c>
      <c r="J15" s="465">
        <f t="shared" si="1"/>
        <v>899.40546309485285</v>
      </c>
      <c r="K15" s="465">
        <f t="shared" si="1"/>
        <v>0</v>
      </c>
      <c r="L15" s="465">
        <f t="shared" ca="1" si="1"/>
        <v>0</v>
      </c>
      <c r="M15" s="465">
        <f t="shared" si="1"/>
        <v>5420.9711857915827</v>
      </c>
      <c r="N15" s="465">
        <f t="shared" ca="1" si="1"/>
        <v>24238.997670770957</v>
      </c>
      <c r="O15" s="465">
        <f t="shared" si="1"/>
        <v>402.74351853556743</v>
      </c>
      <c r="P15" s="465">
        <f t="shared" si="1"/>
        <v>547.504567535761</v>
      </c>
      <c r="Q15" s="465">
        <f t="shared" ca="1" si="1"/>
        <v>381198.41352199554</v>
      </c>
    </row>
    <row r="17" spans="1:17">
      <c r="A17" s="467" t="s">
        <v>547</v>
      </c>
      <c r="B17" s="784">
        <f ca="1">huishoudens!B10</f>
        <v>0.1772087111038945</v>
      </c>
      <c r="C17" s="784">
        <f ca="1">huishoudens!C10</f>
        <v>0.23764705882352941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6973.8780244399677</v>
      </c>
      <c r="C22" s="455">
        <f t="shared" ref="C22:C32" ca="1" si="3">C4*$C$17</f>
        <v>0</v>
      </c>
      <c r="D22" s="455">
        <f t="shared" ref="D22:D32" si="4">D4*$D$17</f>
        <v>22071.694401910871</v>
      </c>
      <c r="E22" s="455">
        <f t="shared" ref="E22:E32" si="5">E4*$E$17</f>
        <v>1388.1685115937805</v>
      </c>
      <c r="F22" s="455">
        <f t="shared" ref="F22:F32" si="6">F4*$F$17</f>
        <v>0</v>
      </c>
      <c r="G22" s="455">
        <f t="shared" ref="G22:G32" si="7">G4*$G$17</f>
        <v>0</v>
      </c>
      <c r="H22" s="455">
        <f t="shared" ref="H22:H32" si="8">H4*$H$17</f>
        <v>0</v>
      </c>
      <c r="I22" s="455">
        <f t="shared" ref="I22:I32" si="9">I4*$I$17</f>
        <v>0</v>
      </c>
      <c r="J22" s="455">
        <f t="shared" ref="J22:J32" si="10">J4*$J$17</f>
        <v>175.98856528620811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30609.729503230825</v>
      </c>
    </row>
    <row r="23" spans="1:17">
      <c r="A23" s="454" t="s">
        <v>155</v>
      </c>
      <c r="B23" s="455">
        <f t="shared" ca="1" si="2"/>
        <v>3217.5238224003137</v>
      </c>
      <c r="C23" s="455">
        <f t="shared" ca="1" si="3"/>
        <v>0</v>
      </c>
      <c r="D23" s="455">
        <f t="shared" ca="1" si="4"/>
        <v>5320.6169061947803</v>
      </c>
      <c r="E23" s="455">
        <f t="shared" si="5"/>
        <v>12.739827266921887</v>
      </c>
      <c r="F23" s="455">
        <f t="shared" ca="1" si="6"/>
        <v>734.8852310088788</v>
      </c>
      <c r="G23" s="455">
        <f t="shared" si="7"/>
        <v>0</v>
      </c>
      <c r="H23" s="455">
        <f t="shared" si="8"/>
        <v>0</v>
      </c>
      <c r="I23" s="455">
        <f t="shared" si="9"/>
        <v>0</v>
      </c>
      <c r="J23" s="455">
        <f t="shared" si="10"/>
        <v>7.1676613789267056E-3</v>
      </c>
      <c r="K23" s="455">
        <f t="shared" si="11"/>
        <v>0</v>
      </c>
      <c r="L23" s="455">
        <f t="shared" ca="1" si="12"/>
        <v>0</v>
      </c>
      <c r="M23" s="455">
        <f t="shared" si="13"/>
        <v>0</v>
      </c>
      <c r="N23" s="455">
        <f t="shared" ca="1" si="14"/>
        <v>0</v>
      </c>
      <c r="O23" s="455">
        <f t="shared" si="15"/>
        <v>0</v>
      </c>
      <c r="P23" s="456">
        <f t="shared" si="16"/>
        <v>0</v>
      </c>
      <c r="Q23" s="454">
        <f t="shared" ref="Q23:Q31" ca="1" si="17">SUM(B23:P23)</f>
        <v>9285.7729545322727</v>
      </c>
    </row>
    <row r="24" spans="1:17">
      <c r="A24" s="454" t="s">
        <v>193</v>
      </c>
      <c r="B24" s="455">
        <f t="shared" ca="1" si="2"/>
        <v>208.16813618601148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208.16813618601148</v>
      </c>
    </row>
    <row r="25" spans="1:17">
      <c r="A25" s="454" t="s">
        <v>111</v>
      </c>
      <c r="B25" s="455">
        <f t="shared" ca="1" si="2"/>
        <v>263.92947816447889</v>
      </c>
      <c r="C25" s="455">
        <f t="shared" ca="1" si="3"/>
        <v>2419.9260504201679</v>
      </c>
      <c r="D25" s="455">
        <f t="shared" si="4"/>
        <v>578.78646396042245</v>
      </c>
      <c r="E25" s="455">
        <f t="shared" si="5"/>
        <v>12.608304684584001</v>
      </c>
      <c r="F25" s="455">
        <f t="shared" si="6"/>
        <v>1290.1691942140635</v>
      </c>
      <c r="G25" s="455">
        <f t="shared" si="7"/>
        <v>0</v>
      </c>
      <c r="H25" s="455">
        <f t="shared" si="8"/>
        <v>0</v>
      </c>
      <c r="I25" s="455">
        <f t="shared" si="9"/>
        <v>0</v>
      </c>
      <c r="J25" s="455">
        <f t="shared" si="10"/>
        <v>138.40238364128433</v>
      </c>
      <c r="K25" s="455">
        <f t="shared" si="11"/>
        <v>0</v>
      </c>
      <c r="L25" s="455">
        <f t="shared" si="12"/>
        <v>0</v>
      </c>
      <c r="M25" s="455">
        <f t="shared" si="13"/>
        <v>0</v>
      </c>
      <c r="N25" s="455">
        <f t="shared" si="14"/>
        <v>0</v>
      </c>
      <c r="O25" s="455">
        <f t="shared" si="15"/>
        <v>0</v>
      </c>
      <c r="P25" s="456">
        <f t="shared" si="16"/>
        <v>0</v>
      </c>
      <c r="Q25" s="454">
        <f t="shared" ca="1" si="17"/>
        <v>4703.821875085001</v>
      </c>
    </row>
    <row r="26" spans="1:17">
      <c r="A26" s="454" t="s">
        <v>626</v>
      </c>
      <c r="B26" s="455">
        <f t="shared" ca="1" si="2"/>
        <v>3381.8549403774</v>
      </c>
      <c r="C26" s="455">
        <f t="shared" ca="1" si="3"/>
        <v>0</v>
      </c>
      <c r="D26" s="455">
        <f t="shared" si="4"/>
        <v>1997.277634443235</v>
      </c>
      <c r="E26" s="455">
        <f t="shared" si="5"/>
        <v>30.010256085024569</v>
      </c>
      <c r="F26" s="455">
        <f t="shared" si="6"/>
        <v>565.66347591027318</v>
      </c>
      <c r="G26" s="455">
        <f t="shared" si="7"/>
        <v>0</v>
      </c>
      <c r="H26" s="455">
        <f t="shared" si="8"/>
        <v>0</v>
      </c>
      <c r="I26" s="455">
        <f t="shared" si="9"/>
        <v>0</v>
      </c>
      <c r="J26" s="455">
        <f t="shared" si="10"/>
        <v>3.991417346706521</v>
      </c>
      <c r="K26" s="455">
        <f t="shared" si="11"/>
        <v>0</v>
      </c>
      <c r="L26" s="455">
        <f t="shared" si="12"/>
        <v>0</v>
      </c>
      <c r="M26" s="455">
        <f t="shared" si="13"/>
        <v>0</v>
      </c>
      <c r="N26" s="455">
        <f t="shared" si="14"/>
        <v>0</v>
      </c>
      <c r="O26" s="455">
        <f t="shared" si="15"/>
        <v>0</v>
      </c>
      <c r="P26" s="456">
        <f t="shared" si="16"/>
        <v>0</v>
      </c>
      <c r="Q26" s="454">
        <f t="shared" ca="1" si="17"/>
        <v>5978.7977241626395</v>
      </c>
    </row>
    <row r="27" spans="1:17" s="460" customFormat="1">
      <c r="A27" s="458" t="s">
        <v>552</v>
      </c>
      <c r="B27" s="778">
        <f t="shared" ca="1" si="2"/>
        <v>12.301564704683303</v>
      </c>
      <c r="C27" s="459">
        <f t="shared" ca="1" si="3"/>
        <v>0</v>
      </c>
      <c r="D27" s="459">
        <f t="shared" si="4"/>
        <v>65.699158297383931</v>
      </c>
      <c r="E27" s="459">
        <f t="shared" si="5"/>
        <v>39.009751225014448</v>
      </c>
      <c r="F27" s="459">
        <f t="shared" si="6"/>
        <v>0</v>
      </c>
      <c r="G27" s="459">
        <f t="shared" si="7"/>
        <v>18619.856553050242</v>
      </c>
      <c r="H27" s="459">
        <f t="shared" si="8"/>
        <v>5139.6244891926599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23876.491516469985</v>
      </c>
    </row>
    <row r="28" spans="1:17" ht="16.5" customHeight="1">
      <c r="A28" s="454" t="s">
        <v>542</v>
      </c>
      <c r="B28" s="455">
        <f t="shared" ca="1" si="2"/>
        <v>0</v>
      </c>
      <c r="C28" s="455">
        <f t="shared" ca="1" si="3"/>
        <v>0</v>
      </c>
      <c r="D28" s="455">
        <f t="shared" si="4"/>
        <v>0</v>
      </c>
      <c r="E28" s="455">
        <f t="shared" si="5"/>
        <v>0</v>
      </c>
      <c r="F28" s="455">
        <f t="shared" si="6"/>
        <v>0</v>
      </c>
      <c r="G28" s="455">
        <f t="shared" si="7"/>
        <v>294.04992791853385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294.04992791853385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180.21842629759544</v>
      </c>
      <c r="C32" s="455">
        <f t="shared" ca="1" si="3"/>
        <v>0</v>
      </c>
      <c r="D32" s="455">
        <f t="shared" si="4"/>
        <v>558.21547911147684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738.43390540907228</v>
      </c>
    </row>
    <row r="33" spans="1:17" s="466" customFormat="1">
      <c r="A33" s="464" t="s">
        <v>546</v>
      </c>
      <c r="B33" s="465">
        <f ca="1">SUM(B22:B32)</f>
        <v>14237.874392570449</v>
      </c>
      <c r="C33" s="465">
        <f t="shared" ref="C33:Q33" ca="1" si="19">SUM(C22:C32)</f>
        <v>2419.9260504201679</v>
      </c>
      <c r="D33" s="465">
        <f t="shared" ca="1" si="19"/>
        <v>30592.290043918169</v>
      </c>
      <c r="E33" s="465">
        <f t="shared" si="19"/>
        <v>1482.5366508553254</v>
      </c>
      <c r="F33" s="465">
        <f t="shared" ca="1" si="19"/>
        <v>2590.7179011332155</v>
      </c>
      <c r="G33" s="465">
        <f t="shared" si="19"/>
        <v>18913.906480968777</v>
      </c>
      <c r="H33" s="465">
        <f t="shared" si="19"/>
        <v>5139.6244891926599</v>
      </c>
      <c r="I33" s="465">
        <f t="shared" si="19"/>
        <v>0</v>
      </c>
      <c r="J33" s="465">
        <f t="shared" si="19"/>
        <v>318.3895339355779</v>
      </c>
      <c r="K33" s="465">
        <f t="shared" si="19"/>
        <v>0</v>
      </c>
      <c r="L33" s="465">
        <f t="shared" ca="1" si="19"/>
        <v>0</v>
      </c>
      <c r="M33" s="465">
        <f t="shared" si="19"/>
        <v>0</v>
      </c>
      <c r="N33" s="465">
        <f t="shared" ca="1" si="19"/>
        <v>0</v>
      </c>
      <c r="O33" s="465">
        <f t="shared" si="19"/>
        <v>0</v>
      </c>
      <c r="P33" s="465">
        <f t="shared" si="19"/>
        <v>0</v>
      </c>
      <c r="Q33" s="465">
        <f t="shared" ca="1" si="19"/>
        <v>75695.265542994341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8579.3340203983898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7878.0476521183209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7128</v>
      </c>
      <c r="D8" s="1026">
        <f>'SEAP template'!D76</f>
        <v>8385.8823529411748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1693.9482352941175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16457.381672516713</v>
      </c>
      <c r="C10" s="1028">
        <f>SUM(C4:C9)</f>
        <v>7128</v>
      </c>
      <c r="D10" s="1028">
        <f t="shared" ref="D10:H10" si="0">SUM(D8:D9)</f>
        <v>8385.8823529411748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1693.9482352941175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0.1772087111038945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10182.857142857143</v>
      </c>
      <c r="D17" s="1027">
        <f>'SEAP template'!D87</f>
        <v>11979.831932773108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2419.9260504201679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10182.857142857143</v>
      </c>
      <c r="D20" s="1028">
        <f t="shared" ref="D20:H20" si="2">SUM(D17:D19)</f>
        <v>11979.831932773108</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2419.9260504201679</v>
      </c>
    </row>
    <row r="21" spans="1:16">
      <c r="B21" s="890"/>
    </row>
    <row r="22" spans="1:16">
      <c r="A22" s="467" t="s">
        <v>773</v>
      </c>
      <c r="B22" s="784" t="s">
        <v>771</v>
      </c>
      <c r="C22" s="784">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0.1772087111038945</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2020-06-20T15:24:05Z</dcterms:modified>
</cp:coreProperties>
</file>