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10" i="13"/>
  <c r="C12" i="13" s="1"/>
  <c r="D41" i="14" s="1"/>
  <c r="D46" i="14" s="1"/>
  <c r="D61" i="14" s="1"/>
  <c r="D63" i="14" s="1"/>
  <c r="C29" i="20"/>
  <c r="C20" i="16"/>
  <c r="C22" i="16" s="1"/>
  <c r="D43" i="14" s="1"/>
  <c r="C17" i="49"/>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<sst xmlns="http://schemas.openxmlformats.org/spreadsheetml/2006/main" count="2375" uniqueCount="871">
  <si>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</si>
  <si>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</si>
  <si>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</si>
  <si>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</si>
  <si>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</si>
  <si>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</si>
  <si>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</si>
  <si>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</si>
  <si>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</si>
  <si>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</si>
  <si>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</si>
  <si>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</si>
  <si>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</si>
  <si>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</si>
  <si>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</si>
  <si>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</si>
  <si>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</si>
  <si>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</si>
  <si>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</si>
  <si>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</si>
  <si>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</si>
  <si>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</si>
  <si>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</si>
  <si>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</si>
  <si>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</si>
  <si>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</si>
  <si>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</si>
  <si>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</si>
  <si>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</si>
  <si>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</si>
  <si>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</si>
  <si>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</si>
  <si>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</si>
  <si>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</si>
  <si>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</si>
  <si>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</si>
  <si>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</si>
  <si>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</si>
  <si>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</si>
  <si>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</si>
  <si>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</si>
  <si>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</si>
  <si>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</si>
  <si>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</si>
  <si>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</si>
  <si>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</si>
  <si>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</si>
  <si>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</si>
  <si>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</si>
  <si>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</si>
  <si>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</si>
  <si>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</si>
  <si>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</si>
  <si>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</si>
  <si>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</si>
  <si>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</si>
  <si>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</si>
  <si>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</si>
  <si>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</si>
  <si>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</si>
  <si>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</si>
  <si>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</si>
  <si>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</si>
  <si>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</si>
  <si>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</si>
  <si>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</si>
  <si>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</si>
  <si>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</si>
  <si>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</si>
  <si>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</si>
  <si>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</si>
  <si>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</si>
  <si>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</si>
  <si>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</si>
  <si>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</si>
  <si>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</si>
  <si>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</si>
  <si>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</si>
  <si>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</si>
  <si>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</si>
  <si>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</si>
  <si>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</si>
  <si>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</si>
  <si>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</si>
  <si>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</si>
  <si>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</si>
  <si>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</si>
  <si>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</si>
  <si>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</si>
  <si>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</si>
  <si>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</si>
  <si>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</si>
  <si>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</si>
  <si>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</si>
  <si>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</si>
  <si>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</si>
  <si>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</si>
  <si>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</si>
  <si>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</si>
  <si>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</si>
  <si>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</si>
  <si>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</si>
  <si>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</si>
  <si>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</si>
  <si>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</si>
  <si>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</si>
  <si>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</si>
  <si>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</si>
  <si>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</si>
  <si>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</si>
  <si>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</si>
  <si>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</si>
  <si>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</si>
  <si>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</si>
  <si>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</si>
  <si>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</si>
  <si>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</si>
  <si>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</si>
  <si>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</si>
  <si>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</si>
  <si>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</si>
  <si>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</si>
  <si>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</si>
  <si>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</si>
  <si>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</si>
  <si>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</si>
  <si>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</si>
  <si>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</si>
  <si>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</si>
  <si>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</si>
  <si>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</si>
  <si>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</si>
  <si>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</si>
  <si>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</si>
  <si>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</si>
  <si>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</si>
  <si>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</si>
  <si>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</si>
  <si>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</si>
  <si>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</si>
  <si>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</si>
  <si>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</si>
  <si>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</si>
  <si>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</si>
  <si>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</si>
  <si>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</si>
  <si>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</si>
  <si>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</si>
  <si>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</si>
  <si>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</si>
  <si>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</si>
  <si>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</si>
  <si>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</si>
  <si>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</si>
  <si>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</si>
  <si>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</si>
  <si>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</si>
  <si>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</si>
  <si>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</si>
  <si>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</si>
  <si>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</si>
  <si>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</si>
  <si>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</si>
  <si>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</si>
  <si>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</si>
  <si>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</si>
  <si>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</si>
  <si>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</si>
  <si>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</si>
  <si>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</si>
  <si>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</si>
  <si>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</si>
  <si>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</si>
  <si>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</si>
  <si>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</si>
  <si>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</si>
  <si>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</si>
  <si>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</si>
  <si>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</si>
  <si>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</si>
  <si>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</si>
  <si>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</si>
  <si>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</si>
  <si>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</si>
  <si>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</si>
  <si>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</si>
  <si>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</si>
  <si>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</si>
  <si>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</si>
  <si>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</si>
  <si>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</si>
  <si>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</si>
  <si>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</si>
  <si>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</si>
  <si>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</si>
  <si>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</si>
  <si>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</si>
  <si>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</si>
  <si>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</si>
  <si>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</si>
  <si>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</si>
  <si>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</si>
  <si>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</si>
  <si>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</si>
  <si>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</si>
  <si>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</si>
  <si>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</si>
  <si>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</si>
  <si>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</si>
  <si>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</si>
  <si>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</si>
  <si>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</si>
  <si>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</si>
  <si>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</si>
  <si>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</si>
  <si>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</si>
  <si>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</si>
  <si>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</si>
  <si>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</si>
  <si>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</si>
  <si>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</si>
  <si>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</si>
  <si>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</si>
  <si>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</si>
  <si>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</si>
  <si>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</si>
  <si>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</si>
  <si>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</si>
  <si>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</si>
  <si>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</si>
  <si>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</si>
  <si>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</si>
  <si>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</si>
  <si>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</si>
  <si>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</si>
  <si>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</si>
  <si>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</si>
  <si>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</si>
  <si>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</si>
  <si>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</si>
  <si>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</si>
  <si>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</si>
  <si>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</si>
  <si>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</si>
  <si>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</si>
  <si>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</si>
  <si>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</si>
  <si>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</si>
  <si>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</si>
  <si>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</si>
  <si>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</si>
  <si>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</si>
  <si>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</si>
  <si>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</si>
  <si>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</si>
  <si>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</si>
  <si>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</si>
  <si>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</si>
  <si>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</si>
  <si>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</si>
  <si>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</si>
  <si>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</si>
  <si>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</si>
  <si>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</si>
  <si>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</si>
  <si>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</si>
  <si>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</si>
  <si>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</si>
  <si>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</si>
  <si>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</si>
  <si>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</si>
  <si>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</si>
  <si>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</si>
  <si>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</si>
  <si>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</si>
  <si>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</si>
  <si>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</si>
  <si>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</si>
  <si>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</si>
  <si>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</si>
  <si>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</si>
  <si>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</si>
  <si>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</si>
  <si>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</si>
  <si>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</si>
  <si>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</si>
  <si>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</si>
  <si>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</si>
  <si>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</si>
  <si>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</si>
  <si>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</si>
  <si>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</si>
  <si>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</si>
  <si>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</si>
  <si>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</si>
  <si>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</si>
  <si>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</si>
  <si>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</si>
  <si>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</si>
  <si>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</si>
  <si>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</si>
  <si>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</si>
  <si>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</si>
  <si>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</si>
  <si>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</si>
  <si>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</si>
  <si>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</si>
  <si>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</si>
  <si>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</si>
  <si>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</si>
  <si>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</si>
  <si>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</si>
  <si>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</si>
  <si>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</si>
  <si>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</si>
  <si>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</si>
  <si>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</si>
  <si>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</si>
  <si>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</si>
  <si>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</si>
  <si>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</si>
  <si>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</si>
  <si>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</si>
  <si>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</si>
  <si>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</si>
  <si>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</si>
  <si>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</si>
  <si>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</si>
  <si>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</si>
  <si>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</si>
  <si>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</si>
  <si>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</si>
  <si>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</si>
  <si>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</si>
  <si>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</si>
  <si>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</si>
  <si>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</si>
  <si>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</si>
  <si>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</si>
  <si>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</si>
  <si>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</si>
  <si>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</si>
  <si>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</si>
  <si>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</si>
  <si>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</si>
  <si>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</si>
  <si>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</si>
  <si>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</si>
  <si>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</si>
  <si>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</si>
  <si>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</si>
  <si>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</si>
  <si>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</si>
  <si>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</si>
  <si>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</si>
  <si>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</si>
  <si>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</si>
  <si>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</si>
  <si>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</si>
  <si>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</si>
  <si>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</si>
  <si>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</si>
  <si>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</si>
  <si>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</si>
  <si>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</si>
  <si>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</si>
  <si>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</si>
  <si>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</si>
  <si>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</si>
  <si>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</si>
  <si>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</si>
  <si>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</si>
  <si>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</si>
  <si>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</si>
  <si>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</si>
  <si>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</si>
  <si>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</si>
  <si>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</si>
  <si>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</si>
  <si>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</si>
  <si>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</si>
  <si>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</si>
  <si>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</si>
  <si>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</si>
  <si>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</si>
  <si>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</si>
  <si>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</si>
  <si>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</si>
  <si>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</si>
  <si>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</si>
  <si>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</si>
  <si>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</si>
  <si>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</si>
  <si>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</si>
  <si>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</si>
  <si>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</si>
  <si>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</si>
  <si>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</si>
  <si>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</si>
  <si>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</si>
  <si>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</si>
  <si>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</si>
  <si>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</si>
  <si>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</si>
  <si>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</si>
  <si>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</si>
  <si>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</si>
  <si>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</si>
  <si>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</si>
  <si>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</si>
  <si>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</si>
  <si>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</si>
  <si>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</si>
  <si>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</si>
  <si>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</si>
  <si>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</si>
  <si>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</si>
  <si>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</si>
  <si>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</si>
  <si>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</si>
  <si>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</si>
  <si>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</si>
  <si>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</si>
  <si>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</si>
  <si>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</si>
  <si>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</si>
  <si>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</si>
  <si>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</si>
  <si>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</si>
  <si>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</si>
  <si>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</si>
  <si>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</si>
  <si>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</si>
  <si>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</si>
  <si>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</si>
  <si>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</si>
  <si>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</si>
  <si>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</si>
  <si>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</si>
  <si>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</si>
  <si>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</si>
  <si>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</si>
  <si>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</si>
  <si>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</si>
  <si>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</si>
  <si>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</si>
  <si>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</si>
  <si>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</si>
  <si>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</si>
  <si>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</si>
  <si>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</si>
  <si>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</si>
  <si>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</si>
  <si>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</si>
  <si>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</si>
  <si>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</si>
  <si>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</si>
  <si>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</si>
  <si>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</si>
  <si>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</si>
  <si>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</si>
  <si>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</si>
  <si>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</si>
  <si>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</si>
  <si>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</si>
  <si>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</si>
  <si>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</si>
  <si>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</si>
  <si>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</si>
  <si>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</si>
  <si>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</si>
  <si>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</si>
  <si>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</si>
  <si>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</si>
  <si>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</si>
  <si>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</si>
  <si>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</si>
  <si>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</si>
  <si>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</si>
  <si>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</si>
  <si>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</si>
  <si>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</si>
  <si>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</si>
  <si>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</si>
  <si>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</si>
  <si>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</si>
  <si>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</si>
  <si>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</si>
  <si>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</si>
  <si>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</si>
  <si>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</si>
  <si>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</si>
  <si>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</si>
  <si>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</si>
  <si>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</si>
  <si>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</si>
  <si>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</si>
  <si>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</si>
  <si>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</si>
  <si>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</si>
  <si>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</si>
  <si>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</si>
  <si>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</si>
  <si>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</si>
  <si>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</si>
  <si>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</si>
  <si>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</si>
  <si>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</si>
  <si>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</si>
  <si>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</si>
  <si>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</si>
  <si>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</si>
  <si>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</si>
  <si>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</si>
  <si>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</si>
  <si>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</si>
  <si>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</si>
  <si>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</si>
  <si>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</si>
  <si>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</si>
  <si>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</si>
  <si>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</si>
  <si>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</si>
  <si>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</si>
  <si>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</si>
  <si>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</si>
  <si>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</si>
  <si>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</si>
  <si>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</si>
  <si>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</si>
  <si>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</si>
  <si>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</si>
  <si>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</si>
  <si>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</si>
  <si>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</si>
  <si>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</si>
  <si>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</si>
  <si>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</si>
  <si>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</si>
  <si>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</si>
  <si>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</si>
  <si>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</si>
  <si>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</si>
  <si>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</si>
  <si>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</si>
  <si>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</si>
  <si>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</si>
  <si>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</si>
  <si>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</si>
  <si>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</si>
  <si>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</si>
  <si>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</si>
  <si>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</si>
  <si>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</si>
  <si>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</si>
  <si>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</si>
  <si>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</si>
  <si>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</si>
  <si>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</si>
  <si>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</si>
  <si>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</si>
  <si>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</si>
  <si>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</si>
  <si>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</si>
  <si>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</si>
  <si>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</si>
  <si>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</si>
  <si>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</si>
  <si>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</si>
  <si>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</si>
  <si>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</si>
  <si>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</si>
  <si>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</si>
  <si>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</si>
  <si>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</si>
  <si>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</si>
  <si>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</si>
  <si>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</si>
  <si>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</si>
  <si>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</si>
  <si>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</si>
  <si>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</si>
  <si>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</si>
  <si>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</si>
  <si>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</si>
  <si>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</si>
  <si>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</si>
  <si>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</si>
  <si>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</si>
  <si>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</si>
  <si>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</si>
  <si>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</si>
  <si>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</si>
  <si>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</si>
  <si>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</si>
  <si>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</si>
  <si>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</si>
  <si>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</si>
  <si>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</si>
  <si>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</si>
  <si>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</si>
  <si>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</si>
  <si>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</si>
  <si>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</si>
  <si>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</si>
  <si>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</si>
  <si>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</si>
  <si>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</si>
  <si>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</si>
  <si>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</si>
  <si>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</si>
  <si>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</si>
  <si>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</si>
  <si>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</si>
  <si>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</si>
  <si>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</si>
  <si>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</si>
  <si>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</si>
  <si>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</si>
  <si>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</si>
  <si>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</si>
  <si>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</si>
  <si>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</si>
  <si>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</si>
  <si>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</si>
  <si>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</si>
  <si>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</si>
  <si>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</si>
  <si>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</si>
  <si>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</si>
  <si>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</si>
  <si>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</si>
  <si>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</si>
  <si>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</si>
  <si>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</si>
  <si>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</si>
  <si>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</si>
  <si>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</si>
  <si>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</si>
  <si>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</si>
  <si>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</si>
  <si>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</si>
  <si>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</si>
  <si>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</si>
  <si>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</si>
  <si>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</si>
  <si>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</si>
  <si>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</si>
  <si>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</si>
  <si>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</si>
  <si>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</si>
  <si>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</si>
  <si>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</si>
  <si>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</si>
  <si>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</si>
  <si>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</si>
  <si>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</si>
  <si>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</si>
  <si>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</si>
  <si>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</si>
  <si>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</si>
  <si>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</si>
  <si>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</si>
  <si>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</si>
  <si>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</si>
  <si>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</si>
  <si>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</si>
  <si>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</si>
  <si>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</si>
  <si>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</si>
  <si>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</si>
  <si>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</si>
  <si>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</si>
  <si>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</si>
  <si>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</si>
  <si>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</si>
  <si>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</si>
  <si>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</si>
  <si>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</si>
  <si>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</si>
  <si>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</si>
  <si>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</si>
  <si>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</si>
  <si>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</si>
  <si>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</si>
  <si>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</si>
  <si>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</si>
  <si>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</si>
  <si>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</si>
  <si>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</si>
  <si>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</si>
  <si>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</si>
  <si>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</si>
  <si>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</si>
  <si>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</si>
  <si>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</si>
  <si>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</si>
  <si>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</si>
  <si>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</si>
  <si>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</si>
  <si>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</si>
  <si>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</si>
  <si>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</si>
  <si>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</si>
  <si>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</si>
  <si>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</si>
  <si>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</si>
  <si>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</si>
  <si>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</si>
  <si>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</si>
  <si>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</si>
  <si>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</si>
  <si>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</si>
  <si>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</si>
  <si>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</si>
  <si>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</si>
  <si>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</si>
  <si>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</si>
  <si>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</si>
  <si>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</si>
  <si>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</si>
  <si>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</si>
  <si>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</si>
  <si>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</si>
  <si>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</si>
  <si>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</si>
  <si>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</si>
  <si>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</si>
  <si>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</si>
  <si>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</si>
  <si>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</si>
  <si>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</si>
  <si>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</si>
  <si>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</si>
  <si>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</si>
  <si>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</si>
  <si>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</si>
  <si>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</si>
  <si>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</si>
  <si>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</si>
  <si>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</si>
  <si>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</si>
  <si>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</si>
  <si>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</si>
  <si>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</si>
  <si>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</si>
  <si>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</si>
  <si>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</si>
  <si>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</si>
  <si>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</si>
  <si>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</si>
  <si>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</si>
  <si>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</si>
  <si>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</si>
  <si>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</si>
  <si>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</si>
  <si>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</si>
  <si>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</si>
  <si>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</si>
  <si>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</si>
  <si>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</si>
  <si>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</si>
  <si>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</si>
  <si>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</si>
  <si>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</si>
  <si>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</si>
  <si>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</si>
  <si>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</si>
  <si>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</si>
  <si>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</si>
  <si>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</si>
  <si>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</si>
  <si>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</si>
  <si>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</si>
  <si>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</si>
  <si>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</si>
  <si>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</si>
  <si>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</si>
  <si>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</si>
  <si>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</si>
  <si>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</si>
  <si>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</si>
  <si>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</si>
  <si>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</si>
  <si>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</si>
  <si>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</si>
  <si>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</si>
  <si>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</si>
  <si>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</si>
  <si>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</si>
  <si>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</si>
  <si>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</si>
  <si>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</si>
  <si>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</si>
  <si>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</si>
  <si>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</si>
  <si>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</si>
  <si>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</si>
  <si>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</si>
  <si>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</si>
  <si>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</si>
  <si>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</si>
  <si>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</si>
  <si>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</si>
  <si>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</si>
  <si>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</si>
  <si>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</si>
  <si>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</si>
  <si>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</si>
  <si>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</si>
  <si>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</si>
  <si>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</si>
  <si>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</si>
  <si>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</si>
  <si>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</si>
  <si>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</si>
  <si>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</si>
  <si>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</si>
  <si>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</si>
  <si>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</si>
  <si>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</si>
  <si>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</si>
  <si>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</si>
  <si>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</si>
  <si>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</si>
  <si>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</si>
  <si>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</si>
  <si>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</si>
  <si>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</si>
  <si>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</si>
  <si>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</si>
  <si>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</si>
  <si>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</si>
  <si>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</si>
  <si>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</si>
  <si>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</si>
  <si>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</si>
  <si>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</si>
  <si>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</si>
  <si>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</si>
  <si>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</si>
  <si>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</si>
  <si>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</si>
  <si>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</si>
  <si>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</si>
  <si>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</si>
  <si>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</si>
  <si>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</si>
  <si>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</si>
  <si>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</si>
  <si>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</si>
  <si>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</si>
  <si>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</si>
  <si>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</si>
  <si>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</si>
  <si>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</si>
  <si>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</si>
  <si>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</si>
  <si>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</si>
  <si>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</si>
  <si>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</si>
  <si>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</si>
  <si>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41081</t>
  </si>
  <si>
    <t>ZOTTEGEM</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</si>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</sst>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203262.05323687327</c:v>
                </c:pt>
                <c:pt idx="1">
                  <c:v>87334.082330763616</c:v>
                </c:pt>
                <c:pt idx="2">
                  <c:v>1697.384</c:v>
                </c:pt>
                <c:pt idx="3">
                  <c:v>5003.1223046579707</c:v>
                </c:pt>
                <c:pt idx="4">
                  <c:v>53577.935542140433</c:v>
                </c:pt>
                <c:pt idx="5">
                  <c:v>129602.63344188307</c:v>
                </c:pt>
                <c:pt idx="6">
                  <c:v>2145.4191575272421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203262.05323687327</c:v>
                </c:pt>
                <c:pt idx="1">
                  <c:v>87334.082330763616</c:v>
                </c:pt>
                <c:pt idx="2">
                  <c:v>1697.384</c:v>
                </c:pt>
                <c:pt idx="3">
                  <c:v>5003.1223046579707</c:v>
                </c:pt>
                <c:pt idx="4">
                  <c:v>53577.935542140433</c:v>
                </c:pt>
                <c:pt idx="5">
                  <c:v>129602.63344188307</c:v>
                </c:pt>
                <c:pt idx="6">
                  <c:v>2145.4191575272421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39145.318423972451</c:v>
                </c:pt>
                <c:pt idx="1">
                  <c:v>17909.047390553656</c:v>
                </c:pt>
                <c:pt idx="2">
                  <c:v>346.3914464946061</c:v>
                </c:pt>
                <c:pt idx="3">
                  <c:v>1281.3199293005944</c:v>
                </c:pt>
                <c:pt idx="4">
                  <c:v>11332.696794675601</c:v>
                </c:pt>
                <c:pt idx="5">
                  <c:v>32168.191871914936</c:v>
                </c:pt>
                <c:pt idx="6">
                  <c:v>543.34207919010225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39145.318423972451</c:v>
                </c:pt>
                <c:pt idx="1">
                  <c:v>17909.047390553656</c:v>
                </c:pt>
                <c:pt idx="2">
                  <c:v>346.3914464946061</c:v>
                </c:pt>
                <c:pt idx="3">
                  <c:v>1281.3199293005944</c:v>
                </c:pt>
                <c:pt idx="4">
                  <c:v>11332.696794675601</c:v>
                </c:pt>
                <c:pt idx="5">
                  <c:v>32168.191871914936</c:v>
                </c:pt>
                <c:pt idx="6">
                  <c:v>543.34207919010225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41081</v>
      </c>
      <c r="B6" s="392"/>
      <c r="C6" s="393"/>
    </row>
    <row r="7" spans="1:7" s="390" customFormat="1" ht="15.75" customHeight="1">
      <c r="A7" s="394" t="str">
        <f>txtMunicipality</f>
        <v>ZOTTEGEM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0.2040737078319379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0.2040737078319379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11684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3172.54</v>
      </c>
      <c r="C14" s="332"/>
      <c r="D14" s="332"/>
      <c r="E14" s="332"/>
      <c r="F14" s="332"/>
    </row>
    <row r="15" spans="1:6">
      <c r="A15" s="1310" t="s">
        <v>183</v>
      </c>
      <c r="B15" s="1311">
        <v>26</v>
      </c>
      <c r="C15" s="332"/>
      <c r="D15" s="332"/>
      <c r="E15" s="332"/>
      <c r="F15" s="332"/>
    </row>
    <row r="16" spans="1:6">
      <c r="A16" s="1310" t="s">
        <v>6</v>
      </c>
      <c r="B16" s="1311">
        <v>1115</v>
      </c>
      <c r="C16" s="332"/>
      <c r="D16" s="332"/>
      <c r="E16" s="332"/>
      <c r="F16" s="332"/>
    </row>
    <row r="17" spans="1:6">
      <c r="A17" s="1310" t="s">
        <v>7</v>
      </c>
      <c r="B17" s="1311">
        <v>650</v>
      </c>
      <c r="C17" s="332"/>
      <c r="D17" s="332"/>
      <c r="E17" s="332"/>
      <c r="F17" s="332"/>
    </row>
    <row r="18" spans="1:6">
      <c r="A18" s="1310" t="s">
        <v>8</v>
      </c>
      <c r="B18" s="1311">
        <v>1062</v>
      </c>
      <c r="C18" s="332"/>
      <c r="D18" s="332"/>
      <c r="E18" s="332"/>
      <c r="F18" s="332"/>
    </row>
    <row r="19" spans="1:6">
      <c r="A19" s="1310" t="s">
        <v>9</v>
      </c>
      <c r="B19" s="1311">
        <v>937</v>
      </c>
      <c r="C19" s="332"/>
      <c r="D19" s="332"/>
      <c r="E19" s="332"/>
      <c r="F19" s="332"/>
    </row>
    <row r="20" spans="1:6">
      <c r="A20" s="1310" t="s">
        <v>10</v>
      </c>
      <c r="B20" s="1311">
        <v>656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109</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190</v>
      </c>
      <c r="C29" s="338"/>
      <c r="D29" s="338"/>
      <c r="E29" s="338"/>
      <c r="F29" s="338"/>
    </row>
    <row r="30" spans="1:6">
      <c r="A30" s="1305" t="s">
        <v>700</v>
      </c>
      <c r="B30" s="1314">
        <v>26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4436.9470567604003</v>
      </c>
    </row>
    <row r="39" spans="1:6">
      <c r="A39" s="1310" t="s">
        <v>29</v>
      </c>
      <c r="B39" s="1310" t="s">
        <v>30</v>
      </c>
      <c r="C39" s="1311">
        <v>6530</v>
      </c>
      <c r="D39" s="1311">
        <v>92259340.695054695</v>
      </c>
      <c r="E39" s="1311">
        <v>11712</v>
      </c>
      <c r="F39" s="1311">
        <v>43196110.028369904</v>
      </c>
    </row>
    <row r="40" spans="1:6">
      <c r="A40" s="1310" t="s">
        <v>29</v>
      </c>
      <c r="B40" s="1310" t="s">
        <v>28</v>
      </c>
      <c r="C40" s="1311">
        <v>0</v>
      </c>
      <c r="D40" s="1311">
        <v>0</v>
      </c>
      <c r="E40" s="1311">
        <v>0</v>
      </c>
      <c r="F40" s="1311">
        <v>0</v>
      </c>
    </row>
    <row r="41" spans="1:6">
      <c r="A41" s="1310" t="s">
        <v>31</v>
      </c>
      <c r="B41" s="1310" t="s">
        <v>32</v>
      </c>
      <c r="C41" s="1311">
        <v>99</v>
      </c>
      <c r="D41" s="1311">
        <v>2203664.3810330299</v>
      </c>
      <c r="E41" s="1311">
        <v>258</v>
      </c>
      <c r="F41" s="1311">
        <v>16840781.347642999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445649.48667185998</v>
      </c>
      <c r="E44" s="1311">
        <v>21</v>
      </c>
      <c r="F44" s="1311">
        <v>301963.41007498599</v>
      </c>
    </row>
    <row r="45" spans="1:6">
      <c r="A45" s="1310" t="s">
        <v>31</v>
      </c>
      <c r="B45" s="1310" t="s">
        <v>36</v>
      </c>
      <c r="C45" s="1311">
        <v>5</v>
      </c>
      <c r="D45" s="1311">
        <v>204688.111345293</v>
      </c>
      <c r="E45" s="1311">
        <v>14</v>
      </c>
      <c r="F45" s="1311">
        <v>185831.82435697399</v>
      </c>
    </row>
    <row r="46" spans="1:6">
      <c r="A46" s="1310" t="s">
        <v>31</v>
      </c>
      <c r="B46" s="1310" t="s">
        <v>37</v>
      </c>
      <c r="C46" s="1311">
        <v>0</v>
      </c>
      <c r="D46" s="1311">
        <v>0</v>
      </c>
      <c r="E46" s="1311">
        <v>0</v>
      </c>
      <c r="F46" s="1311">
        <v>0</v>
      </c>
    </row>
    <row r="47" spans="1:6">
      <c r="A47" s="1310" t="s">
        <v>31</v>
      </c>
      <c r="B47" s="1310" t="s">
        <v>38</v>
      </c>
      <c r="C47" s="1311">
        <v>7</v>
      </c>
      <c r="D47" s="1311">
        <v>265693.80728960299</v>
      </c>
      <c r="E47" s="1311">
        <v>9</v>
      </c>
      <c r="F47" s="1311">
        <v>86108.565899361303</v>
      </c>
    </row>
    <row r="48" spans="1:6">
      <c r="A48" s="1310" t="s">
        <v>31</v>
      </c>
      <c r="B48" s="1310" t="s">
        <v>28</v>
      </c>
      <c r="C48" s="1311">
        <v>1</v>
      </c>
      <c r="D48" s="1311">
        <v>63301.528113221801</v>
      </c>
      <c r="E48" s="1311">
        <v>2</v>
      </c>
      <c r="F48" s="1311">
        <v>27988.144298927</v>
      </c>
    </row>
    <row r="49" spans="1:6">
      <c r="A49" s="1310" t="s">
        <v>31</v>
      </c>
      <c r="B49" s="1310" t="s">
        <v>39</v>
      </c>
      <c r="C49" s="1311">
        <v>0</v>
      </c>
      <c r="D49" s="1311">
        <v>0</v>
      </c>
      <c r="E49" s="1311">
        <v>9</v>
      </c>
      <c r="F49" s="1311">
        <v>276972.98818502401</v>
      </c>
    </row>
    <row r="50" spans="1:6">
      <c r="A50" s="1310" t="s">
        <v>31</v>
      </c>
      <c r="B50" s="1310" t="s">
        <v>40</v>
      </c>
      <c r="C50" s="1311">
        <v>25</v>
      </c>
      <c r="D50" s="1311">
        <v>6804400.28732327</v>
      </c>
      <c r="E50" s="1311">
        <v>33</v>
      </c>
      <c r="F50" s="1311">
        <v>14943733.1413754</v>
      </c>
    </row>
    <row r="51" spans="1:6">
      <c r="A51" s="1310" t="s">
        <v>41</v>
      </c>
      <c r="B51" s="1310" t="s">
        <v>42</v>
      </c>
      <c r="C51" s="1311">
        <v>10</v>
      </c>
      <c r="D51" s="1311">
        <v>173187.87568304999</v>
      </c>
      <c r="E51" s="1311">
        <v>89</v>
      </c>
      <c r="F51" s="1311">
        <v>1066579.4375094201</v>
      </c>
    </row>
    <row r="52" spans="1:6">
      <c r="A52" s="1310" t="s">
        <v>41</v>
      </c>
      <c r="B52" s="1310" t="s">
        <v>28</v>
      </c>
      <c r="C52" s="1311">
        <v>0</v>
      </c>
      <c r="D52" s="1311">
        <v>0</v>
      </c>
      <c r="E52" s="1311">
        <v>0</v>
      </c>
      <c r="F52" s="1311">
        <v>0</v>
      </c>
    </row>
    <row r="53" spans="1:6">
      <c r="A53" s="1310" t="s">
        <v>43</v>
      </c>
      <c r="B53" s="1310" t="s">
        <v>44</v>
      </c>
      <c r="C53" s="1311">
        <v>182</v>
      </c>
      <c r="D53" s="1311">
        <v>3727233.57034725</v>
      </c>
      <c r="E53" s="1311">
        <v>473</v>
      </c>
      <c r="F53" s="1311">
        <v>1459984.8763457099</v>
      </c>
    </row>
    <row r="54" spans="1:6">
      <c r="A54" s="1310" t="s">
        <v>45</v>
      </c>
      <c r="B54" s="1310" t="s">
        <v>46</v>
      </c>
      <c r="C54" s="1311">
        <v>0</v>
      </c>
      <c r="D54" s="1311">
        <v>0</v>
      </c>
      <c r="E54" s="1311">
        <v>1</v>
      </c>
      <c r="F54" s="1311">
        <v>1697384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64</v>
      </c>
      <c r="D57" s="1311">
        <v>1552930.37484917</v>
      </c>
      <c r="E57" s="1311">
        <v>149</v>
      </c>
      <c r="F57" s="1311">
        <v>2091199.2678864601</v>
      </c>
    </row>
    <row r="58" spans="1:6">
      <c r="A58" s="1310" t="s">
        <v>48</v>
      </c>
      <c r="B58" s="1310" t="s">
        <v>50</v>
      </c>
      <c r="C58" s="1311">
        <v>45</v>
      </c>
      <c r="D58" s="1311">
        <v>13475389.2149505</v>
      </c>
      <c r="E58" s="1311">
        <v>76</v>
      </c>
      <c r="F58" s="1311">
        <v>11199479.9399324</v>
      </c>
    </row>
    <row r="59" spans="1:6">
      <c r="A59" s="1310" t="s">
        <v>48</v>
      </c>
      <c r="B59" s="1310" t="s">
        <v>51</v>
      </c>
      <c r="C59" s="1311">
        <v>196</v>
      </c>
      <c r="D59" s="1311">
        <v>7872558.2789715398</v>
      </c>
      <c r="E59" s="1311">
        <v>399</v>
      </c>
      <c r="F59" s="1311">
        <v>15126870.9838464</v>
      </c>
    </row>
    <row r="60" spans="1:6">
      <c r="A60" s="1310" t="s">
        <v>48</v>
      </c>
      <c r="B60" s="1310" t="s">
        <v>52</v>
      </c>
      <c r="C60" s="1311">
        <v>117</v>
      </c>
      <c r="D60" s="1311">
        <v>3949724.43447157</v>
      </c>
      <c r="E60" s="1311">
        <v>162</v>
      </c>
      <c r="F60" s="1311">
        <v>3453523.0941064102</v>
      </c>
    </row>
    <row r="61" spans="1:6">
      <c r="A61" s="1310" t="s">
        <v>48</v>
      </c>
      <c r="B61" s="1310" t="s">
        <v>53</v>
      </c>
      <c r="C61" s="1311">
        <v>256</v>
      </c>
      <c r="D61" s="1311">
        <v>14491499.8178882</v>
      </c>
      <c r="E61" s="1311">
        <v>577</v>
      </c>
      <c r="F61" s="1311">
        <v>6170893.8932924503</v>
      </c>
    </row>
    <row r="62" spans="1:6">
      <c r="A62" s="1310" t="s">
        <v>48</v>
      </c>
      <c r="B62" s="1310" t="s">
        <v>54</v>
      </c>
      <c r="C62" s="1311">
        <v>35</v>
      </c>
      <c r="D62" s="1311">
        <v>5694548.6032822998</v>
      </c>
      <c r="E62" s="1311">
        <v>39</v>
      </c>
      <c r="F62" s="1311">
        <v>1239629.8131971899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156754.57905527201</v>
      </c>
      <c r="E65" s="1311">
        <v>0</v>
      </c>
      <c r="F65" s="1311">
        <v>0</v>
      </c>
    </row>
    <row r="66" spans="1:6">
      <c r="A66" s="1310" t="s">
        <v>55</v>
      </c>
      <c r="B66" s="1310" t="s">
        <v>57</v>
      </c>
      <c r="C66" s="1311">
        <v>0</v>
      </c>
      <c r="D66" s="1311">
        <v>0</v>
      </c>
      <c r="E66" s="1311">
        <v>14</v>
      </c>
      <c r="F66" s="1311">
        <v>237715</v>
      </c>
    </row>
    <row r="67" spans="1:6">
      <c r="A67" s="1312" t="s">
        <v>55</v>
      </c>
      <c r="B67" s="1312" t="s">
        <v>58</v>
      </c>
      <c r="C67" s="1311">
        <v>0</v>
      </c>
      <c r="D67" s="1311">
        <v>0</v>
      </c>
      <c r="E67" s="1311">
        <v>0</v>
      </c>
      <c r="F67" s="1311">
        <v>0</v>
      </c>
    </row>
    <row r="68" spans="1:6">
      <c r="A68" s="1305" t="s">
        <v>55</v>
      </c>
      <c r="B68" s="1305" t="s">
        <v>59</v>
      </c>
      <c r="C68" s="1314">
        <v>4</v>
      </c>
      <c r="D68" s="1314">
        <v>95551.324308814204</v>
      </c>
      <c r="E68" s="1314">
        <v>15</v>
      </c>
      <c r="F68" s="1314">
        <v>99031.7116781238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94322380</v>
      </c>
      <c r="E73" s="453"/>
      <c r="F73" s="332"/>
    </row>
    <row r="74" spans="1:6">
      <c r="A74" s="1310" t="s">
        <v>63</v>
      </c>
      <c r="B74" s="1310" t="s">
        <v>648</v>
      </c>
      <c r="C74" s="1324" t="s">
        <v>650</v>
      </c>
      <c r="D74" s="1325">
        <v>8683800.4161642287</v>
      </c>
      <c r="E74" s="453"/>
      <c r="F74" s="332"/>
    </row>
    <row r="75" spans="1:6">
      <c r="A75" s="1310" t="s">
        <v>64</v>
      </c>
      <c r="B75" s="1310" t="s">
        <v>647</v>
      </c>
      <c r="C75" s="1324" t="s">
        <v>651</v>
      </c>
      <c r="D75" s="1325">
        <v>44184440</v>
      </c>
      <c r="E75" s="453"/>
      <c r="F75" s="332"/>
    </row>
    <row r="76" spans="1:6">
      <c r="A76" s="1310" t="s">
        <v>64</v>
      </c>
      <c r="B76" s="1310" t="s">
        <v>648</v>
      </c>
      <c r="C76" s="1324" t="s">
        <v>652</v>
      </c>
      <c r="D76" s="1325">
        <v>1919555.4161642289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595087.16767154203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6.62668586078712</v>
      </c>
      <c r="C89" s="332"/>
      <c r="D89" s="332"/>
      <c r="E89" s="332"/>
      <c r="F89" s="332"/>
    </row>
    <row r="90" spans="1:6">
      <c r="A90" s="1310" t="s">
        <v>540</v>
      </c>
      <c r="B90" s="1311">
        <v>0</v>
      </c>
      <c r="C90" s="332"/>
      <c r="D90" s="332"/>
      <c r="E90" s="332"/>
      <c r="F90" s="332"/>
    </row>
    <row r="91" spans="1:6">
      <c r="A91" s="1310" t="s">
        <v>67</v>
      </c>
      <c r="B91" s="1311">
        <v>7004.4856799652507</v>
      </c>
      <c r="C91" s="332"/>
      <c r="D91" s="332"/>
      <c r="E91" s="332"/>
      <c r="F91" s="332"/>
    </row>
    <row r="92" spans="1:6">
      <c r="A92" s="1305" t="s">
        <v>68</v>
      </c>
      <c r="B92" s="1306">
        <v>2879.7253067730353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2429</v>
      </c>
      <c r="C97" s="332"/>
      <c r="D97" s="332"/>
      <c r="E97" s="332"/>
      <c r="F97" s="332"/>
    </row>
    <row r="98" spans="1:6">
      <c r="A98" s="1310" t="s">
        <v>71</v>
      </c>
      <c r="B98" s="1311">
        <v>2</v>
      </c>
      <c r="C98" s="332"/>
      <c r="D98" s="332"/>
      <c r="E98" s="332"/>
      <c r="F98" s="332"/>
    </row>
    <row r="99" spans="1:6">
      <c r="A99" s="1310" t="s">
        <v>72</v>
      </c>
      <c r="B99" s="1311">
        <v>185</v>
      </c>
      <c r="C99" s="332"/>
      <c r="D99" s="332"/>
      <c r="E99" s="332"/>
      <c r="F99" s="332"/>
    </row>
    <row r="100" spans="1:6">
      <c r="A100" s="1310" t="s">
        <v>73</v>
      </c>
      <c r="B100" s="1311">
        <v>1198</v>
      </c>
      <c r="C100" s="332"/>
      <c r="D100" s="332"/>
      <c r="E100" s="332"/>
      <c r="F100" s="332"/>
    </row>
    <row r="101" spans="1:6">
      <c r="A101" s="1310" t="s">
        <v>74</v>
      </c>
      <c r="B101" s="1311">
        <v>135</v>
      </c>
      <c r="C101" s="332"/>
      <c r="D101" s="332"/>
      <c r="E101" s="332"/>
      <c r="F101" s="332"/>
    </row>
    <row r="102" spans="1:6">
      <c r="A102" s="1310" t="s">
        <v>75</v>
      </c>
      <c r="B102" s="1311">
        <v>179</v>
      </c>
      <c r="C102" s="332"/>
      <c r="D102" s="332"/>
      <c r="E102" s="332"/>
      <c r="F102" s="332"/>
    </row>
    <row r="103" spans="1:6">
      <c r="A103" s="1310" t="s">
        <v>76</v>
      </c>
      <c r="B103" s="1311">
        <v>534</v>
      </c>
      <c r="C103" s="332"/>
      <c r="D103" s="332"/>
      <c r="E103" s="332"/>
      <c r="F103" s="332"/>
    </row>
    <row r="104" spans="1:6">
      <c r="A104" s="1310" t="s">
        <v>77</v>
      </c>
      <c r="B104" s="1311">
        <v>5137</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65</v>
      </c>
      <c r="C123" s="1311">
        <v>102</v>
      </c>
      <c r="D123" s="332"/>
      <c r="E123" s="332"/>
      <c r="F123" s="332"/>
    </row>
    <row r="124" spans="1:6" s="43" customFormat="1">
      <c r="A124" s="1312" t="s">
        <v>88</v>
      </c>
      <c r="B124" s="1333">
        <v>0</v>
      </c>
      <c r="C124" s="1333">
        <v>3</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303</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53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127813.08361879211</v>
      </c>
      <c r="C3" s="43" t="s">
        <v>169</v>
      </c>
      <c r="D3" s="43"/>
      <c r="E3" s="154"/>
      <c r="F3" s="43"/>
      <c r="G3" s="43"/>
      <c r="H3" s="43"/>
      <c r="I3" s="43"/>
      <c r="J3" s="43"/>
      <c r="K3" s="96"/>
    </row>
    <row r="4" spans="1:11">
      <c r="A4" s="360" t="s">
        <v>170</v>
      </c>
      <c r="B4" s="49">
        <f>IF(ISERROR('SEAP template'!B78+'SEAP template'!C78),0,'SEAP template'!B78+'SEAP template'!C78)</f>
        <v>11240.837672599073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320.82352941176475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0.2040737078319379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458.31932773109253</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1928.5714285714287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1697.384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1697.384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0.2040737078319379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346.3914464946061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43196.110028369905</v>
      </c>
      <c r="C5" s="17">
        <f>IF(ISERROR('Eigen informatie GS &amp; warmtenet'!B59),0,'Eigen informatie GS &amp; warmtenet'!B59)</f>
        <v>0</v>
      </c>
      <c r="D5" s="30">
        <f>(SUM(HH_hh_gas_kWh,HH_rest_gas_kWh)/1000)*0.903</f>
        <v>83310.184647634393</v>
      </c>
      <c r="E5" s="17">
        <f>B46*B57</f>
        <v>15190.048531576816</v>
      </c>
      <c r="F5" s="17">
        <f>B51*B62</f>
        <v>29992.2787580847</v>
      </c>
      <c r="G5" s="18"/>
      <c r="H5" s="17"/>
      <c r="I5" s="17"/>
      <c r="J5" s="17">
        <f>B50*B61+C50*C61</f>
        <v>1739.9999392704196</v>
      </c>
      <c r="K5" s="17"/>
      <c r="L5" s="17"/>
      <c r="M5" s="17"/>
      <c r="N5" s="17">
        <f>B48*B59+C48*C59</f>
        <v>20776.483500155035</v>
      </c>
      <c r="O5" s="17">
        <f>B69*B70*B71</f>
        <v>809.45495350990905</v>
      </c>
      <c r="P5" s="17">
        <f>B77*B78*B79/1000-B77*B78*B79/1000/B80</f>
        <v>1243.0071983068328</v>
      </c>
    </row>
    <row r="6" spans="1:16">
      <c r="A6" s="16" t="s">
        <v>612</v>
      </c>
      <c r="B6" s="786">
        <f>kWh_PV_kleiner_dan_10kW</f>
        <v>7004.4856799652507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50200.595708335153</v>
      </c>
      <c r="C8" s="21">
        <f>C5</f>
        <v>0</v>
      </c>
      <c r="D8" s="21">
        <f>D5</f>
        <v>83310.184647634393</v>
      </c>
      <c r="E8" s="21">
        <f>E5</f>
        <v>15190.048531576816</v>
      </c>
      <c r="F8" s="21">
        <f>F5</f>
        <v>29992.2787580847</v>
      </c>
      <c r="G8" s="21"/>
      <c r="H8" s="21"/>
      <c r="I8" s="21"/>
      <c r="J8" s="21">
        <f>J5</f>
        <v>1739.9999392704196</v>
      </c>
      <c r="K8" s="21"/>
      <c r="L8" s="21">
        <f>L5</f>
        <v>0</v>
      </c>
      <c r="M8" s="21">
        <f>M5</f>
        <v>0</v>
      </c>
      <c r="N8" s="21">
        <f>N5</f>
        <v>20776.483500155035</v>
      </c>
      <c r="O8" s="21">
        <f>O5</f>
        <v>809.45495350990905</v>
      </c>
      <c r="P8" s="21">
        <f>P5</f>
        <v>1243.0071983068328</v>
      </c>
    </row>
    <row r="9" spans="1:16">
      <c r="B9" s="19"/>
      <c r="C9" s="19"/>
      <c r="D9" s="258"/>
      <c r="E9" s="19"/>
      <c r="F9" s="19"/>
      <c r="G9" s="19"/>
      <c r="H9" s="19"/>
      <c r="I9" s="19"/>
      <c r="J9" s="19"/>
      <c r="K9" s="19"/>
      <c r="L9" s="19"/>
      <c r="M9" s="19"/>
      <c r="N9" s="19"/>
      <c r="O9" s="19"/>
      <c r="P9" s="19"/>
    </row>
    <row r="10" spans="1:16">
      <c r="A10" s="24" t="s">
        <v>213</v>
      </c>
      <c r="B10" s="25">
        <f ca="1">'EF ele_warmte'!B12</f>
        <v>0.2040737078319379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10244.621701572023</v>
      </c>
      <c r="C12" s="23">
        <f ca="1">C10*C8</f>
        <v>0</v>
      </c>
      <c r="D12" s="23">
        <f>D8*D10</f>
        <v>16828.657298822149</v>
      </c>
      <c r="E12" s="23">
        <f>E10*E8</f>
        <v>3448.1410166679375</v>
      </c>
      <c r="F12" s="23">
        <f>F10*F8</f>
        <v>8007.9384284086154</v>
      </c>
      <c r="G12" s="23"/>
      <c r="H12" s="23"/>
      <c r="I12" s="23"/>
      <c r="J12" s="23">
        <f>J10*J8</f>
        <v>615.95997850172853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11684</v>
      </c>
      <c r="C28" s="36"/>
      <c r="D28" s="228"/>
    </row>
    <row r="29" spans="1:7" s="15" customFormat="1">
      <c r="A29" s="230" t="s">
        <v>839</v>
      </c>
      <c r="B29" s="37">
        <f>SUM(HH_hh_gas_aantal,HH_rest_gas_aantal)</f>
        <v>6530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6530</v>
      </c>
      <c r="C32" s="167">
        <f>IF(ISERROR(B32/SUM($B$32,$B$34,$B$35,$B$36,$B$38,$B$39)*100),0,B32/SUM($B$32,$B$34,$B$35,$B$36,$B$38,$B$39)*100)</f>
        <v>56.458585509251257</v>
      </c>
      <c r="D32" s="233"/>
      <c r="G32" s="15"/>
    </row>
    <row r="33" spans="1:7">
      <c r="A33" s="171" t="s">
        <v>71</v>
      </c>
      <c r="B33" s="34" t="s">
        <v>110</v>
      </c>
      <c r="C33" s="167"/>
      <c r="D33" s="233"/>
      <c r="G33" s="15"/>
    </row>
    <row r="34" spans="1:7">
      <c r="A34" s="171" t="s">
        <v>72</v>
      </c>
      <c r="B34" s="33">
        <f>IF((($B$28-$B$32-$B$39-$B$77-$B$38)*C20/100)&lt;0,0,($B$28-$B$32-$B$39-$B$77-$B$38)*C20/100)</f>
        <v>422.40447957839257</v>
      </c>
      <c r="C34" s="167">
        <f>IF(ISERROR(B34/SUM($B$32,$B$34,$B$35,$B$36,$B$38,$B$39)*100),0,B34/SUM($B$32,$B$34,$B$35,$B$36,$B$38,$B$39)*100)</f>
        <v>3.6521224241604062</v>
      </c>
      <c r="D34" s="233"/>
      <c r="G34" s="15"/>
    </row>
    <row r="35" spans="1:7">
      <c r="A35" s="171" t="s">
        <v>73</v>
      </c>
      <c r="B35" s="33">
        <f>IF((($B$28-$B$32-$B$39-$B$77-$B$38)*C21/100)&lt;0,0,($B$28-$B$32-$B$39-$B$77-$B$38)*C21/100)</f>
        <v>2735.35441370224</v>
      </c>
      <c r="C35" s="167">
        <f>IF(ISERROR(B35/SUM($B$32,$B$34,$B$35,$B$36,$B$38,$B$39)*100),0,B35/SUM($B$32,$B$34,$B$35,$B$36,$B$38,$B$39)*100)</f>
        <v>23.64996034672523</v>
      </c>
      <c r="D35" s="233"/>
      <c r="G35" s="15"/>
    </row>
    <row r="36" spans="1:7">
      <c r="A36" s="171" t="s">
        <v>74</v>
      </c>
      <c r="B36" s="33">
        <f>IF((($B$28-$B$32-$B$39-$B$77-$B$38)*C22/100)&lt;0,0,($B$28-$B$32-$B$39-$B$77-$B$38)*C22/100)</f>
        <v>308.24110671936756</v>
      </c>
      <c r="C36" s="167">
        <f>IF(ISERROR(B36/SUM($B$32,$B$34,$B$35,$B$36,$B$38,$B$39)*100),0,B36/SUM($B$32,$B$34,$B$35,$B$36,$B$38,$B$39)*100)</f>
        <v>2.6650623095224586</v>
      </c>
      <c r="D36" s="233"/>
      <c r="G36" s="15"/>
    </row>
    <row r="37" spans="1:7">
      <c r="A37" s="171" t="s">
        <v>75</v>
      </c>
      <c r="B37" s="34" t="s">
        <v>110</v>
      </c>
      <c r="C37" s="167"/>
      <c r="D37" s="173"/>
      <c r="G37" s="15"/>
    </row>
    <row r="38" spans="1:7">
      <c r="A38" s="171" t="s">
        <v>76</v>
      </c>
      <c r="B38" s="33">
        <f>IF((B24-(B29-B18)*0.1)&lt;0,0,B24-(B29-B18)*0.1)</f>
        <v>123.89999999999998</v>
      </c>
      <c r="C38" s="167">
        <f>IF(ISERROR(B38/SUM($B$32,$B$34,$B$35,$B$36,$B$38,$B$39)*100),0,B38/SUM($B$32,$B$34,$B$35,$B$36,$B$38,$B$39)*100)</f>
        <v>1.0712432993256094</v>
      </c>
      <c r="D38" s="234"/>
      <c r="G38" s="15"/>
    </row>
    <row r="39" spans="1:7">
      <c r="A39" s="171" t="s">
        <v>77</v>
      </c>
      <c r="B39" s="33">
        <f>IF((B25-(B29-B18))&lt;0,0,B25-(B29-B18)*0.9)</f>
        <v>1446.1</v>
      </c>
      <c r="C39" s="167">
        <f>IF(ISERROR(B39/SUM($B$32,$B$34,$B$35,$B$36,$B$38,$B$39)*100),0,B39/SUM($B$32,$B$34,$B$35,$B$36,$B$38,$B$39)*100)</f>
        <v>12.503026111015043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6530</v>
      </c>
      <c r="C44" s="34" t="s">
        <v>110</v>
      </c>
      <c r="D44" s="174"/>
    </row>
    <row r="45" spans="1:7">
      <c r="A45" s="171" t="s">
        <v>71</v>
      </c>
      <c r="B45" s="33" t="str">
        <f t="shared" si="0"/>
        <v>-</v>
      </c>
      <c r="C45" s="34" t="s">
        <v>110</v>
      </c>
      <c r="D45" s="174"/>
    </row>
    <row r="46" spans="1:7">
      <c r="A46" s="171" t="s">
        <v>72</v>
      </c>
      <c r="B46" s="33">
        <f t="shared" si="0"/>
        <v>422.40447957839257</v>
      </c>
      <c r="C46" s="34" t="s">
        <v>110</v>
      </c>
      <c r="D46" s="174"/>
    </row>
    <row r="47" spans="1:7">
      <c r="A47" s="171" t="s">
        <v>73</v>
      </c>
      <c r="B47" s="33">
        <f t="shared" si="0"/>
        <v>2735.35441370224</v>
      </c>
      <c r="C47" s="34" t="s">
        <v>110</v>
      </c>
      <c r="D47" s="174"/>
    </row>
    <row r="48" spans="1:7">
      <c r="A48" s="171" t="s">
        <v>74</v>
      </c>
      <c r="B48" s="33">
        <f t="shared" si="0"/>
        <v>308.24110671936756</v>
      </c>
      <c r="C48" s="33">
        <f>B48*10</f>
        <v>3082.4110671936755</v>
      </c>
      <c r="D48" s="234"/>
    </row>
    <row r="49" spans="1:6">
      <c r="A49" s="171" t="s">
        <v>75</v>
      </c>
      <c r="B49" s="33" t="str">
        <f t="shared" si="0"/>
        <v>-</v>
      </c>
      <c r="C49" s="34" t="s">
        <v>110</v>
      </c>
      <c r="D49" s="234"/>
    </row>
    <row r="50" spans="1:6">
      <c r="A50" s="171" t="s">
        <v>76</v>
      </c>
      <c r="B50" s="33">
        <f t="shared" si="0"/>
        <v>123.89999999999998</v>
      </c>
      <c r="C50" s="33">
        <f>B50*2</f>
        <v>247.79999999999995</v>
      </c>
      <c r="D50" s="234"/>
    </row>
    <row r="51" spans="1:6">
      <c r="A51" s="171" t="s">
        <v>77</v>
      </c>
      <c r="B51" s="33">
        <f t="shared" si="0"/>
        <v>1446.1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408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39281.596992261322</v>
      </c>
      <c r="C5" s="17">
        <f>IF(ISERROR('Eigen informatie GS &amp; warmtenet'!B60),0,'Eigen informatie GS &amp; warmtenet'!B60)</f>
        <v>0</v>
      </c>
      <c r="D5" s="30">
        <f>SUM(D6:D12)</f>
        <v>42474.095604145186</v>
      </c>
      <c r="E5" s="17">
        <f>SUM(E6:E12)</f>
        <v>84.591672752099882</v>
      </c>
      <c r="F5" s="17">
        <f>SUM(F6:F12)</f>
        <v>5015.1810260398024</v>
      </c>
      <c r="G5" s="18"/>
      <c r="H5" s="17"/>
      <c r="I5" s="17"/>
      <c r="J5" s="17">
        <f>SUM(J6:J12)</f>
        <v>2.065230777776535E-2</v>
      </c>
      <c r="K5" s="17"/>
      <c r="L5" s="17"/>
      <c r="M5" s="17"/>
      <c r="N5" s="17">
        <f>SUM(N6:N12)</f>
        <v>842.11399783703916</v>
      </c>
      <c r="O5" s="17">
        <f>B38*B39*B40</f>
        <v>4.8972607658411542</v>
      </c>
      <c r="P5" s="17">
        <f>B46*B47*B48/1000-B46*B47*B48/1000/B49</f>
        <v>210.15655322598008</v>
      </c>
      <c r="R5" s="32"/>
    </row>
    <row r="6" spans="1:18">
      <c r="A6" s="32" t="s">
        <v>53</v>
      </c>
      <c r="B6" s="37">
        <f>B26</f>
        <v>6170.8938932924502</v>
      </c>
      <c r="C6" s="33"/>
      <c r="D6" s="37">
        <f>IF(ISERROR(TER_kantoor_gas_kWh/1000),0,TER_kantoor_gas_kWh/1000)*0.903</f>
        <v>13085.824335553045</v>
      </c>
      <c r="E6" s="33">
        <f>$C$26*'E Balans VL '!I12/100/3.6*1000000</f>
        <v>1.4783994970359133</v>
      </c>
      <c r="F6" s="33">
        <f>$C$26*('E Balans VL '!L12+'E Balans VL '!N12)/100/3.6*1000000</f>
        <v>585.17861999242291</v>
      </c>
      <c r="G6" s="34"/>
      <c r="H6" s="33"/>
      <c r="I6" s="33"/>
      <c r="J6" s="33">
        <f>$C$26*('E Balans VL '!D12+'E Balans VL '!E12)/100/3.6*1000000</f>
        <v>0</v>
      </c>
      <c r="K6" s="33"/>
      <c r="L6" s="33"/>
      <c r="M6" s="33"/>
      <c r="N6" s="33">
        <f>$C$26*'E Balans VL '!Y12/100/3.6*1000000</f>
        <v>3.1344949163538569</v>
      </c>
      <c r="O6" s="33"/>
      <c r="P6" s="33"/>
      <c r="R6" s="32"/>
    </row>
    <row r="7" spans="1:18">
      <c r="A7" s="32" t="s">
        <v>52</v>
      </c>
      <c r="B7" s="37">
        <f t="shared" ref="B7:B12" si="0">B27</f>
        <v>3453.5230941064101</v>
      </c>
      <c r="C7" s="33"/>
      <c r="D7" s="37">
        <f>IF(ISERROR(TER_horeca_gas_kWh/1000),0,TER_horeca_gas_kWh/1000)*0.903</f>
        <v>3566.601164327828</v>
      </c>
      <c r="E7" s="33">
        <f>$C$27*'E Balans VL '!I9/100/3.6*1000000</f>
        <v>0</v>
      </c>
      <c r="F7" s="33">
        <f>$C$27*('E Balans VL '!L9+'E Balans VL '!N9)/100/3.6*1000000</f>
        <v>283.18077555694668</v>
      </c>
      <c r="G7" s="34"/>
      <c r="H7" s="33"/>
      <c r="I7" s="33"/>
      <c r="J7" s="33">
        <f>$C$27*('E Balans VL '!D9+'E Balans VL '!E9)/100/3.6*1000000</f>
        <v>0</v>
      </c>
      <c r="K7" s="33"/>
      <c r="L7" s="33"/>
      <c r="M7" s="33"/>
      <c r="N7" s="33">
        <f>$C$27*'E Balans VL '!Y9/100/3.6*1000000</f>
        <v>1.0586435807263133</v>
      </c>
      <c r="O7" s="33"/>
      <c r="P7" s="33"/>
      <c r="R7" s="32"/>
    </row>
    <row r="8" spans="1:18">
      <c r="A8" s="6" t="s">
        <v>51</v>
      </c>
      <c r="B8" s="37">
        <f t="shared" si="0"/>
        <v>15126.8709838464</v>
      </c>
      <c r="C8" s="33"/>
      <c r="D8" s="37">
        <f>IF(ISERROR(TER_handel_gas_kWh/1000),0,TER_handel_gas_kWh/1000)*0.903</f>
        <v>7108.9201259113006</v>
      </c>
      <c r="E8" s="33">
        <f>$C$28*'E Balans VL '!I13/100/3.6*1000000</f>
        <v>53.16268386995511</v>
      </c>
      <c r="F8" s="33">
        <f>$C$28*('E Balans VL '!L13+'E Balans VL '!N13)/100/3.6*1000000</f>
        <v>1384.0815296968997</v>
      </c>
      <c r="G8" s="34"/>
      <c r="H8" s="33"/>
      <c r="I8" s="33"/>
      <c r="J8" s="33">
        <f>$C$28*('E Balans VL '!D13+'E Balans VL '!E13)/100/3.6*1000000</f>
        <v>0</v>
      </c>
      <c r="K8" s="33"/>
      <c r="L8" s="33"/>
      <c r="M8" s="33"/>
      <c r="N8" s="33">
        <f>$C$28*'E Balans VL '!Y13/100/3.6*1000000</f>
        <v>5.4783014341810352</v>
      </c>
      <c r="O8" s="33"/>
      <c r="P8" s="33"/>
      <c r="R8" s="32"/>
    </row>
    <row r="9" spans="1:18">
      <c r="A9" s="32" t="s">
        <v>50</v>
      </c>
      <c r="B9" s="37">
        <f t="shared" si="0"/>
        <v>11199.4799399324</v>
      </c>
      <c r="C9" s="33"/>
      <c r="D9" s="37">
        <f>IF(ISERROR(TER_gezond_gas_kWh/1000),0,TER_gezond_gas_kWh/1000)*0.903</f>
        <v>12168.276461100302</v>
      </c>
      <c r="E9" s="33">
        <f>$C$29*'E Balans VL '!I10/100/3.6*1000000</f>
        <v>0</v>
      </c>
      <c r="F9" s="33">
        <f>$C$29*('E Balans VL '!L10+'E Balans VL '!N10)/100/3.6*1000000</f>
        <v>1372.8505851648156</v>
      </c>
      <c r="G9" s="34"/>
      <c r="H9" s="33"/>
      <c r="I9" s="33"/>
      <c r="J9" s="33">
        <f>$C$29*('E Balans VL '!D10+'E Balans VL '!E10)/100/3.6*1000000</f>
        <v>0</v>
      </c>
      <c r="K9" s="33"/>
      <c r="L9" s="33"/>
      <c r="M9" s="33"/>
      <c r="N9" s="33">
        <f>$C$29*'E Balans VL '!Y10/100/3.6*1000000</f>
        <v>82.588360145252167</v>
      </c>
      <c r="O9" s="33"/>
      <c r="P9" s="33"/>
      <c r="R9" s="32"/>
    </row>
    <row r="10" spans="1:18">
      <c r="A10" s="32" t="s">
        <v>49</v>
      </c>
      <c r="B10" s="37">
        <f t="shared" si="0"/>
        <v>2091.1992678864599</v>
      </c>
      <c r="C10" s="33"/>
      <c r="D10" s="37">
        <f>IF(ISERROR(TER_ander_gas_kWh/1000),0,TER_ander_gas_kWh/1000)*0.903</f>
        <v>1402.2961284888006</v>
      </c>
      <c r="E10" s="33">
        <f>$C$30*'E Balans VL '!I14/100/3.6*1000000</f>
        <v>29.950589385108856</v>
      </c>
      <c r="F10" s="33">
        <f>$C$30*('E Balans VL '!L14+'E Balans VL '!N14)/100/3.6*1000000</f>
        <v>1244.9620284424459</v>
      </c>
      <c r="G10" s="34"/>
      <c r="H10" s="33"/>
      <c r="I10" s="33"/>
      <c r="J10" s="33">
        <f>$C$30*('E Balans VL '!D14+'E Balans VL '!E14)/100/3.6*1000000</f>
        <v>2.065230777776535E-2</v>
      </c>
      <c r="K10" s="33"/>
      <c r="L10" s="33"/>
      <c r="M10" s="33"/>
      <c r="N10" s="33">
        <f>$C$30*'E Balans VL '!Y14/100/3.6*1000000</f>
        <v>746.36354255476294</v>
      </c>
      <c r="O10" s="33"/>
      <c r="P10" s="33"/>
      <c r="R10" s="32"/>
    </row>
    <row r="11" spans="1:18">
      <c r="A11" s="32" t="s">
        <v>54</v>
      </c>
      <c r="B11" s="37">
        <f t="shared" si="0"/>
        <v>1239.6298131971898</v>
      </c>
      <c r="C11" s="33"/>
      <c r="D11" s="37">
        <f>IF(ISERROR(TER_onderwijs_gas_kWh/1000),0,TER_onderwijs_gas_kWh/1000)*0.903</f>
        <v>5142.1773887639174</v>
      </c>
      <c r="E11" s="33">
        <f>$C$31*'E Balans VL '!I11/100/3.6*1000000</f>
        <v>0</v>
      </c>
      <c r="F11" s="33">
        <f>$C$31*('E Balans VL '!L11+'E Balans VL '!N11)/100/3.6*1000000</f>
        <v>144.92748718627178</v>
      </c>
      <c r="G11" s="34"/>
      <c r="H11" s="33"/>
      <c r="I11" s="33"/>
      <c r="J11" s="33">
        <f>$C$31*('E Balans VL '!D11+'E Balans VL '!E11)/100/3.6*1000000</f>
        <v>0</v>
      </c>
      <c r="K11" s="33"/>
      <c r="L11" s="33"/>
      <c r="M11" s="33"/>
      <c r="N11" s="33">
        <f>$C$31*'E Balans VL '!Y11/100/3.6*1000000</f>
        <v>3.4906552057628484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1350</v>
      </c>
      <c r="C13" s="247">
        <f ca="1">'lokale energieproductie'!O38+'lokale energieproductie'!O31</f>
        <v>1928.5714285714287</v>
      </c>
      <c r="D13" s="310">
        <f ca="1">('lokale energieproductie'!P31+'lokale energieproductie'!P38)*(-1)</f>
        <v>-3857.1428571428573</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40631.596992261322</v>
      </c>
      <c r="C16" s="21">
        <f t="shared" ca="1" si="1"/>
        <v>1928.5714285714287</v>
      </c>
      <c r="D16" s="21">
        <f t="shared" ca="1" si="1"/>
        <v>38616.952747002331</v>
      </c>
      <c r="E16" s="21">
        <f t="shared" si="1"/>
        <v>84.591672752099882</v>
      </c>
      <c r="F16" s="21">
        <f t="shared" ca="1" si="1"/>
        <v>5015.1810260398024</v>
      </c>
      <c r="G16" s="21">
        <f t="shared" si="1"/>
        <v>0</v>
      </c>
      <c r="H16" s="21">
        <f t="shared" si="1"/>
        <v>0</v>
      </c>
      <c r="I16" s="21">
        <f t="shared" si="1"/>
        <v>0</v>
      </c>
      <c r="J16" s="21">
        <f t="shared" si="1"/>
        <v>2.065230777776535E-2</v>
      </c>
      <c r="K16" s="21">
        <f t="shared" si="1"/>
        <v>0</v>
      </c>
      <c r="L16" s="21">
        <f t="shared" ca="1" si="1"/>
        <v>0</v>
      </c>
      <c r="M16" s="21">
        <f t="shared" si="1"/>
        <v>0</v>
      </c>
      <c r="N16" s="21">
        <f t="shared" ca="1" si="1"/>
        <v>842.11399783703916</v>
      </c>
      <c r="O16" s="21">
        <f>O5</f>
        <v>4.8972607658411542</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0.2040737078319379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8291.8406533437847</v>
      </c>
      <c r="C20" s="23">
        <f t="shared" ref="C20:P20" ca="1" si="2">C16*C18</f>
        <v>458.31932773109253</v>
      </c>
      <c r="D20" s="23">
        <f t="shared" ca="1" si="2"/>
        <v>7800.6244548944715</v>
      </c>
      <c r="E20" s="23">
        <f t="shared" si="2"/>
        <v>19.202309714726674</v>
      </c>
      <c r="F20" s="23">
        <f t="shared" ca="1" si="2"/>
        <v>1339.0533339526273</v>
      </c>
      <c r="G20" s="23">
        <f t="shared" si="2"/>
        <v>0</v>
      </c>
      <c r="H20" s="23">
        <f t="shared" si="2"/>
        <v>0</v>
      </c>
      <c r="I20" s="23">
        <f t="shared" si="2"/>
        <v>0</v>
      </c>
      <c r="J20" s="23">
        <f t="shared" si="2"/>
        <v>7.3109169533289338E-3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6170.8938932924502</v>
      </c>
      <c r="C26" s="39">
        <f>IF(ISERROR(B26*3.6/1000000/'E Balans VL '!Z12*100),0,B26*3.6/1000000/'E Balans VL '!Z12*100)</f>
        <v>0.17403554914524222</v>
      </c>
      <c r="D26" s="237" t="s">
        <v>702</v>
      </c>
      <c r="F26" s="6"/>
    </row>
    <row r="27" spans="1:18">
      <c r="A27" s="231" t="s">
        <v>52</v>
      </c>
      <c r="B27" s="33">
        <f>IF(ISERROR(TER_horeca_ele_kWh/1000),0,TER_horeca_ele_kWh/1000)</f>
        <v>3453.5230941064101</v>
      </c>
      <c r="C27" s="39">
        <f>IF(ISERROR(B27*3.6/1000000/'E Balans VL '!Z9*100),0,B27*3.6/1000000/'E Balans VL '!Z9*100)</f>
        <v>0.25603631201147181</v>
      </c>
      <c r="D27" s="237" t="s">
        <v>702</v>
      </c>
      <c r="F27" s="6"/>
    </row>
    <row r="28" spans="1:18">
      <c r="A28" s="171" t="s">
        <v>51</v>
      </c>
      <c r="B28" s="33">
        <f>IF(ISERROR(TER_handel_ele_kWh/1000),0,TER_handel_ele_kWh/1000)</f>
        <v>15126.8709838464</v>
      </c>
      <c r="C28" s="39">
        <f>IF(ISERROR(B28*3.6/1000000/'E Balans VL '!Z13*100),0,B28*3.6/1000000/'E Balans VL '!Z13*100)</f>
        <v>0.45316508919747411</v>
      </c>
      <c r="D28" s="237" t="s">
        <v>702</v>
      </c>
      <c r="F28" s="6"/>
    </row>
    <row r="29" spans="1:18">
      <c r="A29" s="231" t="s">
        <v>50</v>
      </c>
      <c r="B29" s="33">
        <f>IF(ISERROR(TER_gezond_ele_kWh/1000),0,TER_gezond_ele_kWh/1000)</f>
        <v>11199.4799399324</v>
      </c>
      <c r="C29" s="39">
        <f>IF(ISERROR(B29*3.6/1000000/'E Balans VL '!Z10*100),0,B29*3.6/1000000/'E Balans VL '!Z10*100)</f>
        <v>1.1074089660755326</v>
      </c>
      <c r="D29" s="237" t="s">
        <v>702</v>
      </c>
      <c r="F29" s="6"/>
    </row>
    <row r="30" spans="1:18">
      <c r="A30" s="231" t="s">
        <v>49</v>
      </c>
      <c r="B30" s="33">
        <f>IF(ISERROR(TER_ander_ele_kWh/1000),0,TER_ander_ele_kWh/1000)</f>
        <v>2091.1992678864599</v>
      </c>
      <c r="C30" s="39">
        <f>IF(ISERROR(B30*3.6/1000000/'E Balans VL '!Z14*100),0,B30*3.6/1000000/'E Balans VL '!Z14*100)</f>
        <v>8.458283048914135E-2</v>
      </c>
      <c r="D30" s="237" t="s">
        <v>702</v>
      </c>
      <c r="F30" s="6"/>
    </row>
    <row r="31" spans="1:18">
      <c r="A31" s="231" t="s">
        <v>54</v>
      </c>
      <c r="B31" s="33">
        <f>IF(ISERROR(TER_onderwijs_ele_kWh/1000),0,TER_onderwijs_ele_kWh/1000)</f>
        <v>1239.6298131971898</v>
      </c>
      <c r="C31" s="39">
        <f>IF(ISERROR(B31*3.6/1000000/'E Balans VL '!Z11*100),0,B31*3.6/1000000/'E Balans VL '!Z11*100)</f>
        <v>0.34058052444397069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32663.379421833673</v>
      </c>
      <c r="C5" s="17">
        <f>IF(ISERROR('Eigen informatie GS &amp; warmtenet'!B61),0,'Eigen informatie GS &amp; warmtenet'!B61)</f>
        <v>0</v>
      </c>
      <c r="D5" s="30">
        <f>SUM(D6:D15)</f>
        <v>9018.6200344039789</v>
      </c>
      <c r="E5" s="17">
        <f>SUM(E6:E15)</f>
        <v>80.336233988311577</v>
      </c>
      <c r="F5" s="17">
        <f>SUM(F6:F15)</f>
        <v>10587.439830686066</v>
      </c>
      <c r="G5" s="18"/>
      <c r="H5" s="17"/>
      <c r="I5" s="17"/>
      <c r="J5" s="17">
        <f>SUM(J6:J15)</f>
        <v>0.32722848150336997</v>
      </c>
      <c r="K5" s="17"/>
      <c r="L5" s="17"/>
      <c r="M5" s="17"/>
      <c r="N5" s="17">
        <f>SUM(N6:N15)</f>
        <v>1227.8327927469002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301.96341007498597</v>
      </c>
      <c r="C8" s="33"/>
      <c r="D8" s="37">
        <f>IF( ISERROR(IND_metaal_Gas_kWH/1000),0,IND_metaal_Gas_kWH/1000)*0.903</f>
        <v>402.42148646468956</v>
      </c>
      <c r="E8" s="33">
        <f>C30*'E Balans VL '!I18/100/3.6*1000000</f>
        <v>1.5225521999702882</v>
      </c>
      <c r="F8" s="33">
        <f>C30*'E Balans VL '!L18/100/3.6*1000000+C30*'E Balans VL '!N18/100/3.6*1000000</f>
        <v>20.630757223763549</v>
      </c>
      <c r="G8" s="34"/>
      <c r="H8" s="33"/>
      <c r="I8" s="33"/>
      <c r="J8" s="40">
        <f>C30*'E Balans VL '!D18/100/3.6*1000000+C30*'E Balans VL '!E18/100/3.6*1000000</f>
        <v>0.26771632084217895</v>
      </c>
      <c r="K8" s="33"/>
      <c r="L8" s="33"/>
      <c r="M8" s="33"/>
      <c r="N8" s="33">
        <f>C30*'E Balans VL '!Y18/100/3.6*1000000</f>
        <v>4.0130955119066618</v>
      </c>
      <c r="O8" s="33"/>
      <c r="P8" s="33"/>
      <c r="R8" s="32"/>
    </row>
    <row r="9" spans="1:18">
      <c r="A9" s="6" t="s">
        <v>32</v>
      </c>
      <c r="B9" s="37">
        <f t="shared" si="0"/>
        <v>16840.781347642998</v>
      </c>
      <c r="C9" s="33"/>
      <c r="D9" s="37">
        <f>IF( ISERROR(IND_andere_gas_kWh/1000),0,IND_andere_gas_kWh/1000)*0.903</f>
        <v>1989.9089360728258</v>
      </c>
      <c r="E9" s="33">
        <f>C31*'E Balans VL '!I19/100/3.6*1000000</f>
        <v>53.086123013702</v>
      </c>
      <c r="F9" s="33">
        <f>C31*'E Balans VL '!L19/100/3.6*1000000+C31*'E Balans VL '!N19/100/3.6*1000000</f>
        <v>10309.2180394645</v>
      </c>
      <c r="G9" s="34"/>
      <c r="H9" s="33"/>
      <c r="I9" s="33"/>
      <c r="J9" s="40">
        <f>C31*'E Balans VL '!D19/100/3.6*1000000+C31*'E Balans VL '!E19/100/3.6*1000000</f>
        <v>0</v>
      </c>
      <c r="K9" s="33"/>
      <c r="L9" s="33"/>
      <c r="M9" s="33"/>
      <c r="N9" s="33">
        <f>C31*'E Balans VL '!Y19/100/3.6*1000000</f>
        <v>706.15682867094279</v>
      </c>
      <c r="O9" s="33"/>
      <c r="P9" s="33"/>
      <c r="R9" s="32"/>
    </row>
    <row r="10" spans="1:18">
      <c r="A10" s="6" t="s">
        <v>40</v>
      </c>
      <c r="B10" s="37">
        <f t="shared" si="0"/>
        <v>14943.7331413754</v>
      </c>
      <c r="C10" s="33"/>
      <c r="D10" s="37">
        <f>IF( ISERROR(IND_voed_gas_kWh/1000),0,IND_voed_gas_kWh/1000)*0.903</f>
        <v>6144.3734594529133</v>
      </c>
      <c r="E10" s="33">
        <f>C32*'E Balans VL '!I20/100/3.6*1000000</f>
        <v>23.816113781431497</v>
      </c>
      <c r="F10" s="33">
        <f>C32*'E Balans VL '!L20/100/3.6*1000000+C32*'E Balans VL '!N20/100/3.6*1000000</f>
        <v>242.79936110451843</v>
      </c>
      <c r="G10" s="34"/>
      <c r="H10" s="33"/>
      <c r="I10" s="33"/>
      <c r="J10" s="40">
        <f>C32*'E Balans VL '!D20/100/3.6*1000000+C32*'E Balans VL '!E20/100/3.6*1000000</f>
        <v>0</v>
      </c>
      <c r="K10" s="33"/>
      <c r="L10" s="33"/>
      <c r="M10" s="33"/>
      <c r="N10" s="33">
        <f>C32*'E Balans VL '!Y20/100/3.6*1000000</f>
        <v>471.99772716583698</v>
      </c>
      <c r="O10" s="33"/>
      <c r="P10" s="33"/>
      <c r="R10" s="32"/>
    </row>
    <row r="11" spans="1:18">
      <c r="A11" s="6" t="s">
        <v>39</v>
      </c>
      <c r="B11" s="37">
        <f t="shared" si="0"/>
        <v>276.97298818502401</v>
      </c>
      <c r="C11" s="33"/>
      <c r="D11" s="37">
        <f>IF( ISERROR(IND_textiel_gas_kWh/1000),0,IND_textiel_gas_kWh/1000)*0.903</f>
        <v>0</v>
      </c>
      <c r="E11" s="33">
        <f>C33*'E Balans VL '!I21/100/3.6*1000000</f>
        <v>0.40183719495812309</v>
      </c>
      <c r="F11" s="33">
        <f>C33*'E Balans VL '!L21/100/3.6*1000000+C33*'E Balans VL '!N21/100/3.6*1000000</f>
        <v>5.4205393386791521</v>
      </c>
      <c r="G11" s="34"/>
      <c r="H11" s="33"/>
      <c r="I11" s="33"/>
      <c r="J11" s="40">
        <f>C33*'E Balans VL '!D21/100/3.6*1000000+C33*'E Balans VL '!E21/100/3.6*1000000</f>
        <v>0</v>
      </c>
      <c r="K11" s="33"/>
      <c r="L11" s="33"/>
      <c r="M11" s="33"/>
      <c r="N11" s="33">
        <f>C33*'E Balans VL '!Y21/100/3.6*1000000</f>
        <v>13.493495382253421</v>
      </c>
      <c r="O11" s="33"/>
      <c r="P11" s="33"/>
      <c r="R11" s="32"/>
    </row>
    <row r="12" spans="1:18">
      <c r="A12" s="6" t="s">
        <v>36</v>
      </c>
      <c r="B12" s="37">
        <f t="shared" si="0"/>
        <v>185.83182435697398</v>
      </c>
      <c r="C12" s="33"/>
      <c r="D12" s="37">
        <f>IF( ISERROR(IND_min_gas_kWh/1000),0,IND_min_gas_kWh/1000)*0.903</f>
        <v>184.83336454479959</v>
      </c>
      <c r="E12" s="33">
        <f>C34*'E Balans VL '!I22/100/3.6*1000000</f>
        <v>0.80414462432328304</v>
      </c>
      <c r="F12" s="33">
        <f>C34*'E Balans VL '!L22/100/3.6*1000000+C34*'E Balans VL '!N22/100/3.6*1000000</f>
        <v>7.0952884502068665</v>
      </c>
      <c r="G12" s="34"/>
      <c r="H12" s="33"/>
      <c r="I12" s="33"/>
      <c r="J12" s="40">
        <f>C34*'E Balans VL '!D22/100/3.6*1000000+C34*'E Balans VL '!E22/100/3.6*1000000</f>
        <v>0</v>
      </c>
      <c r="K12" s="33"/>
      <c r="L12" s="33"/>
      <c r="M12" s="33"/>
      <c r="N12" s="33">
        <f>C34*'E Balans VL '!Y22/100/3.6*1000000</f>
        <v>31.698723108458115</v>
      </c>
      <c r="O12" s="33"/>
      <c r="P12" s="33"/>
      <c r="R12" s="32"/>
    </row>
    <row r="13" spans="1:18">
      <c r="A13" s="6" t="s">
        <v>38</v>
      </c>
      <c r="B13" s="37">
        <f t="shared" si="0"/>
        <v>86.108565899361309</v>
      </c>
      <c r="C13" s="33"/>
      <c r="D13" s="37">
        <f>IF( ISERROR(IND_papier_gas_kWh/1000),0,IND_papier_gas_kWh/1000)*0.903</f>
        <v>239.92150798251151</v>
      </c>
      <c r="E13" s="33">
        <f>C35*'E Balans VL '!I23/100/3.6*1000000</f>
        <v>0</v>
      </c>
      <c r="F13" s="33">
        <f>C35*'E Balans VL '!L23/100/3.6*1000000+C35*'E Balans VL '!N23/100/3.6*1000000</f>
        <v>3.730623469246705E-3</v>
      </c>
      <c r="G13" s="34"/>
      <c r="H13" s="33"/>
      <c r="I13" s="33"/>
      <c r="J13" s="40">
        <f>C35*'E Balans VL '!D23/100/3.6*1000000+C35*'E Balans VL '!E23/100/3.6*1000000</f>
        <v>2.3727016648425869E-3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27.988144298927001</v>
      </c>
      <c r="C15" s="33"/>
      <c r="D15" s="37">
        <f>IF( ISERROR(IND_rest_gas_kWh/1000),0,IND_rest_gas_kWh/1000)*0.903</f>
        <v>57.161279886239285</v>
      </c>
      <c r="E15" s="33">
        <f>C37*'E Balans VL '!I15/100/3.6*1000000</f>
        <v>0.70546317392639413</v>
      </c>
      <c r="F15" s="33">
        <f>C37*'E Balans VL '!L15/100/3.6*1000000+C37*'E Balans VL '!N15/100/3.6*1000000</f>
        <v>2.272114480926636</v>
      </c>
      <c r="G15" s="34"/>
      <c r="H15" s="33"/>
      <c r="I15" s="33"/>
      <c r="J15" s="40">
        <f>C37*'E Balans VL '!D15/100/3.6*1000000+C37*'E Balans VL '!E15/100/3.6*1000000</f>
        <v>5.7139458996348404E-2</v>
      </c>
      <c r="K15" s="33"/>
      <c r="L15" s="33"/>
      <c r="M15" s="33"/>
      <c r="N15" s="33">
        <f>C37*'E Balans VL '!Y15/100/3.6*1000000</f>
        <v>0.47292290750213928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32663.379421833673</v>
      </c>
      <c r="C18" s="21">
        <f>C5+C16</f>
        <v>0</v>
      </c>
      <c r="D18" s="21">
        <f>MAX((D5+D16),0)</f>
        <v>9018.6200344039789</v>
      </c>
      <c r="E18" s="21">
        <f>MAX((E5+E16),0)</f>
        <v>80.336233988311577</v>
      </c>
      <c r="F18" s="21">
        <f>MAX((F5+F16),0)</f>
        <v>10587.439830686066</v>
      </c>
      <c r="G18" s="21"/>
      <c r="H18" s="21"/>
      <c r="I18" s="21"/>
      <c r="J18" s="21">
        <f>MAX((J5+J16),0)</f>
        <v>0.32722848150336997</v>
      </c>
      <c r="K18" s="21"/>
      <c r="L18" s="21">
        <f>MAX((L5+L16),0)</f>
        <v>0</v>
      </c>
      <c r="M18" s="21"/>
      <c r="N18" s="21">
        <f>MAX((N5+N16),0)</f>
        <v>1227.8327927469002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0.2040737078319379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6665.7369489350176</v>
      </c>
      <c r="C22" s="23">
        <f ca="1">C18*C20</f>
        <v>0</v>
      </c>
      <c r="D22" s="23">
        <f>D18*D20</f>
        <v>1821.7612469496039</v>
      </c>
      <c r="E22" s="23">
        <f>E18*E20</f>
        <v>18.236325115346727</v>
      </c>
      <c r="F22" s="23">
        <f>F18*F20</f>
        <v>2826.8464347931799</v>
      </c>
      <c r="G22" s="23"/>
      <c r="H22" s="23"/>
      <c r="I22" s="23"/>
      <c r="J22" s="23">
        <f>J18*J20</f>
        <v>0.11583888245219297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301.96341007498597</v>
      </c>
      <c r="C30" s="39">
        <f>IF(ISERROR(B30*3.6/1000000/'E Balans VL '!Z18*100),0,B30*3.6/1000000/'E Balans VL '!Z18*100)</f>
        <v>1.4988783126467205E-2</v>
      </c>
      <c r="D30" s="237" t="s">
        <v>702</v>
      </c>
    </row>
    <row r="31" spans="1:18">
      <c r="A31" s="6" t="s">
        <v>32</v>
      </c>
      <c r="B31" s="37">
        <f>IF( ISERROR(IND_ander_ele_kWh/1000),0,IND_ander_ele_kWh/1000)</f>
        <v>16840.781347642998</v>
      </c>
      <c r="C31" s="39">
        <f>IF(ISERROR(B31*3.6/1000000/'E Balans VL '!Z19*100),0,B31*3.6/1000000/'E Balans VL '!Z19*100)</f>
        <v>0.56829007297966616</v>
      </c>
      <c r="D31" s="237" t="s">
        <v>702</v>
      </c>
    </row>
    <row r="32" spans="1:18">
      <c r="A32" s="171" t="s">
        <v>40</v>
      </c>
      <c r="B32" s="37">
        <f>IF( ISERROR(IND_voed_ele_kWh/1000),0,IND_voed_ele_kWh/1000)</f>
        <v>14943.7331413754</v>
      </c>
      <c r="C32" s="39">
        <f>IF(ISERROR(B32*3.6/1000000/'E Balans VL '!Z20*100),0,B32*3.6/1000000/'E Balans VL '!Z20*100)</f>
        <v>0.3509433076803084</v>
      </c>
      <c r="D32" s="237" t="s">
        <v>702</v>
      </c>
    </row>
    <row r="33" spans="1:5">
      <c r="A33" s="171" t="s">
        <v>39</v>
      </c>
      <c r="B33" s="37">
        <f>IF( ISERROR(IND_textiel_ele_kWh/1000),0,IND_textiel_ele_kWh/1000)</f>
        <v>276.97298818502401</v>
      </c>
      <c r="C33" s="39">
        <f>IF(ISERROR(B33*3.6/1000000/'E Balans VL '!Z21*100),0,B33*3.6/1000000/'E Balans VL '!Z21*100)</f>
        <v>3.0397434373802126E-2</v>
      </c>
      <c r="D33" s="237" t="s">
        <v>702</v>
      </c>
    </row>
    <row r="34" spans="1:5">
      <c r="A34" s="171" t="s">
        <v>36</v>
      </c>
      <c r="B34" s="37">
        <f>IF( ISERROR(IND_min_ele_kWh/1000),0,IND_min_ele_kWh/1000)</f>
        <v>185.83182435697398</v>
      </c>
      <c r="C34" s="39">
        <f>IF(ISERROR(B34*3.6/1000000/'E Balans VL '!Z22*100),0,B34*3.6/1000000/'E Balans VL '!Z22*100)</f>
        <v>2.6364101884062414E-2</v>
      </c>
      <c r="D34" s="237" t="s">
        <v>702</v>
      </c>
    </row>
    <row r="35" spans="1:5">
      <c r="A35" s="171" t="s">
        <v>38</v>
      </c>
      <c r="B35" s="37">
        <f>IF( ISERROR(IND_papier_ele_kWh/1000),0,IND_papier_ele_kWh/1000)</f>
        <v>86.108565899361309</v>
      </c>
      <c r="C35" s="39">
        <f>IF(ISERROR(B35*3.6/1000000/'E Balans VL '!Z22*100),0,B35*3.6/1000000/'E Balans VL '!Z22*100)</f>
        <v>1.2216287561706153E-2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27.988144298927001</v>
      </c>
      <c r="C37" s="39">
        <f>IF(ISERROR(B37*3.6/1000000/'E Balans VL '!Z15*100),0,B37*3.6/1000000/'E Balans VL '!Z15*100)</f>
        <v>1.0488638808930991E-4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1066.5794375094201</v>
      </c>
      <c r="C5" s="17">
        <f>'Eigen informatie GS &amp; warmtenet'!B62</f>
        <v>0</v>
      </c>
      <c r="D5" s="30">
        <f>IF(ISERROR(SUM(LB_lb_gas_kWh,LB_rest_gas_kWh)/1000),0,SUM(LB_lb_gas_kWh,LB_rest_gas_kWh)/1000)*0.903</f>
        <v>156.38865174179415</v>
      </c>
      <c r="E5" s="17">
        <f>B17*'E Balans VL '!I25/3.6*1000000/100</f>
        <v>39.776009658497358</v>
      </c>
      <c r="F5" s="17">
        <f>B17*('E Balans VL '!L25/3.6*1000000+'E Balans VL '!N25/3.6*1000000)/100</f>
        <v>3460.3958377984036</v>
      </c>
      <c r="G5" s="18"/>
      <c r="H5" s="17"/>
      <c r="I5" s="17"/>
      <c r="J5" s="17">
        <f>('E Balans VL '!D25+'E Balans VL '!E25)/3.6*1000000*landbouw!B17/100</f>
        <v>279.98236794985633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1066.5794375094201</v>
      </c>
      <c r="C8" s="21">
        <f>C5+C6</f>
        <v>0</v>
      </c>
      <c r="D8" s="21">
        <f>MAX((D5+D6),0)</f>
        <v>156.38865174179415</v>
      </c>
      <c r="E8" s="21">
        <f>MAX((E5+E6),0)</f>
        <v>39.776009658497358</v>
      </c>
      <c r="F8" s="21">
        <f>MAX((F5+F6),0)</f>
        <v>3460.3958377984036</v>
      </c>
      <c r="G8" s="21"/>
      <c r="H8" s="21"/>
      <c r="I8" s="21"/>
      <c r="J8" s="21">
        <f>MAX((J5+J6),0)</f>
        <v>279.98236794985633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0.2040737078319379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217.66082050985008</v>
      </c>
      <c r="C12" s="23">
        <f ca="1">C8*C10</f>
        <v>0</v>
      </c>
      <c r="D12" s="23">
        <f>D8*D10</f>
        <v>31.590507651842419</v>
      </c>
      <c r="E12" s="23">
        <f>E8*E10</f>
        <v>9.0291541924789005</v>
      </c>
      <c r="F12" s="23">
        <f>F8*F10</f>
        <v>923.92568869217382</v>
      </c>
      <c r="G12" s="23"/>
      <c r="H12" s="23"/>
      <c r="I12" s="23"/>
      <c r="J12" s="23">
        <f>J8*J10</f>
        <v>99.113758254249134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0.14649190248330057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350.27927694770204</v>
      </c>
      <c r="C26" s="247">
        <f>B26*'GWP N2O_CH4'!B5</f>
        <v>7355.864815901743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54.048386121680458</v>
      </c>
      <c r="C27" s="247">
        <f>B27*'GWP N2O_CH4'!B5</f>
        <v>1135.0161085552895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4.0277610316995425</v>
      </c>
      <c r="C28" s="247">
        <f>B28*'GWP N2O_CH4'!B4</f>
        <v>1248.6059198268581</v>
      </c>
      <c r="D28" s="50"/>
    </row>
    <row r="29" spans="1:4">
      <c r="A29" s="41" t="s">
        <v>276</v>
      </c>
      <c r="B29" s="247">
        <f>B34*'ha_N2O bodem landbouw'!B4</f>
        <v>20.595145722889608</v>
      </c>
      <c r="C29" s="247">
        <f>B29*'GWP N2O_CH4'!B4</f>
        <v>6384.4951740957786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4.6936925261082891E-3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3.3682745702460901E-4</v>
      </c>
      <c r="C5" s="440" t="s">
        <v>210</v>
      </c>
      <c r="D5" s="425">
        <f>SUM(D6:D11)</f>
        <v>1.4862560698860414E-3</v>
      </c>
      <c r="E5" s="425">
        <f>SUM(E6:E11)</f>
        <v>7.8996229436125755E-4</v>
      </c>
      <c r="F5" s="438" t="s">
        <v>210</v>
      </c>
      <c r="G5" s="425">
        <f>SUM(G6:G11)</f>
        <v>0.34355364961458928</v>
      </c>
      <c r="H5" s="425">
        <f>SUM(H6:H11)</f>
        <v>9.4491499987176E-2</v>
      </c>
      <c r="I5" s="440" t="s">
        <v>210</v>
      </c>
      <c r="J5" s="440" t="s">
        <v>210</v>
      </c>
      <c r="K5" s="440" t="s">
        <v>210</v>
      </c>
      <c r="L5" s="440" t="s">
        <v>210</v>
      </c>
      <c r="M5" s="425">
        <f>SUM(M6:M11)</f>
        <v>2.5911284967741852E-2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2.2937763928093102E-4</v>
      </c>
      <c r="C6" s="426"/>
      <c r="D6" s="893">
        <f>vkm_GW_PW*SUMIFS(TableVerdeelsleutelVkm[CNG],TableVerdeelsleutelVkm[Voertuigtype],"Lichte voertuigen")*SUMIFS(TableECFTransport[EnergieConsumptieFactor (PJ per km)],TableECFTransport[Index],CONCATENATE($A6,"_CNG_CNG"))</f>
        <v>8.2844203393743607E-4</v>
      </c>
      <c r="E6" s="893">
        <f>vkm_GW_PW*SUMIFS(TableVerdeelsleutelVkm[LPG],TableVerdeelsleutelVkm[Voertuigtype],"Lichte voertuigen")*SUMIFS(TableECFTransport[EnergieConsumptieFactor (PJ per km)],TableECFTransport[Index],CONCATENATE($A6,"_LPG_LPG"))</f>
        <v>4.5023698043304716E-4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0.14011097424660718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5.3026378020687166E-2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1.157469051431546E-2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8.2954646644181604E-2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8.733086139119544E-7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4.6704765411607948E-3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1.07449817743678E-4</v>
      </c>
      <c r="C8" s="426"/>
      <c r="D8" s="428">
        <f>vkm_NGW_PW*SUMIFS(TableVerdeelsleutelVkm[CNG],TableVerdeelsleutelVkm[Voertuigtype],"Lichte voertuigen")*SUMIFS(TableECFTransport[EnergieConsumptieFactor (PJ per km)],TableECFTransport[Index],CONCATENATE($A8,"_CNG_CNG"))</f>
        <v>6.5781403594860526E-4</v>
      </c>
      <c r="E8" s="428">
        <f>vkm_NGW_PW*SUMIFS(TableVerdeelsleutelVkm[LPG],TableVerdeelsleutelVkm[Voertuigtype],"Lichte voertuigen")*SUMIFS(TableECFTransport[EnergieConsumptieFactor (PJ per km)],TableECFTransport[Index],CONCATENATE($A8,"_LPG_LPG"))</f>
        <v>3.3972531392821034E-4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9.8384534761171108E-2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4.1463910677980206E-2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8.4216492613691501E-3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2.2103493962629388E-2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3.3797989472870345E-7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1.2444686508964479E-3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93.563182506835844</v>
      </c>
      <c r="C14" s="21"/>
      <c r="D14" s="21">
        <f t="shared" ref="D14:M14" si="0">((D5)*10^9/3600)+D12</f>
        <v>412.84890830167814</v>
      </c>
      <c r="E14" s="21">
        <f t="shared" si="0"/>
        <v>219.43397065590489</v>
      </c>
      <c r="F14" s="21"/>
      <c r="G14" s="21">
        <f t="shared" si="0"/>
        <v>95431.56933738591</v>
      </c>
      <c r="H14" s="21">
        <f t="shared" si="0"/>
        <v>26247.638885326665</v>
      </c>
      <c r="I14" s="21"/>
      <c r="J14" s="21"/>
      <c r="K14" s="21"/>
      <c r="L14" s="21"/>
      <c r="M14" s="21">
        <f t="shared" si="0"/>
        <v>7197.57915770607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0.2040737078319379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19.0937855707263</v>
      </c>
      <c r="C18" s="23"/>
      <c r="D18" s="23">
        <f t="shared" ref="D18:M18" si="1">D14*D16</f>
        <v>83.395479476938988</v>
      </c>
      <c r="E18" s="23">
        <f t="shared" si="1"/>
        <v>49.811511338890412</v>
      </c>
      <c r="F18" s="23"/>
      <c r="G18" s="23">
        <f t="shared" si="1"/>
        <v>25480.22901308204</v>
      </c>
      <c r="H18" s="23">
        <f t="shared" si="1"/>
        <v>6535.6620824463398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7.3259606182935122E-3</v>
      </c>
      <c r="H50" s="321">
        <f t="shared" si="2"/>
        <v>0</v>
      </c>
      <c r="I50" s="321">
        <f t="shared" si="2"/>
        <v>0</v>
      </c>
      <c r="J50" s="321">
        <f t="shared" si="2"/>
        <v>0</v>
      </c>
      <c r="K50" s="321">
        <f t="shared" si="2"/>
        <v>0</v>
      </c>
      <c r="L50" s="321">
        <f t="shared" si="2"/>
        <v>0</v>
      </c>
      <c r="M50" s="321">
        <f t="shared" si="2"/>
        <v>3.9754834880455957E-4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7.3259606182935122E-3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3.9754834880455957E-4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2034.9890606370868</v>
      </c>
      <c r="H54" s="21">
        <f t="shared" si="3"/>
        <v>0</v>
      </c>
      <c r="I54" s="21">
        <f t="shared" si="3"/>
        <v>0</v>
      </c>
      <c r="J54" s="21">
        <f t="shared" si="3"/>
        <v>0</v>
      </c>
      <c r="K54" s="21">
        <f t="shared" si="3"/>
        <v>0</v>
      </c>
      <c r="L54" s="21">
        <f t="shared" si="3"/>
        <v>0</v>
      </c>
      <c r="M54" s="21">
        <f t="shared" si="3"/>
        <v>110.43009689015544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0.2040737078319379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543.34207919010225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42328.98099226132</v>
      </c>
      <c r="D10" s="689">
        <f ca="1">tertiair!C16</f>
        <v>1928.5714285714287</v>
      </c>
      <c r="E10" s="689">
        <f ca="1">tertiair!D16</f>
        <v>38616.952747002331</v>
      </c>
      <c r="F10" s="689">
        <f>tertiair!E16</f>
        <v>84.591672752099882</v>
      </c>
      <c r="G10" s="689">
        <f ca="1">tertiair!F16</f>
        <v>5015.1810260398024</v>
      </c>
      <c r="H10" s="689">
        <f>tertiair!G16</f>
        <v>0</v>
      </c>
      <c r="I10" s="689">
        <f>tertiair!H16</f>
        <v>0</v>
      </c>
      <c r="J10" s="689">
        <f>tertiair!I16</f>
        <v>0</v>
      </c>
      <c r="K10" s="689">
        <f>tertiair!J16</f>
        <v>2.065230777776535E-2</v>
      </c>
      <c r="L10" s="689">
        <f>tertiair!K16</f>
        <v>0</v>
      </c>
      <c r="M10" s="689">
        <f ca="1">tertiair!L16</f>
        <v>0</v>
      </c>
      <c r="N10" s="689">
        <f>tertiair!M16</f>
        <v>0</v>
      </c>
      <c r="O10" s="689">
        <f ca="1">tertiair!N16</f>
        <v>842.11399783703916</v>
      </c>
      <c r="P10" s="689">
        <f>tertiair!O16</f>
        <v>4.8972607658411542</v>
      </c>
      <c r="Q10" s="690">
        <f>tertiair!P16</f>
        <v>210.15655322598008</v>
      </c>
      <c r="R10" s="692">
        <f ca="1">SUM(C10:Q10)</f>
        <v>89031.466330763607</v>
      </c>
      <c r="S10" s="67"/>
    </row>
    <row r="11" spans="1:19" s="451" customFormat="1">
      <c r="A11" s="811" t="s">
        <v>224</v>
      </c>
      <c r="B11" s="816"/>
      <c r="C11" s="689">
        <f>huishoudens!B8</f>
        <v>50200.595708335153</v>
      </c>
      <c r="D11" s="689">
        <f>huishoudens!C8</f>
        <v>0</v>
      </c>
      <c r="E11" s="689">
        <f>huishoudens!D8</f>
        <v>83310.184647634393</v>
      </c>
      <c r="F11" s="689">
        <f>huishoudens!E8</f>
        <v>15190.048531576816</v>
      </c>
      <c r="G11" s="689">
        <f>huishoudens!F8</f>
        <v>29992.2787580847</v>
      </c>
      <c r="H11" s="689">
        <f>huishoudens!G8</f>
        <v>0</v>
      </c>
      <c r="I11" s="689">
        <f>huishoudens!H8</f>
        <v>0</v>
      </c>
      <c r="J11" s="689">
        <f>huishoudens!I8</f>
        <v>0</v>
      </c>
      <c r="K11" s="689">
        <f>huishoudens!J8</f>
        <v>1739.9999392704196</v>
      </c>
      <c r="L11" s="689">
        <f>huishoudens!K8</f>
        <v>0</v>
      </c>
      <c r="M11" s="689">
        <f>huishoudens!L8</f>
        <v>0</v>
      </c>
      <c r="N11" s="689">
        <f>huishoudens!M8</f>
        <v>0</v>
      </c>
      <c r="O11" s="689">
        <f>huishoudens!N8</f>
        <v>20776.483500155035</v>
      </c>
      <c r="P11" s="689">
        <f>huishoudens!O8</f>
        <v>809.45495350990905</v>
      </c>
      <c r="Q11" s="690">
        <f>huishoudens!P8</f>
        <v>1243.0071983068328</v>
      </c>
      <c r="R11" s="692">
        <f>SUM(C11:Q11)</f>
        <v>203262.05323687327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32663.379421833673</v>
      </c>
      <c r="D13" s="689">
        <f>industrie!C18</f>
        <v>0</v>
      </c>
      <c r="E13" s="689">
        <f>industrie!D18</f>
        <v>9018.6200344039789</v>
      </c>
      <c r="F13" s="689">
        <f>industrie!E18</f>
        <v>80.336233988311577</v>
      </c>
      <c r="G13" s="689">
        <f>industrie!F18</f>
        <v>10587.439830686066</v>
      </c>
      <c r="H13" s="689">
        <f>industrie!G18</f>
        <v>0</v>
      </c>
      <c r="I13" s="689">
        <f>industrie!H18</f>
        <v>0</v>
      </c>
      <c r="J13" s="689">
        <f>industrie!I18</f>
        <v>0</v>
      </c>
      <c r="K13" s="689">
        <f>industrie!J18</f>
        <v>0.32722848150336997</v>
      </c>
      <c r="L13" s="689">
        <f>industrie!K18</f>
        <v>0</v>
      </c>
      <c r="M13" s="689">
        <f>industrie!L18</f>
        <v>0</v>
      </c>
      <c r="N13" s="689">
        <f>industrie!M18</f>
        <v>0</v>
      </c>
      <c r="O13" s="689">
        <f>industrie!N18</f>
        <v>1227.8327927469002</v>
      </c>
      <c r="P13" s="689">
        <f>industrie!O18</f>
        <v>0</v>
      </c>
      <c r="Q13" s="690">
        <f>industrie!P18</f>
        <v>0</v>
      </c>
      <c r="R13" s="692">
        <f>SUM(C13:Q13)</f>
        <v>53577.935542140433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125192.95612243014</v>
      </c>
      <c r="D16" s="725">
        <f t="shared" ref="D16:R16" ca="1" si="0">SUM(D9:D15)</f>
        <v>1928.5714285714287</v>
      </c>
      <c r="E16" s="725">
        <f t="shared" ca="1" si="0"/>
        <v>130945.75742904071</v>
      </c>
      <c r="F16" s="725">
        <f t="shared" si="0"/>
        <v>15354.976438317228</v>
      </c>
      <c r="G16" s="725">
        <f t="shared" ca="1" si="0"/>
        <v>45594.899614810573</v>
      </c>
      <c r="H16" s="725">
        <f t="shared" si="0"/>
        <v>0</v>
      </c>
      <c r="I16" s="725">
        <f t="shared" si="0"/>
        <v>0</v>
      </c>
      <c r="J16" s="725">
        <f t="shared" si="0"/>
        <v>0</v>
      </c>
      <c r="K16" s="725">
        <f t="shared" si="0"/>
        <v>1740.3478200597008</v>
      </c>
      <c r="L16" s="725">
        <f t="shared" si="0"/>
        <v>0</v>
      </c>
      <c r="M16" s="725">
        <f t="shared" ca="1" si="0"/>
        <v>0</v>
      </c>
      <c r="N16" s="725">
        <f t="shared" si="0"/>
        <v>0</v>
      </c>
      <c r="O16" s="725">
        <f t="shared" ca="1" si="0"/>
        <v>22846.430290738972</v>
      </c>
      <c r="P16" s="725">
        <f t="shared" si="0"/>
        <v>814.35221427575016</v>
      </c>
      <c r="Q16" s="725">
        <f t="shared" si="0"/>
        <v>1453.163751532813</v>
      </c>
      <c r="R16" s="725">
        <f t="shared" ca="1" si="0"/>
        <v>345871.45510977734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2034.9890606370868</v>
      </c>
      <c r="I19" s="689">
        <f>transport!H54</f>
        <v>0</v>
      </c>
      <c r="J19" s="689">
        <f>transport!I54</f>
        <v>0</v>
      </c>
      <c r="K19" s="689">
        <f>transport!J54</f>
        <v>0</v>
      </c>
      <c r="L19" s="689">
        <f>transport!K54</f>
        <v>0</v>
      </c>
      <c r="M19" s="689">
        <f>transport!L54</f>
        <v>0</v>
      </c>
      <c r="N19" s="689">
        <f>transport!M54</f>
        <v>110.43009689015544</v>
      </c>
      <c r="O19" s="689">
        <f>transport!N54</f>
        <v>0</v>
      </c>
      <c r="P19" s="689">
        <f>transport!O54</f>
        <v>0</v>
      </c>
      <c r="Q19" s="690">
        <f>transport!P54</f>
        <v>0</v>
      </c>
      <c r="R19" s="692">
        <f>SUM(C19:Q19)</f>
        <v>2145.4191575272421</v>
      </c>
      <c r="S19" s="67"/>
    </row>
    <row r="20" spans="1:19" s="451" customFormat="1">
      <c r="A20" s="811" t="s">
        <v>306</v>
      </c>
      <c r="B20" s="816"/>
      <c r="C20" s="689">
        <f>transport!B14</f>
        <v>93.563182506835844</v>
      </c>
      <c r="D20" s="689">
        <f>transport!C14</f>
        <v>0</v>
      </c>
      <c r="E20" s="689">
        <f>transport!D14</f>
        <v>412.84890830167814</v>
      </c>
      <c r="F20" s="689">
        <f>transport!E14</f>
        <v>219.43397065590489</v>
      </c>
      <c r="G20" s="689">
        <f>transport!F14</f>
        <v>0</v>
      </c>
      <c r="H20" s="689">
        <f>transport!G14</f>
        <v>95431.56933738591</v>
      </c>
      <c r="I20" s="689">
        <f>transport!H14</f>
        <v>26247.638885326665</v>
      </c>
      <c r="J20" s="689">
        <f>transport!I14</f>
        <v>0</v>
      </c>
      <c r="K20" s="689">
        <f>transport!J14</f>
        <v>0</v>
      </c>
      <c r="L20" s="689">
        <f>transport!K14</f>
        <v>0</v>
      </c>
      <c r="M20" s="689">
        <f>transport!L14</f>
        <v>0</v>
      </c>
      <c r="N20" s="689">
        <f>transport!M14</f>
        <v>7197.57915770607</v>
      </c>
      <c r="O20" s="689">
        <f>transport!N14</f>
        <v>0</v>
      </c>
      <c r="P20" s="689">
        <f>transport!O14</f>
        <v>0</v>
      </c>
      <c r="Q20" s="690">
        <f>transport!P14</f>
        <v>0</v>
      </c>
      <c r="R20" s="692">
        <f>SUM(C20:Q20)</f>
        <v>129602.63344188307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93.563182506835844</v>
      </c>
      <c r="D22" s="814">
        <f t="shared" ref="D22:R22" si="1">SUM(D18:D21)</f>
        <v>0</v>
      </c>
      <c r="E22" s="814">
        <f t="shared" si="1"/>
        <v>412.84890830167814</v>
      </c>
      <c r="F22" s="814">
        <f t="shared" si="1"/>
        <v>219.43397065590489</v>
      </c>
      <c r="G22" s="814">
        <f t="shared" si="1"/>
        <v>0</v>
      </c>
      <c r="H22" s="814">
        <f t="shared" si="1"/>
        <v>97466.558398023</v>
      </c>
      <c r="I22" s="814">
        <f t="shared" si="1"/>
        <v>26247.638885326665</v>
      </c>
      <c r="J22" s="814">
        <f t="shared" si="1"/>
        <v>0</v>
      </c>
      <c r="K22" s="814">
        <f t="shared" si="1"/>
        <v>0</v>
      </c>
      <c r="L22" s="814">
        <f t="shared" si="1"/>
        <v>0</v>
      </c>
      <c r="M22" s="814">
        <f t="shared" si="1"/>
        <v>0</v>
      </c>
      <c r="N22" s="814">
        <f t="shared" si="1"/>
        <v>7308.0092545962252</v>
      </c>
      <c r="O22" s="814">
        <f t="shared" si="1"/>
        <v>0</v>
      </c>
      <c r="P22" s="814">
        <f t="shared" si="1"/>
        <v>0</v>
      </c>
      <c r="Q22" s="814">
        <f t="shared" si="1"/>
        <v>0</v>
      </c>
      <c r="R22" s="814">
        <f t="shared" si="1"/>
        <v>131748.05259941032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1066.5794375094201</v>
      </c>
      <c r="D24" s="689">
        <f>+landbouw!C8</f>
        <v>0</v>
      </c>
      <c r="E24" s="689">
        <f>+landbouw!D8</f>
        <v>156.38865174179415</v>
      </c>
      <c r="F24" s="689">
        <f>+landbouw!E8</f>
        <v>39.776009658497358</v>
      </c>
      <c r="G24" s="689">
        <f>+landbouw!F8</f>
        <v>3460.3958377984036</v>
      </c>
      <c r="H24" s="689">
        <f>+landbouw!G8</f>
        <v>0</v>
      </c>
      <c r="I24" s="689">
        <f>+landbouw!H8</f>
        <v>0</v>
      </c>
      <c r="J24" s="689">
        <f>+landbouw!I8</f>
        <v>0</v>
      </c>
      <c r="K24" s="689">
        <f>+landbouw!J8</f>
        <v>279.98236794985633</v>
      </c>
      <c r="L24" s="689">
        <f>+landbouw!K8</f>
        <v>0</v>
      </c>
      <c r="M24" s="689">
        <f>+landbouw!L8</f>
        <v>0</v>
      </c>
      <c r="N24" s="689">
        <f>+landbouw!M8</f>
        <v>0</v>
      </c>
      <c r="O24" s="689">
        <f>+landbouw!N8</f>
        <v>0</v>
      </c>
      <c r="P24" s="689">
        <f>+landbouw!O8</f>
        <v>0</v>
      </c>
      <c r="Q24" s="690">
        <f>+landbouw!P8</f>
        <v>0</v>
      </c>
      <c r="R24" s="692">
        <f>SUM(C24:Q24)</f>
        <v>5003.1223046579707</v>
      </c>
      <c r="S24" s="67"/>
    </row>
    <row r="25" spans="1:19" s="451" customFormat="1" ht="15" thickBot="1">
      <c r="A25" s="833" t="s">
        <v>714</v>
      </c>
      <c r="B25" s="947"/>
      <c r="C25" s="948">
        <f>IF(Onbekend_ele_kWh="---",0,Onbekend_ele_kWh)/1000+IF(REST_rest_ele_kWh="---",0,REST_rest_ele_kWh)/1000</f>
        <v>1459.9848763457098</v>
      </c>
      <c r="D25" s="948"/>
      <c r="E25" s="948">
        <f>IF(onbekend_gas_kWh="---",0,onbekend_gas_kWh)/1000+IF(REST_rest_gas_kWh="---",0,REST_rest_gas_kWh)/1000</f>
        <v>3727.23357034725</v>
      </c>
      <c r="F25" s="948"/>
      <c r="G25" s="948"/>
      <c r="H25" s="948"/>
      <c r="I25" s="948"/>
      <c r="J25" s="948"/>
      <c r="K25" s="948"/>
      <c r="L25" s="948"/>
      <c r="M25" s="948"/>
      <c r="N25" s="948"/>
      <c r="O25" s="948"/>
      <c r="P25" s="948"/>
      <c r="Q25" s="949"/>
      <c r="R25" s="692">
        <f>SUM(C25:Q25)</f>
        <v>5187.2184466929593</v>
      </c>
      <c r="S25" s="67"/>
    </row>
    <row r="26" spans="1:19" s="451" customFormat="1" ht="15.75" thickBot="1">
      <c r="A26" s="697" t="s">
        <v>715</v>
      </c>
      <c r="B26" s="819"/>
      <c r="C26" s="814">
        <f>SUM(C24:C25)</f>
        <v>2526.56431385513</v>
      </c>
      <c r="D26" s="814">
        <f t="shared" ref="D26:R26" si="2">SUM(D24:D25)</f>
        <v>0</v>
      </c>
      <c r="E26" s="814">
        <f t="shared" si="2"/>
        <v>3883.622222089044</v>
      </c>
      <c r="F26" s="814">
        <f t="shared" si="2"/>
        <v>39.776009658497358</v>
      </c>
      <c r="G26" s="814">
        <f t="shared" si="2"/>
        <v>3460.3958377984036</v>
      </c>
      <c r="H26" s="814">
        <f t="shared" si="2"/>
        <v>0</v>
      </c>
      <c r="I26" s="814">
        <f t="shared" si="2"/>
        <v>0</v>
      </c>
      <c r="J26" s="814">
        <f t="shared" si="2"/>
        <v>0</v>
      </c>
      <c r="K26" s="814">
        <f t="shared" si="2"/>
        <v>279.98236794985633</v>
      </c>
      <c r="L26" s="814">
        <f t="shared" si="2"/>
        <v>0</v>
      </c>
      <c r="M26" s="814">
        <f t="shared" si="2"/>
        <v>0</v>
      </c>
      <c r="N26" s="814">
        <f t="shared" si="2"/>
        <v>0</v>
      </c>
      <c r="O26" s="814">
        <f t="shared" si="2"/>
        <v>0</v>
      </c>
      <c r="P26" s="814">
        <f t="shared" si="2"/>
        <v>0</v>
      </c>
      <c r="Q26" s="814">
        <f t="shared" si="2"/>
        <v>0</v>
      </c>
      <c r="R26" s="814">
        <f t="shared" si="2"/>
        <v>10190.34075135093</v>
      </c>
      <c r="S26" s="67"/>
    </row>
    <row r="27" spans="1:19" s="451" customFormat="1" ht="17.25" thickTop="1" thickBot="1">
      <c r="A27" s="698" t="s">
        <v>115</v>
      </c>
      <c r="B27" s="806"/>
      <c r="C27" s="699">
        <f ca="1">C22+C16+C26</f>
        <v>127813.08361879211</v>
      </c>
      <c r="D27" s="699">
        <f t="shared" ref="D27:R27" ca="1" si="3">D22+D16+D26</f>
        <v>1928.5714285714287</v>
      </c>
      <c r="E27" s="699">
        <f t="shared" ca="1" si="3"/>
        <v>135242.22855943142</v>
      </c>
      <c r="F27" s="699">
        <f t="shared" si="3"/>
        <v>15614.186418631631</v>
      </c>
      <c r="G27" s="699">
        <f t="shared" ca="1" si="3"/>
        <v>49055.295452608974</v>
      </c>
      <c r="H27" s="699">
        <f t="shared" si="3"/>
        <v>97466.558398023</v>
      </c>
      <c r="I27" s="699">
        <f t="shared" si="3"/>
        <v>26247.638885326665</v>
      </c>
      <c r="J27" s="699">
        <f t="shared" si="3"/>
        <v>0</v>
      </c>
      <c r="K27" s="699">
        <f t="shared" si="3"/>
        <v>2020.3301880095571</v>
      </c>
      <c r="L27" s="699">
        <f t="shared" si="3"/>
        <v>0</v>
      </c>
      <c r="M27" s="699">
        <f t="shared" ca="1" si="3"/>
        <v>0</v>
      </c>
      <c r="N27" s="699">
        <f t="shared" si="3"/>
        <v>7308.0092545962252</v>
      </c>
      <c r="O27" s="699">
        <f t="shared" ca="1" si="3"/>
        <v>22846.430290738972</v>
      </c>
      <c r="P27" s="699">
        <f t="shared" si="3"/>
        <v>814.35221427575016</v>
      </c>
      <c r="Q27" s="699">
        <f t="shared" si="3"/>
        <v>1453.163751532813</v>
      </c>
      <c r="R27" s="699">
        <f t="shared" ca="1" si="3"/>
        <v>487809.8484605386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8638.2320998383912</v>
      </c>
      <c r="D40" s="689">
        <f ca="1">tertiair!C20</f>
        <v>458.31932773109253</v>
      </c>
      <c r="E40" s="689">
        <f ca="1">tertiair!D20</f>
        <v>7800.6244548944715</v>
      </c>
      <c r="F40" s="689">
        <f>tertiair!E20</f>
        <v>19.202309714726674</v>
      </c>
      <c r="G40" s="689">
        <f ca="1">tertiair!F20</f>
        <v>1339.0533339526273</v>
      </c>
      <c r="H40" s="689">
        <f>tertiair!G20</f>
        <v>0</v>
      </c>
      <c r="I40" s="689">
        <f>tertiair!H20</f>
        <v>0</v>
      </c>
      <c r="J40" s="689">
        <f>tertiair!I20</f>
        <v>0</v>
      </c>
      <c r="K40" s="689">
        <f>tertiair!J20</f>
        <v>7.3109169533289338E-3</v>
      </c>
      <c r="L40" s="689">
        <f>tertiair!K20</f>
        <v>0</v>
      </c>
      <c r="M40" s="689">
        <f ca="1">tertiair!L20</f>
        <v>0</v>
      </c>
      <c r="N40" s="689">
        <f>tertiair!M20</f>
        <v>0</v>
      </c>
      <c r="O40" s="689">
        <f ca="1">tertiair!N20</f>
        <v>0</v>
      </c>
      <c r="P40" s="689">
        <f>tertiair!O20</f>
        <v>0</v>
      </c>
      <c r="Q40" s="772">
        <f>tertiair!P20</f>
        <v>0</v>
      </c>
      <c r="R40" s="852">
        <f t="shared" ca="1" si="4"/>
        <v>18255.438837048263</v>
      </c>
    </row>
    <row r="41" spans="1:18">
      <c r="A41" s="824" t="s">
        <v>224</v>
      </c>
      <c r="B41" s="831"/>
      <c r="C41" s="689">
        <f ca="1">huishoudens!B12</f>
        <v>10244.621701572023</v>
      </c>
      <c r="D41" s="689">
        <f ca="1">huishoudens!C12</f>
        <v>0</v>
      </c>
      <c r="E41" s="689">
        <f>huishoudens!D12</f>
        <v>16828.657298822149</v>
      </c>
      <c r="F41" s="689">
        <f>huishoudens!E12</f>
        <v>3448.1410166679375</v>
      </c>
      <c r="G41" s="689">
        <f>huishoudens!F12</f>
        <v>8007.9384284086154</v>
      </c>
      <c r="H41" s="689">
        <f>huishoudens!G12</f>
        <v>0</v>
      </c>
      <c r="I41" s="689">
        <f>huishoudens!H12</f>
        <v>0</v>
      </c>
      <c r="J41" s="689">
        <f>huishoudens!I12</f>
        <v>0</v>
      </c>
      <c r="K41" s="689">
        <f>huishoudens!J12</f>
        <v>615.95997850172853</v>
      </c>
      <c r="L41" s="689">
        <f>huishoudens!K12</f>
        <v>0</v>
      </c>
      <c r="M41" s="689">
        <f>huishoudens!L12</f>
        <v>0</v>
      </c>
      <c r="N41" s="689">
        <f>huishoudens!M12</f>
        <v>0</v>
      </c>
      <c r="O41" s="689">
        <f>huishoudens!N12</f>
        <v>0</v>
      </c>
      <c r="P41" s="689">
        <f>huishoudens!O12</f>
        <v>0</v>
      </c>
      <c r="Q41" s="772">
        <f>huishoudens!P12</f>
        <v>0</v>
      </c>
      <c r="R41" s="852">
        <f t="shared" ca="1" si="4"/>
        <v>39145.318423972451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6665.7369489350176</v>
      </c>
      <c r="D43" s="689">
        <f ca="1">industrie!C22</f>
        <v>0</v>
      </c>
      <c r="E43" s="689">
        <f>industrie!D22</f>
        <v>1821.7612469496039</v>
      </c>
      <c r="F43" s="689">
        <f>industrie!E22</f>
        <v>18.236325115346727</v>
      </c>
      <c r="G43" s="689">
        <f>industrie!F22</f>
        <v>2826.8464347931799</v>
      </c>
      <c r="H43" s="689">
        <f>industrie!G22</f>
        <v>0</v>
      </c>
      <c r="I43" s="689">
        <f>industrie!H22</f>
        <v>0</v>
      </c>
      <c r="J43" s="689">
        <f>industrie!I22</f>
        <v>0</v>
      </c>
      <c r="K43" s="689">
        <f>industrie!J22</f>
        <v>0.11583888245219297</v>
      </c>
      <c r="L43" s="689">
        <f>industrie!K22</f>
        <v>0</v>
      </c>
      <c r="M43" s="689">
        <f>industrie!L22</f>
        <v>0</v>
      </c>
      <c r="N43" s="689">
        <f>industrie!M22</f>
        <v>0</v>
      </c>
      <c r="O43" s="689">
        <f>industrie!N22</f>
        <v>0</v>
      </c>
      <c r="P43" s="689">
        <f>industrie!O22</f>
        <v>0</v>
      </c>
      <c r="Q43" s="772">
        <f>industrie!P22</f>
        <v>0</v>
      </c>
      <c r="R43" s="851">
        <f t="shared" ca="1" si="4"/>
        <v>11332.696794675601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25548.590750345429</v>
      </c>
      <c r="D46" s="725">
        <f t="shared" ref="D46:Q46" ca="1" si="5">SUM(D39:D45)</f>
        <v>458.31932773109253</v>
      </c>
      <c r="E46" s="725">
        <f t="shared" ca="1" si="5"/>
        <v>26451.043000666225</v>
      </c>
      <c r="F46" s="725">
        <f t="shared" si="5"/>
        <v>3485.5796514980107</v>
      </c>
      <c r="G46" s="725">
        <f t="shared" ca="1" si="5"/>
        <v>12173.838197154422</v>
      </c>
      <c r="H46" s="725">
        <f t="shared" si="5"/>
        <v>0</v>
      </c>
      <c r="I46" s="725">
        <f t="shared" si="5"/>
        <v>0</v>
      </c>
      <c r="J46" s="725">
        <f t="shared" si="5"/>
        <v>0</v>
      </c>
      <c r="K46" s="725">
        <f t="shared" si="5"/>
        <v>616.08312830113402</v>
      </c>
      <c r="L46" s="725">
        <f t="shared" si="5"/>
        <v>0</v>
      </c>
      <c r="M46" s="725">
        <f t="shared" ca="1" si="5"/>
        <v>0</v>
      </c>
      <c r="N46" s="725">
        <f t="shared" si="5"/>
        <v>0</v>
      </c>
      <c r="O46" s="725">
        <f t="shared" ca="1" si="5"/>
        <v>0</v>
      </c>
      <c r="P46" s="725">
        <f t="shared" si="5"/>
        <v>0</v>
      </c>
      <c r="Q46" s="725">
        <f t="shared" si="5"/>
        <v>0</v>
      </c>
      <c r="R46" s="725">
        <f ca="1">SUM(R39:R45)</f>
        <v>68733.454055696318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543.34207919010225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543.34207919010225</v>
      </c>
    </row>
    <row r="50" spans="1:18">
      <c r="A50" s="827" t="s">
        <v>306</v>
      </c>
      <c r="B50" s="837"/>
      <c r="C50" s="695">
        <f ca="1">transport!B18</f>
        <v>19.0937855707263</v>
      </c>
      <c r="D50" s="695">
        <f>transport!C18</f>
        <v>0</v>
      </c>
      <c r="E50" s="695">
        <f>transport!D18</f>
        <v>83.395479476938988</v>
      </c>
      <c r="F50" s="695">
        <f>transport!E18</f>
        <v>49.811511338890412</v>
      </c>
      <c r="G50" s="695">
        <f>transport!F18</f>
        <v>0</v>
      </c>
      <c r="H50" s="695">
        <f>transport!G18</f>
        <v>25480.22901308204</v>
      </c>
      <c r="I50" s="695">
        <f>transport!H18</f>
        <v>6535.6620824463398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32168.191871914936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19.0937855707263</v>
      </c>
      <c r="D52" s="725">
        <f t="shared" ref="D52:Q52" ca="1" si="6">SUM(D48:D51)</f>
        <v>0</v>
      </c>
      <c r="E52" s="725">
        <f t="shared" si="6"/>
        <v>83.395479476938988</v>
      </c>
      <c r="F52" s="725">
        <f t="shared" si="6"/>
        <v>49.811511338890412</v>
      </c>
      <c r="G52" s="725">
        <f t="shared" si="6"/>
        <v>0</v>
      </c>
      <c r="H52" s="725">
        <f t="shared" si="6"/>
        <v>26023.571092272141</v>
      </c>
      <c r="I52" s="725">
        <f t="shared" si="6"/>
        <v>6535.6620824463398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32711.533951105037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217.66082050985008</v>
      </c>
      <c r="D54" s="695">
        <f ca="1">+landbouw!C12</f>
        <v>0</v>
      </c>
      <c r="E54" s="695">
        <f>+landbouw!D12</f>
        <v>31.590507651842419</v>
      </c>
      <c r="F54" s="695">
        <f>+landbouw!E12</f>
        <v>9.0291541924789005</v>
      </c>
      <c r="G54" s="695">
        <f>+landbouw!F12</f>
        <v>923.92568869217382</v>
      </c>
      <c r="H54" s="695">
        <f>+landbouw!G12</f>
        <v>0</v>
      </c>
      <c r="I54" s="695">
        <f>+landbouw!H12</f>
        <v>0</v>
      </c>
      <c r="J54" s="695">
        <f>+landbouw!I12</f>
        <v>0</v>
      </c>
      <c r="K54" s="695">
        <f>+landbouw!J12</f>
        <v>99.113758254249134</v>
      </c>
      <c r="L54" s="695">
        <f>+landbouw!K12</f>
        <v>0</v>
      </c>
      <c r="M54" s="695">
        <f>+landbouw!L12</f>
        <v>0</v>
      </c>
      <c r="N54" s="695">
        <f>+landbouw!M12</f>
        <v>0</v>
      </c>
      <c r="O54" s="695">
        <f>+landbouw!N12</f>
        <v>0</v>
      </c>
      <c r="P54" s="695">
        <f>+landbouw!O12</f>
        <v>0</v>
      </c>
      <c r="Q54" s="696">
        <f>+landbouw!P12</f>
        <v>0</v>
      </c>
      <c r="R54" s="724">
        <f ca="1">SUM(C54:Q54)</f>
        <v>1281.3199293005944</v>
      </c>
    </row>
    <row r="55" spans="1:18" ht="15" thickBot="1">
      <c r="A55" s="827" t="s">
        <v>714</v>
      </c>
      <c r="B55" s="837"/>
      <c r="C55" s="695">
        <f ca="1">C25*'EF ele_warmte'!B12</f>
        <v>297.94452709442237</v>
      </c>
      <c r="D55" s="695"/>
      <c r="E55" s="695">
        <f>E25*EF_CO2_aardgas</f>
        <v>752.9011812101445</v>
      </c>
      <c r="F55" s="695"/>
      <c r="G55" s="695"/>
      <c r="H55" s="695"/>
      <c r="I55" s="695"/>
      <c r="J55" s="695"/>
      <c r="K55" s="695"/>
      <c r="L55" s="695"/>
      <c r="M55" s="695"/>
      <c r="N55" s="695"/>
      <c r="O55" s="695"/>
      <c r="P55" s="695"/>
      <c r="Q55" s="696"/>
      <c r="R55" s="724">
        <f ca="1">SUM(C55:Q55)</f>
        <v>1050.8457083045669</v>
      </c>
    </row>
    <row r="56" spans="1:18" ht="15.75" thickBot="1">
      <c r="A56" s="825" t="s">
        <v>715</v>
      </c>
      <c r="B56" s="838"/>
      <c r="C56" s="725">
        <f ca="1">SUM(C54:C55)</f>
        <v>515.60534760427242</v>
      </c>
      <c r="D56" s="725">
        <f t="shared" ref="D56:Q56" ca="1" si="7">SUM(D54:D55)</f>
        <v>0</v>
      </c>
      <c r="E56" s="725">
        <f t="shared" si="7"/>
        <v>784.49168886198697</v>
      </c>
      <c r="F56" s="725">
        <f t="shared" si="7"/>
        <v>9.0291541924789005</v>
      </c>
      <c r="G56" s="725">
        <f t="shared" si="7"/>
        <v>923.92568869217382</v>
      </c>
      <c r="H56" s="725">
        <f t="shared" si="7"/>
        <v>0</v>
      </c>
      <c r="I56" s="725">
        <f t="shared" si="7"/>
        <v>0</v>
      </c>
      <c r="J56" s="725">
        <f t="shared" si="7"/>
        <v>0</v>
      </c>
      <c r="K56" s="725">
        <f t="shared" si="7"/>
        <v>99.113758254249134</v>
      </c>
      <c r="L56" s="725">
        <f t="shared" si="7"/>
        <v>0</v>
      </c>
      <c r="M56" s="725">
        <f t="shared" si="7"/>
        <v>0</v>
      </c>
      <c r="N56" s="725">
        <f t="shared" si="7"/>
        <v>0</v>
      </c>
      <c r="O56" s="725">
        <f t="shared" si="7"/>
        <v>0</v>
      </c>
      <c r="P56" s="725">
        <f t="shared" si="7"/>
        <v>0</v>
      </c>
      <c r="Q56" s="726">
        <f t="shared" si="7"/>
        <v>0</v>
      </c>
      <c r="R56" s="727">
        <f ca="1">SUM(R54:R55)</f>
        <v>2332.1656376051615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26083.289883520429</v>
      </c>
      <c r="D61" s="733">
        <f t="shared" ref="D61:Q61" ca="1" si="8">D46+D52+D56</f>
        <v>458.31932773109253</v>
      </c>
      <c r="E61" s="733">
        <f t="shared" ca="1" si="8"/>
        <v>27318.930169005151</v>
      </c>
      <c r="F61" s="733">
        <f t="shared" si="8"/>
        <v>3544.4203170293799</v>
      </c>
      <c r="G61" s="733">
        <f t="shared" ca="1" si="8"/>
        <v>13097.763885846596</v>
      </c>
      <c r="H61" s="733">
        <f t="shared" si="8"/>
        <v>26023.571092272141</v>
      </c>
      <c r="I61" s="733">
        <f t="shared" si="8"/>
        <v>6535.6620824463398</v>
      </c>
      <c r="J61" s="733">
        <f t="shared" si="8"/>
        <v>0</v>
      </c>
      <c r="K61" s="733">
        <f t="shared" si="8"/>
        <v>715.19688655538312</v>
      </c>
      <c r="L61" s="733">
        <f t="shared" si="8"/>
        <v>0</v>
      </c>
      <c r="M61" s="733">
        <f t="shared" ca="1" si="8"/>
        <v>0</v>
      </c>
      <c r="N61" s="733">
        <f t="shared" si="8"/>
        <v>0</v>
      </c>
      <c r="O61" s="733">
        <f t="shared" ca="1" si="8"/>
        <v>0</v>
      </c>
      <c r="P61" s="733">
        <f t="shared" si="8"/>
        <v>0</v>
      </c>
      <c r="Q61" s="733">
        <f t="shared" si="8"/>
        <v>0</v>
      </c>
      <c r="R61" s="733">
        <f ca="1">R46+R52+R56</f>
        <v>103777.15364440653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0.2040737078319379</v>
      </c>
      <c r="D63" s="779">
        <f t="shared" ca="1" si="9"/>
        <v>0.23764705882352943</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6.62668586078712</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9884.210986738286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1350</v>
      </c>
      <c r="D76" s="956">
        <f>'lokale energieproductie'!C8</f>
        <v>1588.2352941176473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320.82352941176475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9890.8376725990729</v>
      </c>
      <c r="C78" s="751">
        <f>SUM(C72:C77)</f>
        <v>1350</v>
      </c>
      <c r="D78" s="752">
        <f t="shared" ref="D78:H78" si="10">SUM(D76:D77)</f>
        <v>1588.2352941176473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320.82352941176475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1928.5714285714287</v>
      </c>
      <c r="D87" s="775">
        <f>'lokale energieproductie'!C17</f>
        <v>2268.9075630252105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458.31932773109253</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1928.5714285714287</v>
      </c>
      <c r="D90" s="751">
        <f t="shared" ref="D90:H90" si="12">SUM(D87:D89)</f>
        <v>2268.9075630252105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458.31932773109253</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6.62668586078712</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9884.210986738286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1350</v>
      </c>
      <c r="C8" s="551">
        <f>B48</f>
        <v>1588.2352941176473</v>
      </c>
      <c r="D8" s="552"/>
      <c r="E8" s="552">
        <f>E48</f>
        <v>0</v>
      </c>
      <c r="F8" s="553"/>
      <c r="G8" s="554"/>
      <c r="H8" s="552">
        <f>I48</f>
        <v>0</v>
      </c>
      <c r="I8" s="552">
        <f>G48+F48</f>
        <v>0</v>
      </c>
      <c r="J8" s="552">
        <f>H48+D48+C48</f>
        <v>0</v>
      </c>
      <c r="K8" s="552"/>
      <c r="L8" s="552"/>
      <c r="M8" s="552"/>
      <c r="N8" s="555"/>
      <c r="O8" s="556">
        <f>C8*$C$12+D8*$D$12+E8*$E$12+F8*$F$12+G8*$G$12+H8*$H$12+I8*$I$12+J8*$J$12</f>
        <v>320.82352941176475</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11240.837672599073</v>
      </c>
      <c r="C10" s="566">
        <f t="shared" ref="C10:L10" si="0">SUM(C8:C9)</f>
        <v>1588.2352941176473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320.82352941176475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1928.5714285714287</v>
      </c>
      <c r="C17" s="582">
        <f>B49</f>
        <v>2268.9075630252105</v>
      </c>
      <c r="D17" s="583"/>
      <c r="E17" s="583">
        <f>E49</f>
        <v>0</v>
      </c>
      <c r="F17" s="584"/>
      <c r="G17" s="585"/>
      <c r="H17" s="582">
        <f>I49</f>
        <v>0</v>
      </c>
      <c r="I17" s="583">
        <f>G49+F49</f>
        <v>0</v>
      </c>
      <c r="J17" s="583">
        <f>H49+D49+C49</f>
        <v>0</v>
      </c>
      <c r="K17" s="583"/>
      <c r="L17" s="583"/>
      <c r="M17" s="583"/>
      <c r="N17" s="970"/>
      <c r="O17" s="586">
        <f>C17*$C$22+E17*$E$22+H17*$H$22+I17*$I$22+J17*$J$22+D17*$D$22+F17*$F$22+G17*$G$22+K17*$K$22+L17*$L$22</f>
        <v>458.31932773109253</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1928.5714285714287</v>
      </c>
      <c r="C20" s="565">
        <f>SUM(C17:C19)</f>
        <v>2268.9075630252105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458.31932773109253</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41081</v>
      </c>
      <c r="C28" s="794">
        <v>9620</v>
      </c>
      <c r="D28" s="643" t="s">
        <v>865</v>
      </c>
      <c r="E28" s="642" t="s">
        <v>866</v>
      </c>
      <c r="F28" s="642" t="s">
        <v>867</v>
      </c>
      <c r="G28" s="642" t="s">
        <v>868</v>
      </c>
      <c r="H28" s="642" t="s">
        <v>869</v>
      </c>
      <c r="I28" s="642" t="s">
        <v>866</v>
      </c>
      <c r="J28" s="793">
        <v>38159</v>
      </c>
      <c r="K28" s="793">
        <v>38718</v>
      </c>
      <c r="L28" s="642" t="s">
        <v>870</v>
      </c>
      <c r="M28" s="642">
        <v>300</v>
      </c>
      <c r="N28" s="642">
        <v>1350</v>
      </c>
      <c r="O28" s="642">
        <v>1928.5714285714287</v>
      </c>
      <c r="P28" s="642">
        <v>3857.1428571428573</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300</v>
      </c>
      <c r="N29" s="600">
        <f>SUM(N28:N28)</f>
        <v>1350</v>
      </c>
      <c r="O29" s="600">
        <f>SUM(O28:O28)</f>
        <v>1928.5714285714287</v>
      </c>
      <c r="P29" s="600">
        <f>SUM(P28:P28)</f>
        <v>3857.1428571428573</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300</v>
      </c>
      <c r="N31" s="600">
        <f ca="1">SUMIF($Z$28:AD28,"tertiair",N28:N28)</f>
        <v>1350</v>
      </c>
      <c r="O31" s="600">
        <f ca="1">SUMIF($Z$28:AE28,"tertiair",O28:O28)</f>
        <v>1928.5714285714287</v>
      </c>
      <c r="P31" s="600">
        <f ca="1">SUMIF($Z$28:AF28,"tertiair",P28:P28)</f>
        <v>3857.1428571428573</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1588.2352941176473</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2268.9075630252105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50200.595708335153</v>
      </c>
      <c r="C4" s="455">
        <f>huishoudens!C8</f>
        <v>0</v>
      </c>
      <c r="D4" s="455">
        <f>huishoudens!D8</f>
        <v>83310.184647634393</v>
      </c>
      <c r="E4" s="455">
        <f>huishoudens!E8</f>
        <v>15190.048531576816</v>
      </c>
      <c r="F4" s="455">
        <f>huishoudens!F8</f>
        <v>29992.2787580847</v>
      </c>
      <c r="G4" s="455">
        <f>huishoudens!G8</f>
        <v>0</v>
      </c>
      <c r="H4" s="455">
        <f>huishoudens!H8</f>
        <v>0</v>
      </c>
      <c r="I4" s="455">
        <f>huishoudens!I8</f>
        <v>0</v>
      </c>
      <c r="J4" s="455">
        <f>huishoudens!J8</f>
        <v>1739.9999392704196</v>
      </c>
      <c r="K4" s="455">
        <f>huishoudens!K8</f>
        <v>0</v>
      </c>
      <c r="L4" s="455">
        <f>huishoudens!L8</f>
        <v>0</v>
      </c>
      <c r="M4" s="455">
        <f>huishoudens!M8</f>
        <v>0</v>
      </c>
      <c r="N4" s="455">
        <f>huishoudens!N8</f>
        <v>20776.483500155035</v>
      </c>
      <c r="O4" s="455">
        <f>huishoudens!O8</f>
        <v>809.45495350990905</v>
      </c>
      <c r="P4" s="456">
        <f>huishoudens!P8</f>
        <v>1243.0071983068328</v>
      </c>
      <c r="Q4" s="457">
        <f>SUM(B4:P4)</f>
        <v>203262.05323687327</v>
      </c>
    </row>
    <row r="5" spans="1:17">
      <c r="A5" s="454" t="s">
        <v>155</v>
      </c>
      <c r="B5" s="455">
        <f ca="1">tertiair!B16</f>
        <v>40631.596992261322</v>
      </c>
      <c r="C5" s="455">
        <f ca="1">tertiair!C16</f>
        <v>1928.5714285714287</v>
      </c>
      <c r="D5" s="455">
        <f ca="1">tertiair!D16</f>
        <v>38616.952747002331</v>
      </c>
      <c r="E5" s="455">
        <f>tertiair!E16</f>
        <v>84.591672752099882</v>
      </c>
      <c r="F5" s="455">
        <f ca="1">tertiair!F16</f>
        <v>5015.1810260398024</v>
      </c>
      <c r="G5" s="455">
        <f>tertiair!G16</f>
        <v>0</v>
      </c>
      <c r="H5" s="455">
        <f>tertiair!H16</f>
        <v>0</v>
      </c>
      <c r="I5" s="455">
        <f>tertiair!I16</f>
        <v>0</v>
      </c>
      <c r="J5" s="455">
        <f>tertiair!J16</f>
        <v>2.065230777776535E-2</v>
      </c>
      <c r="K5" s="455">
        <f>tertiair!K16</f>
        <v>0</v>
      </c>
      <c r="L5" s="455">
        <f ca="1">tertiair!L16</f>
        <v>0</v>
      </c>
      <c r="M5" s="455">
        <f>tertiair!M16</f>
        <v>0</v>
      </c>
      <c r="N5" s="455">
        <f ca="1">tertiair!N16</f>
        <v>842.11399783703916</v>
      </c>
      <c r="O5" s="455">
        <f>tertiair!O16</f>
        <v>4.8972607658411542</v>
      </c>
      <c r="P5" s="456">
        <f>tertiair!P16</f>
        <v>210.15655322598008</v>
      </c>
      <c r="Q5" s="454">
        <f t="shared" ref="Q5:Q14" ca="1" si="0">SUM(B5:P5)</f>
        <v>87334.082330763616</v>
      </c>
    </row>
    <row r="6" spans="1:17">
      <c r="A6" s="454" t="s">
        <v>193</v>
      </c>
      <c r="B6" s="455">
        <f>'openbare verlichting'!B8</f>
        <v>1697.384</v>
      </c>
      <c r="C6" s="455"/>
      <c r="D6" s="455"/>
      <c r="E6" s="455"/>
      <c r="F6" s="455"/>
      <c r="G6" s="455"/>
      <c r="H6" s="455"/>
      <c r="I6" s="455"/>
      <c r="J6" s="455"/>
      <c r="K6" s="455"/>
      <c r="L6" s="455"/>
      <c r="M6" s="455"/>
      <c r="N6" s="455"/>
      <c r="O6" s="455"/>
      <c r="P6" s="456"/>
      <c r="Q6" s="454">
        <f t="shared" si="0"/>
        <v>1697.384</v>
      </c>
    </row>
    <row r="7" spans="1:17">
      <c r="A7" s="454" t="s">
        <v>111</v>
      </c>
      <c r="B7" s="455">
        <f>landbouw!B8</f>
        <v>1066.5794375094201</v>
      </c>
      <c r="C7" s="455">
        <f>landbouw!C8</f>
        <v>0</v>
      </c>
      <c r="D7" s="455">
        <f>landbouw!D8</f>
        <v>156.38865174179415</v>
      </c>
      <c r="E7" s="455">
        <f>landbouw!E8</f>
        <v>39.776009658497358</v>
      </c>
      <c r="F7" s="455">
        <f>landbouw!F8</f>
        <v>3460.3958377984036</v>
      </c>
      <c r="G7" s="455">
        <f>landbouw!G8</f>
        <v>0</v>
      </c>
      <c r="H7" s="455">
        <f>landbouw!H8</f>
        <v>0</v>
      </c>
      <c r="I7" s="455">
        <f>landbouw!I8</f>
        <v>0</v>
      </c>
      <c r="J7" s="455">
        <f>landbouw!J8</f>
        <v>279.98236794985633</v>
      </c>
      <c r="K7" s="455">
        <f>landbouw!K8</f>
        <v>0</v>
      </c>
      <c r="L7" s="455">
        <f>landbouw!L8</f>
        <v>0</v>
      </c>
      <c r="M7" s="455">
        <f>landbouw!M8</f>
        <v>0</v>
      </c>
      <c r="N7" s="455">
        <f>landbouw!N8</f>
        <v>0</v>
      </c>
      <c r="O7" s="455">
        <f>landbouw!O8</f>
        <v>0</v>
      </c>
      <c r="P7" s="456">
        <f>landbouw!P8</f>
        <v>0</v>
      </c>
      <c r="Q7" s="454">
        <f t="shared" si="0"/>
        <v>5003.1223046579707</v>
      </c>
    </row>
    <row r="8" spans="1:17">
      <c r="A8" s="454" t="s">
        <v>626</v>
      </c>
      <c r="B8" s="455">
        <f>industrie!B18</f>
        <v>32663.379421833673</v>
      </c>
      <c r="C8" s="455">
        <f>industrie!C18</f>
        <v>0</v>
      </c>
      <c r="D8" s="455">
        <f>industrie!D18</f>
        <v>9018.6200344039789</v>
      </c>
      <c r="E8" s="455">
        <f>industrie!E18</f>
        <v>80.336233988311577</v>
      </c>
      <c r="F8" s="455">
        <f>industrie!F18</f>
        <v>10587.439830686066</v>
      </c>
      <c r="G8" s="455">
        <f>industrie!G18</f>
        <v>0</v>
      </c>
      <c r="H8" s="455">
        <f>industrie!H18</f>
        <v>0</v>
      </c>
      <c r="I8" s="455">
        <f>industrie!I18</f>
        <v>0</v>
      </c>
      <c r="J8" s="455">
        <f>industrie!J18</f>
        <v>0.32722848150336997</v>
      </c>
      <c r="K8" s="455">
        <f>industrie!K18</f>
        <v>0</v>
      </c>
      <c r="L8" s="455">
        <f>industrie!L18</f>
        <v>0</v>
      </c>
      <c r="M8" s="455">
        <f>industrie!M18</f>
        <v>0</v>
      </c>
      <c r="N8" s="455">
        <f>industrie!N18</f>
        <v>1227.8327927469002</v>
      </c>
      <c r="O8" s="455">
        <f>industrie!O18</f>
        <v>0</v>
      </c>
      <c r="P8" s="456">
        <f>industrie!P18</f>
        <v>0</v>
      </c>
      <c r="Q8" s="454">
        <f t="shared" si="0"/>
        <v>53577.935542140433</v>
      </c>
    </row>
    <row r="9" spans="1:17" s="460" customFormat="1">
      <c r="A9" s="458" t="s">
        <v>552</v>
      </c>
      <c r="B9" s="459">
        <f>transport!B14</f>
        <v>93.563182506835844</v>
      </c>
      <c r="C9" s="459">
        <f>transport!C14</f>
        <v>0</v>
      </c>
      <c r="D9" s="459">
        <f>transport!D14</f>
        <v>412.84890830167814</v>
      </c>
      <c r="E9" s="459">
        <f>transport!E14</f>
        <v>219.43397065590489</v>
      </c>
      <c r="F9" s="459">
        <f>transport!F14</f>
        <v>0</v>
      </c>
      <c r="G9" s="459">
        <f>transport!G14</f>
        <v>95431.56933738591</v>
      </c>
      <c r="H9" s="459">
        <f>transport!H14</f>
        <v>26247.638885326665</v>
      </c>
      <c r="I9" s="459">
        <f>transport!I14</f>
        <v>0</v>
      </c>
      <c r="J9" s="459">
        <f>transport!J14</f>
        <v>0</v>
      </c>
      <c r="K9" s="459">
        <f>transport!K14</f>
        <v>0</v>
      </c>
      <c r="L9" s="459">
        <f>transport!L14</f>
        <v>0</v>
      </c>
      <c r="M9" s="459">
        <f>transport!M14</f>
        <v>7197.57915770607</v>
      </c>
      <c r="N9" s="459">
        <f>transport!N14</f>
        <v>0</v>
      </c>
      <c r="O9" s="459">
        <f>transport!O14</f>
        <v>0</v>
      </c>
      <c r="P9" s="459">
        <f>transport!P14</f>
        <v>0</v>
      </c>
      <c r="Q9" s="458">
        <f>SUM(B9:P9)</f>
        <v>129602.63344188307</v>
      </c>
    </row>
    <row r="10" spans="1:17">
      <c r="A10" s="454" t="s">
        <v>542</v>
      </c>
      <c r="B10" s="455">
        <f>transport!B54</f>
        <v>0</v>
      </c>
      <c r="C10" s="455">
        <f>transport!C54</f>
        <v>0</v>
      </c>
      <c r="D10" s="455">
        <f>transport!D54</f>
        <v>0</v>
      </c>
      <c r="E10" s="455">
        <f>transport!E54</f>
        <v>0</v>
      </c>
      <c r="F10" s="455">
        <f>transport!F54</f>
        <v>0</v>
      </c>
      <c r="G10" s="455">
        <f>transport!G54</f>
        <v>2034.9890606370868</v>
      </c>
      <c r="H10" s="455">
        <f>transport!H54</f>
        <v>0</v>
      </c>
      <c r="I10" s="455">
        <f>transport!I54</f>
        <v>0</v>
      </c>
      <c r="J10" s="455">
        <f>transport!J54</f>
        <v>0</v>
      </c>
      <c r="K10" s="455">
        <f>transport!K54</f>
        <v>0</v>
      </c>
      <c r="L10" s="455">
        <f>transport!L54</f>
        <v>0</v>
      </c>
      <c r="M10" s="455">
        <f>transport!M54</f>
        <v>110.43009689015544</v>
      </c>
      <c r="N10" s="455">
        <f>transport!N54</f>
        <v>0</v>
      </c>
      <c r="O10" s="455">
        <f>transport!O54</f>
        <v>0</v>
      </c>
      <c r="P10" s="456">
        <f>transport!P54</f>
        <v>0</v>
      </c>
      <c r="Q10" s="454">
        <f t="shared" si="0"/>
        <v>2145.4191575272421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1459.9848763457098</v>
      </c>
      <c r="C14" s="462"/>
      <c r="D14" s="462">
        <f>'SEAP template'!E25</f>
        <v>3727.23357034725</v>
      </c>
      <c r="E14" s="462"/>
      <c r="F14" s="462"/>
      <c r="G14" s="462"/>
      <c r="H14" s="462"/>
      <c r="I14" s="462"/>
      <c r="J14" s="462"/>
      <c r="K14" s="462"/>
      <c r="L14" s="462"/>
      <c r="M14" s="462"/>
      <c r="N14" s="462"/>
      <c r="O14" s="462"/>
      <c r="P14" s="463"/>
      <c r="Q14" s="454">
        <f t="shared" si="0"/>
        <v>5187.2184466929593</v>
      </c>
    </row>
    <row r="15" spans="1:17" s="466" customFormat="1">
      <c r="A15" s="464" t="s">
        <v>546</v>
      </c>
      <c r="B15" s="465">
        <f ca="1">SUM(B4:B14)</f>
        <v>127813.08361879212</v>
      </c>
      <c r="C15" s="465">
        <f t="shared" ref="C15:Q15" ca="1" si="1">SUM(C4:C14)</f>
        <v>1928.5714285714287</v>
      </c>
      <c r="D15" s="465">
        <f t="shared" ca="1" si="1"/>
        <v>135242.22855943142</v>
      </c>
      <c r="E15" s="465">
        <f t="shared" si="1"/>
        <v>15614.186418631631</v>
      </c>
      <c r="F15" s="465">
        <f t="shared" ca="1" si="1"/>
        <v>49055.295452608974</v>
      </c>
      <c r="G15" s="465">
        <f t="shared" si="1"/>
        <v>97466.558398023</v>
      </c>
      <c r="H15" s="465">
        <f t="shared" si="1"/>
        <v>26247.638885326665</v>
      </c>
      <c r="I15" s="465">
        <f t="shared" si="1"/>
        <v>0</v>
      </c>
      <c r="J15" s="465">
        <f t="shared" si="1"/>
        <v>2020.3301880095571</v>
      </c>
      <c r="K15" s="465">
        <f t="shared" si="1"/>
        <v>0</v>
      </c>
      <c r="L15" s="465">
        <f t="shared" ca="1" si="1"/>
        <v>0</v>
      </c>
      <c r="M15" s="465">
        <f t="shared" si="1"/>
        <v>7308.0092545962252</v>
      </c>
      <c r="N15" s="465">
        <f t="shared" ca="1" si="1"/>
        <v>22846.430290738972</v>
      </c>
      <c r="O15" s="465">
        <f t="shared" si="1"/>
        <v>814.35221427575016</v>
      </c>
      <c r="P15" s="465">
        <f t="shared" si="1"/>
        <v>1453.163751532813</v>
      </c>
      <c r="Q15" s="465">
        <f t="shared" ca="1" si="1"/>
        <v>487809.84846053866</v>
      </c>
    </row>
    <row r="17" spans="1:17">
      <c r="A17" s="467" t="s">
        <v>547</v>
      </c>
      <c r="B17" s="784">
        <f ca="1">huishoudens!B10</f>
        <v>0.2040737078319379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10244.621701572023</v>
      </c>
      <c r="C22" s="455">
        <f t="shared" ref="C22:C32" ca="1" si="3">C4*$C$17</f>
        <v>0</v>
      </c>
      <c r="D22" s="455">
        <f t="shared" ref="D22:D32" si="4">D4*$D$17</f>
        <v>16828.657298822149</v>
      </c>
      <c r="E22" s="455">
        <f t="shared" ref="E22:E32" si="5">E4*$E$17</f>
        <v>3448.1410166679375</v>
      </c>
      <c r="F22" s="455">
        <f t="shared" ref="F22:F32" si="6">F4*$F$17</f>
        <v>8007.9384284086154</v>
      </c>
      <c r="G22" s="455">
        <f t="shared" ref="G22:G32" si="7">G4*$G$17</f>
        <v>0</v>
      </c>
      <c r="H22" s="455">
        <f t="shared" ref="H22:H32" si="8">H4*$H$17</f>
        <v>0</v>
      </c>
      <c r="I22" s="455">
        <f t="shared" ref="I22:I32" si="9">I4*$I$17</f>
        <v>0</v>
      </c>
      <c r="J22" s="455">
        <f t="shared" ref="J22:J32" si="10">J4*$J$17</f>
        <v>615.95997850172853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39145.318423972451</v>
      </c>
    </row>
    <row r="23" spans="1:17">
      <c r="A23" s="454" t="s">
        <v>155</v>
      </c>
      <c r="B23" s="455">
        <f t="shared" ca="1" si="2"/>
        <v>8291.8406533437847</v>
      </c>
      <c r="C23" s="455">
        <f t="shared" ca="1" si="3"/>
        <v>458.31932773109253</v>
      </c>
      <c r="D23" s="455">
        <f t="shared" ca="1" si="4"/>
        <v>7800.6244548944715</v>
      </c>
      <c r="E23" s="455">
        <f t="shared" si="5"/>
        <v>19.202309714726674</v>
      </c>
      <c r="F23" s="455">
        <f t="shared" ca="1" si="6"/>
        <v>1339.0533339526273</v>
      </c>
      <c r="G23" s="455">
        <f t="shared" si="7"/>
        <v>0</v>
      </c>
      <c r="H23" s="455">
        <f t="shared" si="8"/>
        <v>0</v>
      </c>
      <c r="I23" s="455">
        <f t="shared" si="9"/>
        <v>0</v>
      </c>
      <c r="J23" s="455">
        <f t="shared" si="10"/>
        <v>7.3109169533289338E-3</v>
      </c>
      <c r="K23" s="455">
        <f t="shared" si="11"/>
        <v>0</v>
      </c>
      <c r="L23" s="455">
        <f t="shared" ca="1" si="12"/>
        <v>0</v>
      </c>
      <c r="M23" s="455">
        <f t="shared" si="13"/>
        <v>0</v>
      </c>
      <c r="N23" s="455">
        <f t="shared" ca="1" si="14"/>
        <v>0</v>
      </c>
      <c r="O23" s="455">
        <f t="shared" si="15"/>
        <v>0</v>
      </c>
      <c r="P23" s="456">
        <f t="shared" si="16"/>
        <v>0</v>
      </c>
      <c r="Q23" s="454">
        <f t="shared" ref="Q23:Q31" ca="1" si="17">SUM(B23:P23)</f>
        <v>17909.047390553656</v>
      </c>
    </row>
    <row r="24" spans="1:17">
      <c r="A24" s="454" t="s">
        <v>193</v>
      </c>
      <c r="B24" s="455">
        <f t="shared" ca="1" si="2"/>
        <v>346.3914464946061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346.3914464946061</v>
      </c>
    </row>
    <row r="25" spans="1:17">
      <c r="A25" s="454" t="s">
        <v>111</v>
      </c>
      <c r="B25" s="455">
        <f t="shared" ca="1" si="2"/>
        <v>217.66082050985008</v>
      </c>
      <c r="C25" s="455">
        <f t="shared" ca="1" si="3"/>
        <v>0</v>
      </c>
      <c r="D25" s="455">
        <f t="shared" si="4"/>
        <v>31.590507651842419</v>
      </c>
      <c r="E25" s="455">
        <f t="shared" si="5"/>
        <v>9.0291541924789005</v>
      </c>
      <c r="F25" s="455">
        <f t="shared" si="6"/>
        <v>923.92568869217382</v>
      </c>
      <c r="G25" s="455">
        <f t="shared" si="7"/>
        <v>0</v>
      </c>
      <c r="H25" s="455">
        <f t="shared" si="8"/>
        <v>0</v>
      </c>
      <c r="I25" s="455">
        <f t="shared" si="9"/>
        <v>0</v>
      </c>
      <c r="J25" s="455">
        <f t="shared" si="10"/>
        <v>99.113758254249134</v>
      </c>
      <c r="K25" s="455">
        <f t="shared" si="11"/>
        <v>0</v>
      </c>
      <c r="L25" s="455">
        <f t="shared" si="12"/>
        <v>0</v>
      </c>
      <c r="M25" s="455">
        <f t="shared" si="13"/>
        <v>0</v>
      </c>
      <c r="N25" s="455">
        <f t="shared" si="14"/>
        <v>0</v>
      </c>
      <c r="O25" s="455">
        <f t="shared" si="15"/>
        <v>0</v>
      </c>
      <c r="P25" s="456">
        <f t="shared" si="16"/>
        <v>0</v>
      </c>
      <c r="Q25" s="454">
        <f t="shared" ca="1" si="17"/>
        <v>1281.3199293005944</v>
      </c>
    </row>
    <row r="26" spans="1:17">
      <c r="A26" s="454" t="s">
        <v>626</v>
      </c>
      <c r="B26" s="455">
        <f t="shared" ca="1" si="2"/>
        <v>6665.7369489350176</v>
      </c>
      <c r="C26" s="455">
        <f t="shared" ca="1" si="3"/>
        <v>0</v>
      </c>
      <c r="D26" s="455">
        <f t="shared" si="4"/>
        <v>1821.7612469496039</v>
      </c>
      <c r="E26" s="455">
        <f t="shared" si="5"/>
        <v>18.236325115346727</v>
      </c>
      <c r="F26" s="455">
        <f t="shared" si="6"/>
        <v>2826.8464347931799</v>
      </c>
      <c r="G26" s="455">
        <f t="shared" si="7"/>
        <v>0</v>
      </c>
      <c r="H26" s="455">
        <f t="shared" si="8"/>
        <v>0</v>
      </c>
      <c r="I26" s="455">
        <f t="shared" si="9"/>
        <v>0</v>
      </c>
      <c r="J26" s="455">
        <f t="shared" si="10"/>
        <v>0.11583888245219297</v>
      </c>
      <c r="K26" s="455">
        <f t="shared" si="11"/>
        <v>0</v>
      </c>
      <c r="L26" s="455">
        <f t="shared" si="12"/>
        <v>0</v>
      </c>
      <c r="M26" s="455">
        <f t="shared" si="13"/>
        <v>0</v>
      </c>
      <c r="N26" s="455">
        <f t="shared" si="14"/>
        <v>0</v>
      </c>
      <c r="O26" s="455">
        <f t="shared" si="15"/>
        <v>0</v>
      </c>
      <c r="P26" s="456">
        <f t="shared" si="16"/>
        <v>0</v>
      </c>
      <c r="Q26" s="454">
        <f t="shared" ca="1" si="17"/>
        <v>11332.696794675601</v>
      </c>
    </row>
    <row r="27" spans="1:17" s="460" customFormat="1">
      <c r="A27" s="458" t="s">
        <v>552</v>
      </c>
      <c r="B27" s="778">
        <f t="shared" ca="1" si="2"/>
        <v>19.0937855707263</v>
      </c>
      <c r="C27" s="459">
        <f t="shared" ca="1" si="3"/>
        <v>0</v>
      </c>
      <c r="D27" s="459">
        <f t="shared" si="4"/>
        <v>83.395479476938988</v>
      </c>
      <c r="E27" s="459">
        <f t="shared" si="5"/>
        <v>49.811511338890412</v>
      </c>
      <c r="F27" s="459">
        <f t="shared" si="6"/>
        <v>0</v>
      </c>
      <c r="G27" s="459">
        <f t="shared" si="7"/>
        <v>25480.22901308204</v>
      </c>
      <c r="H27" s="459">
        <f t="shared" si="8"/>
        <v>6535.6620824463398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32168.191871914936</v>
      </c>
    </row>
    <row r="28" spans="1:17" ht="16.5" customHeight="1">
      <c r="A28" s="454" t="s">
        <v>542</v>
      </c>
      <c r="B28" s="455">
        <f t="shared" ca="1" si="2"/>
        <v>0</v>
      </c>
      <c r="C28" s="455">
        <f t="shared" ca="1" si="3"/>
        <v>0</v>
      </c>
      <c r="D28" s="455">
        <f t="shared" si="4"/>
        <v>0</v>
      </c>
      <c r="E28" s="455">
        <f t="shared" si="5"/>
        <v>0</v>
      </c>
      <c r="F28" s="455">
        <f t="shared" si="6"/>
        <v>0</v>
      </c>
      <c r="G28" s="455">
        <f t="shared" si="7"/>
        <v>543.34207919010225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543.34207919010225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297.94452709442237</v>
      </c>
      <c r="C32" s="455">
        <f t="shared" ca="1" si="3"/>
        <v>0</v>
      </c>
      <c r="D32" s="455">
        <f t="shared" si="4"/>
        <v>752.9011812101445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1050.8457083045669</v>
      </c>
    </row>
    <row r="33" spans="1:17" s="466" customFormat="1">
      <c r="A33" s="464" t="s">
        <v>546</v>
      </c>
      <c r="B33" s="465">
        <f ca="1">SUM(B22:B32)</f>
        <v>26083.289883520429</v>
      </c>
      <c r="C33" s="465">
        <f t="shared" ref="C33:Q33" ca="1" si="19">SUM(C22:C32)</f>
        <v>458.31932773109253</v>
      </c>
      <c r="D33" s="465">
        <f t="shared" ca="1" si="19"/>
        <v>27318.930169005151</v>
      </c>
      <c r="E33" s="465">
        <f t="shared" si="19"/>
        <v>3544.4203170293799</v>
      </c>
      <c r="F33" s="465">
        <f t="shared" ca="1" si="19"/>
        <v>13097.763885846596</v>
      </c>
      <c r="G33" s="465">
        <f t="shared" si="19"/>
        <v>26023.571092272141</v>
      </c>
      <c r="H33" s="465">
        <f t="shared" si="19"/>
        <v>6535.6620824463398</v>
      </c>
      <c r="I33" s="465">
        <f t="shared" si="19"/>
        <v>0</v>
      </c>
      <c r="J33" s="465">
        <f t="shared" si="19"/>
        <v>715.19688655538312</v>
      </c>
      <c r="K33" s="465">
        <f t="shared" si="19"/>
        <v>0</v>
      </c>
      <c r="L33" s="465">
        <f t="shared" ca="1" si="19"/>
        <v>0</v>
      </c>
      <c r="M33" s="465">
        <f t="shared" si="19"/>
        <v>0</v>
      </c>
      <c r="N33" s="465">
        <f t="shared" ca="1" si="19"/>
        <v>0</v>
      </c>
      <c r="O33" s="465">
        <f t="shared" si="19"/>
        <v>0</v>
      </c>
      <c r="P33" s="465">
        <f t="shared" si="19"/>
        <v>0</v>
      </c>
      <c r="Q33" s="465">
        <f t="shared" ca="1" si="19"/>
        <v>103777.15364440651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6.62668586078712</v>
      </c>
      <c r="C5" s="1026"/>
      <c r="D5" s="1026"/>
      <c r="E5" s="1026"/>
      <c r="F5" s="1026"/>
      <c r="G5" s="1026"/>
      <c r="H5" s="1026"/>
      <c r="I5" s="1026"/>
      <c r="J5" s="1026"/>
      <c r="K5" s="1026"/>
      <c r="L5" s="1026"/>
      <c r="M5" s="1026"/>
      <c r="N5" s="1026"/>
      <c r="O5" s="1026"/>
      <c r="P5" s="1027">
        <f>'SEAP template'!Q73</f>
        <v>0</v>
      </c>
    </row>
    <row r="6" spans="1:16">
      <c r="A6" s="1031" t="s">
        <v>250</v>
      </c>
      <c r="B6" s="1026">
        <f>'SEAP template'!B74</f>
        <v>9884.210986738286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1350</v>
      </c>
      <c r="D8" s="1026">
        <f>'SEAP template'!D76</f>
        <v>1588.2352941176473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320.82352941176475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9890.8376725990729</v>
      </c>
      <c r="C10" s="1028">
        <f>SUM(C4:C9)</f>
        <v>1350</v>
      </c>
      <c r="D10" s="1028">
        <f t="shared" ref="D10:H10" si="0">SUM(D8:D9)</f>
        <v>1588.2352941176473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320.82352941176475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0.2040737078319379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1928.5714285714287</v>
      </c>
      <c r="D17" s="1027">
        <f>'SEAP template'!D87</f>
        <v>2268.9075630252105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458.31932773109253</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1928.5714285714287</v>
      </c>
      <c r="D20" s="1028">
        <f t="shared" ref="D20:H20" si="2">SUM(D17:D19)</f>
        <v>2268.9075630252105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458.31932773109253</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0.2040737078319379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2020-06-20T15:23:55Z</dcterms:modified>
</cp:coreProperties>
</file>