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<sst xmlns="http://schemas.openxmlformats.org/spreadsheetml/2006/main" count="2366" uniqueCount="865">
  <si>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</si>
  <si>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</si>
  <si>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</si>
  <si>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</si>
  <si>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</si>
  <si>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</si>
  <si>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</si>
  <si>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</si>
  <si>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</si>
  <si>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</si>
  <si>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</si>
  <si>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</si>
  <si>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</si>
  <si>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</si>
  <si>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</si>
  <si>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</si>
  <si>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</si>
  <si>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</si>
  <si>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</si>
  <si>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</si>
  <si>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</si>
  <si>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</si>
  <si>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</si>
  <si>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</si>
  <si>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</si>
  <si>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</si>
  <si>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</si>
  <si>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</si>
  <si>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</si>
  <si>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</si>
  <si>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</si>
  <si>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</si>
  <si>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</si>
  <si>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</si>
  <si>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</si>
  <si>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</si>
  <si>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</si>
  <si>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</si>
  <si>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</si>
  <si>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</si>
  <si>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</si>
  <si>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</si>
  <si>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</si>
  <si>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</si>
  <si>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</si>
  <si>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</si>
  <si>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</si>
  <si>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</si>
  <si>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</si>
  <si>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</si>
  <si>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</si>
  <si>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</si>
  <si>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</si>
  <si>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</si>
  <si>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</si>
  <si>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</si>
  <si>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</si>
  <si>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</si>
  <si>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</si>
  <si>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</si>
  <si>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</si>
  <si>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</si>
  <si>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</si>
  <si>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</si>
  <si>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</si>
  <si>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</si>
  <si>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</si>
  <si>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</si>
  <si>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</si>
  <si>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</si>
  <si>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</si>
  <si>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</si>
  <si>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</si>
  <si>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</si>
  <si>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</si>
  <si>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</si>
  <si>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</si>
  <si>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</si>
  <si>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</si>
  <si>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</si>
  <si>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</si>
  <si>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</si>
  <si>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</si>
  <si>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</si>
  <si>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</si>
  <si>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</si>
  <si>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</si>
  <si>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</si>
  <si>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</si>
  <si>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</si>
  <si>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</si>
  <si>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</si>
  <si>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</si>
  <si>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</si>
  <si>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</si>
  <si>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</si>
  <si>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</si>
  <si>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</si>
  <si>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</si>
  <si>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</si>
  <si>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</si>
  <si>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</si>
  <si>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</si>
  <si>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</si>
  <si>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</si>
  <si>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</si>
  <si>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</si>
  <si>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</si>
  <si>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</si>
  <si>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</si>
  <si>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</si>
  <si>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</si>
  <si>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</si>
  <si>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</si>
  <si>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</si>
  <si>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</si>
  <si>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</si>
  <si>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</si>
  <si>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</si>
  <si>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</si>
  <si>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</si>
  <si>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</si>
  <si>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</si>
  <si>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</si>
  <si>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</si>
  <si>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</si>
  <si>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</si>
  <si>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</si>
  <si>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</si>
  <si>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</si>
  <si>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</si>
  <si>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</si>
  <si>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</si>
  <si>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</si>
  <si>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</si>
  <si>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</si>
  <si>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</si>
  <si>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</si>
  <si>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</si>
  <si>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</si>
  <si>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</si>
  <si>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</si>
  <si>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</si>
  <si>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</si>
  <si>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</si>
  <si>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</si>
  <si>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</si>
  <si>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</si>
  <si>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</si>
  <si>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</si>
  <si>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</si>
  <si>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</si>
  <si>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</si>
  <si>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</si>
  <si>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</si>
  <si>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</si>
  <si>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</si>
  <si>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</si>
  <si>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</si>
  <si>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</si>
  <si>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</si>
  <si>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</si>
  <si>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</si>
  <si>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</si>
  <si>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</si>
  <si>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</si>
  <si>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</si>
  <si>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</si>
  <si>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</si>
  <si>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</si>
  <si>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</si>
  <si>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</si>
  <si>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</si>
  <si>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</si>
  <si>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</si>
  <si>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</si>
  <si>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</si>
  <si>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</si>
  <si>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</si>
  <si>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</si>
  <si>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</si>
  <si>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</si>
  <si>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</si>
  <si>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</si>
  <si>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</si>
  <si>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</si>
  <si>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</si>
  <si>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</si>
  <si>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</si>
  <si>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</si>
  <si>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</si>
  <si>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</si>
  <si>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</si>
  <si>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</si>
  <si>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</si>
  <si>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</si>
  <si>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</si>
  <si>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</si>
  <si>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</si>
  <si>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</si>
  <si>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</si>
  <si>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</si>
  <si>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</si>
  <si>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</si>
  <si>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</si>
  <si>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</si>
  <si>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</si>
  <si>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</si>
  <si>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</si>
  <si>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</si>
  <si>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</si>
  <si>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</si>
  <si>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</si>
  <si>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</si>
  <si>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</si>
  <si>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</si>
  <si>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</si>
  <si>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</si>
  <si>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</si>
  <si>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</si>
  <si>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</si>
  <si>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</si>
  <si>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</si>
  <si>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</si>
  <si>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</si>
  <si>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</si>
  <si>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</si>
  <si>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</si>
  <si>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</si>
  <si>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</si>
  <si>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</si>
  <si>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</si>
  <si>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</si>
  <si>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</si>
  <si>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</si>
  <si>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</si>
  <si>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</si>
  <si>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</si>
  <si>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</si>
  <si>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</si>
  <si>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</si>
  <si>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</si>
  <si>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</si>
  <si>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</si>
  <si>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</si>
  <si>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</si>
  <si>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</si>
  <si>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</si>
  <si>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</si>
  <si>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</si>
  <si>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</si>
  <si>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</si>
  <si>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</si>
  <si>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</si>
  <si>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</si>
  <si>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</si>
  <si>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</si>
  <si>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</si>
  <si>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</si>
  <si>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</si>
  <si>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</si>
  <si>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</si>
  <si>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</si>
  <si>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</si>
  <si>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</si>
  <si>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</si>
  <si>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</si>
  <si>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</si>
  <si>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</si>
  <si>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</si>
  <si>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</si>
  <si>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</si>
  <si>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</si>
  <si>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</si>
  <si>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</si>
  <si>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</si>
  <si>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</si>
  <si>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</si>
  <si>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</si>
  <si>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</si>
  <si>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</si>
  <si>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</si>
  <si>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</si>
  <si>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</si>
  <si>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</si>
  <si>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</si>
  <si>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</si>
  <si>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</si>
  <si>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</si>
  <si>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</si>
  <si>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</si>
  <si>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</si>
  <si>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</si>
  <si>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</si>
  <si>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</si>
  <si>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</si>
  <si>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</si>
  <si>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</si>
  <si>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</si>
  <si>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</si>
  <si>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</si>
  <si>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</si>
  <si>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</si>
  <si>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</si>
  <si>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</si>
  <si>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</si>
  <si>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</si>
  <si>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</si>
  <si>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</si>
  <si>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</si>
  <si>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</si>
  <si>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</si>
  <si>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</si>
  <si>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</si>
  <si>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</si>
  <si>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</si>
  <si>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</si>
  <si>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</si>
  <si>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</si>
  <si>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</si>
  <si>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</si>
  <si>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</si>
  <si>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</si>
  <si>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</si>
  <si>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</si>
  <si>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</si>
  <si>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</si>
  <si>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</si>
  <si>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</si>
  <si>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</si>
  <si>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</si>
  <si>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</si>
  <si>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</si>
  <si>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</si>
  <si>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</si>
  <si>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</si>
  <si>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</si>
  <si>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</si>
  <si>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</si>
  <si>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</si>
  <si>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</si>
  <si>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</si>
  <si>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</si>
  <si>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</si>
  <si>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</si>
  <si>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</si>
  <si>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</si>
  <si>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</si>
  <si>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</si>
  <si>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</si>
  <si>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</si>
  <si>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</si>
  <si>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</si>
  <si>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</si>
  <si>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</si>
  <si>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</si>
  <si>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</si>
  <si>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</si>
  <si>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</si>
  <si>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</si>
  <si>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</si>
  <si>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</si>
  <si>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</si>
  <si>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</si>
  <si>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</si>
  <si>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</si>
  <si>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</si>
  <si>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</si>
  <si>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</si>
  <si>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</si>
  <si>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</si>
  <si>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</si>
  <si>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</si>
  <si>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</si>
  <si>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</si>
  <si>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</si>
  <si>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</si>
  <si>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</si>
  <si>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</si>
  <si>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</si>
  <si>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</si>
  <si>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</si>
  <si>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</si>
  <si>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</si>
  <si>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</si>
  <si>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</si>
  <si>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</si>
  <si>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</si>
  <si>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</si>
  <si>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</si>
  <si>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</si>
  <si>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</si>
  <si>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</si>
  <si>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</si>
  <si>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</si>
  <si>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</si>
  <si>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</si>
  <si>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</si>
  <si>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</si>
  <si>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</si>
  <si>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</si>
  <si>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</si>
  <si>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</si>
  <si>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</si>
  <si>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</si>
  <si>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</si>
  <si>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</si>
  <si>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</si>
  <si>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</si>
  <si>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</si>
  <si>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</si>
  <si>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</si>
  <si>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</si>
  <si>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</si>
  <si>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</si>
  <si>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</si>
  <si>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</si>
  <si>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</si>
  <si>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</si>
  <si>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</si>
  <si>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</si>
  <si>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</si>
  <si>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</si>
  <si>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</si>
  <si>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</si>
  <si>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</si>
  <si>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</si>
  <si>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</si>
  <si>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</si>
  <si>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</si>
  <si>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</si>
  <si>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</si>
  <si>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</si>
  <si>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</si>
  <si>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</si>
  <si>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</si>
  <si>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</si>
  <si>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</si>
  <si>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</si>
  <si>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</si>
  <si>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</si>
  <si>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</si>
  <si>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</si>
  <si>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</si>
  <si>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</si>
  <si>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</si>
  <si>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</si>
  <si>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</si>
  <si>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</si>
  <si>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</si>
  <si>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</si>
  <si>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</si>
  <si>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</si>
  <si>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</si>
  <si>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</si>
  <si>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</si>
  <si>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</si>
  <si>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</si>
  <si>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</si>
  <si>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</si>
  <si>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</si>
  <si>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</si>
  <si>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</si>
  <si>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</si>
  <si>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</si>
  <si>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</si>
  <si>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</si>
  <si>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</si>
  <si>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</si>
  <si>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</si>
  <si>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</si>
  <si>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</si>
  <si>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</si>
  <si>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</si>
  <si>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</si>
  <si>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</si>
  <si>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</si>
  <si>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</si>
  <si>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</si>
  <si>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</si>
  <si>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</si>
  <si>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</si>
  <si>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</si>
  <si>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</si>
  <si>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</si>
  <si>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</si>
  <si>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</si>
  <si>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</si>
  <si>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</si>
  <si>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</si>
  <si>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</si>
  <si>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</si>
  <si>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</si>
  <si>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</si>
  <si>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</si>
  <si>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</si>
  <si>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</si>
  <si>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</si>
  <si>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</si>
  <si>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</si>
  <si>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</si>
  <si>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</si>
  <si>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</si>
  <si>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</si>
  <si>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</si>
  <si>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</si>
  <si>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</si>
  <si>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</si>
  <si>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</si>
  <si>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</si>
  <si>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</si>
  <si>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</si>
  <si>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</si>
  <si>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</si>
  <si>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</si>
  <si>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</si>
  <si>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</si>
  <si>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</si>
  <si>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</si>
  <si>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</si>
  <si>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</si>
  <si>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</si>
  <si>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</si>
  <si>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</si>
  <si>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</si>
  <si>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</si>
  <si>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</si>
  <si>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</si>
  <si>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</si>
  <si>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</si>
  <si>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</si>
  <si>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</si>
  <si>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</si>
  <si>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</si>
  <si>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</si>
  <si>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</si>
  <si>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</si>
  <si>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</si>
  <si>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</si>
  <si>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</si>
  <si>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</si>
  <si>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</si>
  <si>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</si>
  <si>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</si>
  <si>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</si>
  <si>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</si>
  <si>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</si>
  <si>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</si>
  <si>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</si>
  <si>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</si>
  <si>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</si>
  <si>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</si>
  <si>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</si>
  <si>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</si>
  <si>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</si>
  <si>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</si>
  <si>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</si>
  <si>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</si>
  <si>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</si>
  <si>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</si>
  <si>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</si>
  <si>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</si>
  <si>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</si>
  <si>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</si>
  <si>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</si>
  <si>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</si>
  <si>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</si>
  <si>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</si>
  <si>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</si>
  <si>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</si>
  <si>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</si>
  <si>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</si>
  <si>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</si>
  <si>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</si>
  <si>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</si>
  <si>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</si>
  <si>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</si>
  <si>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</si>
  <si>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</si>
  <si>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</si>
  <si>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</si>
  <si>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</si>
  <si>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</si>
  <si>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</si>
  <si>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</si>
  <si>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</si>
  <si>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</si>
  <si>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</si>
  <si>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</si>
  <si>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</si>
  <si>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</si>
  <si>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</si>
  <si>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</si>
  <si>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</si>
  <si>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</si>
  <si>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</si>
  <si>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</si>
  <si>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</si>
  <si>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</si>
  <si>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</si>
  <si>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</si>
  <si>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</si>
  <si>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</si>
  <si>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</si>
  <si>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</si>
  <si>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</si>
  <si>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</si>
  <si>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</si>
  <si>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</si>
  <si>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</si>
  <si>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</si>
  <si>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</si>
  <si>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</si>
  <si>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</si>
  <si>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</si>
  <si>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</si>
  <si>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</si>
  <si>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</si>
  <si>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</si>
  <si>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</si>
  <si>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</si>
  <si>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</si>
  <si>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</si>
  <si>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</si>
  <si>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</si>
  <si>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</si>
  <si>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</si>
  <si>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</si>
  <si>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</si>
  <si>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</si>
  <si>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</si>
  <si>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</si>
  <si>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</si>
  <si>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</si>
  <si>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</si>
  <si>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</si>
  <si>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</si>
  <si>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</si>
  <si>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</si>
  <si>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</si>
  <si>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</si>
  <si>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</si>
  <si>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</si>
  <si>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</si>
  <si>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</si>
  <si>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</si>
  <si>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</si>
  <si>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</si>
  <si>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</si>
  <si>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</si>
  <si>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</si>
  <si>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</si>
  <si>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</si>
  <si>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</si>
  <si>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</si>
  <si>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</si>
  <si>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</si>
  <si>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</si>
  <si>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</si>
  <si>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</si>
  <si>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</si>
  <si>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</si>
  <si>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</si>
  <si>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</si>
  <si>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</si>
  <si>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</si>
  <si>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</si>
  <si>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</si>
  <si>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</si>
  <si>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</si>
  <si>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</si>
  <si>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</si>
  <si>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</si>
  <si>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</si>
  <si>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</si>
  <si>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</si>
  <si>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</si>
  <si>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</si>
  <si>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</si>
  <si>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</si>
  <si>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</si>
  <si>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</si>
  <si>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</si>
  <si>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</si>
  <si>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</si>
  <si>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</si>
  <si>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</si>
  <si>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</si>
  <si>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</si>
  <si>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</si>
  <si>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</si>
  <si>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</si>
  <si>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</si>
  <si>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</si>
  <si>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</si>
  <si>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</si>
  <si>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</si>
  <si>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</si>
  <si>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</si>
  <si>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</si>
  <si>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</si>
  <si>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</si>
  <si>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</si>
  <si>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</si>
  <si>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</si>
  <si>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</si>
  <si>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</si>
  <si>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</si>
  <si>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</si>
  <si>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</si>
  <si>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</si>
  <si>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</si>
  <si>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</si>
  <si>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</si>
  <si>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</si>
  <si>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</si>
  <si>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</si>
  <si>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</si>
  <si>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</si>
  <si>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</si>
  <si>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</si>
  <si>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</si>
  <si>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</si>
  <si>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</si>
  <si>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</si>
  <si>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</si>
  <si>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</si>
  <si>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</si>
  <si>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</si>
  <si>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</si>
  <si>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</si>
  <si>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</si>
  <si>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</si>
  <si>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</si>
  <si>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</si>
  <si>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</si>
  <si>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</si>
  <si>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</si>
  <si>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</si>
  <si>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</si>
  <si>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</si>
  <si>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</si>
  <si>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</si>
  <si>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</si>
  <si>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</si>
  <si>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</si>
  <si>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</si>
  <si>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</si>
  <si>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</si>
  <si>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</si>
  <si>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</si>
  <si>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</si>
  <si>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</si>
  <si>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</si>
  <si>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</si>
  <si>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</si>
  <si>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</si>
  <si>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</si>
  <si>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</si>
  <si>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</si>
  <si>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</si>
  <si>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</si>
  <si>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</si>
  <si>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</si>
  <si>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</si>
  <si>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</si>
  <si>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</si>
  <si>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</si>
  <si>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</si>
  <si>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</si>
  <si>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</si>
  <si>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</si>
  <si>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</si>
  <si>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</si>
  <si>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</si>
  <si>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</si>
  <si>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</si>
  <si>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</si>
  <si>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</si>
  <si>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</si>
  <si>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</si>
  <si>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</si>
  <si>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</si>
  <si>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</si>
  <si>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</si>
  <si>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</si>
  <si>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</si>
  <si>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</si>
  <si>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</si>
  <si>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</si>
  <si>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</si>
  <si>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</si>
  <si>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</si>
  <si>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</si>
  <si>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</si>
  <si>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</si>
  <si>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</si>
  <si>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</si>
  <si>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</si>
  <si>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</si>
  <si>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</si>
  <si>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</si>
  <si>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</si>
  <si>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</si>
  <si>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</si>
  <si>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</si>
  <si>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</si>
  <si>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</si>
  <si>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</si>
  <si>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</si>
  <si>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</si>
  <si>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</si>
  <si>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</si>
  <si>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</si>
  <si>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</si>
  <si>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</si>
  <si>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</si>
  <si>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</si>
  <si>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</si>
  <si>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</si>
  <si>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</si>
  <si>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</si>
  <si>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</si>
  <si>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</si>
  <si>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</si>
  <si>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</si>
  <si>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</si>
  <si>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</si>
  <si>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</si>
  <si>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</si>
  <si>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</si>
  <si>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</si>
  <si>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</si>
  <si>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</si>
  <si>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</si>
  <si>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</si>
  <si>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</si>
  <si>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</si>
  <si>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</si>
  <si>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</si>
  <si>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</si>
  <si>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</si>
  <si>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</si>
  <si>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</si>
  <si>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</si>
  <si>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</si>
  <si>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</si>
  <si>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</si>
  <si>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</si>
  <si>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</si>
  <si>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</si>
  <si>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</si>
  <si>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</si>
  <si>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</si>
  <si>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</si>
  <si>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</si>
  <si>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</si>
  <si>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</si>
  <si>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</si>
  <si>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</si>
  <si>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</si>
  <si>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</si>
  <si>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41034</t>
  </si>
  <si>
    <t>LEDE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</si>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</sst>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139034.95756270667</c:v>
                </c:pt>
                <c:pt idx="1">
                  <c:v>33595.081060753029</c:v>
                </c:pt>
                <c:pt idx="2">
                  <c:v>1143.634</c:v>
                </c:pt>
                <c:pt idx="3">
                  <c:v>3529.0970239091284</c:v>
                </c:pt>
                <c:pt idx="4">
                  <c:v>3576.6726165927653</c:v>
                </c:pt>
                <c:pt idx="5">
                  <c:v>134448.61739129102</c:v>
                </c:pt>
                <c:pt idx="6">
                  <c:v>783.82054597894421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139034.95756270667</c:v>
                </c:pt>
                <c:pt idx="1">
                  <c:v>33595.081060753029</c:v>
                </c:pt>
                <c:pt idx="2">
                  <c:v>1143.634</c:v>
                </c:pt>
                <c:pt idx="3">
                  <c:v>3529.0970239091284</c:v>
                </c:pt>
                <c:pt idx="4">
                  <c:v>3576.6726165927653</c:v>
                </c:pt>
                <c:pt idx="5">
                  <c:v>134448.61739129102</c:v>
                </c:pt>
                <c:pt idx="6">
                  <c:v>783.82054597894421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24347.284027823654</c:v>
                </c:pt>
                <c:pt idx="1">
                  <c:v>6724.8929757567648</c:v>
                </c:pt>
                <c:pt idx="2">
                  <c:v>225.56867754041778</c:v>
                </c:pt>
                <c:pt idx="3">
                  <c:v>893.55469928679031</c:v>
                </c:pt>
                <c:pt idx="4">
                  <c:v>733.83081525051762</c:v>
                </c:pt>
                <c:pt idx="5">
                  <c:v>33416.994521936263</c:v>
                </c:pt>
                <c:pt idx="6">
                  <c:v>198.50791565363977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24347.284027823654</c:v>
                </c:pt>
                <c:pt idx="1">
                  <c:v>6724.8929757567648</c:v>
                </c:pt>
                <c:pt idx="2">
                  <c:v>225.56867754041778</c:v>
                </c:pt>
                <c:pt idx="3">
                  <c:v>893.55469928679031</c:v>
                </c:pt>
                <c:pt idx="4">
                  <c:v>733.83081525051762</c:v>
                </c:pt>
                <c:pt idx="5">
                  <c:v>33416.994521936263</c:v>
                </c:pt>
                <c:pt idx="6">
                  <c:v>198.50791565363977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41034</v>
      </c>
      <c r="B6" s="392"/>
      <c r="C6" s="393"/>
    </row>
    <row r="7" spans="1:7" s="390" customFormat="1" ht="15.75" customHeight="1">
      <c r="A7" s="394" t="str">
        <f>txtMunicipality</f>
        <v>LEDE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0.19723851996392008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0.19723851996392008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7991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1338.05</v>
      </c>
      <c r="C14" s="332"/>
      <c r="D14" s="332"/>
      <c r="E14" s="332"/>
      <c r="F14" s="332"/>
    </row>
    <row r="15" spans="1:6">
      <c r="A15" s="1310" t="s">
        <v>183</v>
      </c>
      <c r="B15" s="1311">
        <v>8</v>
      </c>
      <c r="C15" s="332"/>
      <c r="D15" s="332"/>
      <c r="E15" s="332"/>
      <c r="F15" s="332"/>
    </row>
    <row r="16" spans="1:6">
      <c r="A16" s="1310" t="s">
        <v>6</v>
      </c>
      <c r="B16" s="1311">
        <v>334</v>
      </c>
      <c r="C16" s="332"/>
      <c r="D16" s="332"/>
      <c r="E16" s="332"/>
      <c r="F16" s="332"/>
    </row>
    <row r="17" spans="1:6">
      <c r="A17" s="1310" t="s">
        <v>7</v>
      </c>
      <c r="B17" s="1311">
        <v>425</v>
      </c>
      <c r="C17" s="332"/>
      <c r="D17" s="332"/>
      <c r="E17" s="332"/>
      <c r="F17" s="332"/>
    </row>
    <row r="18" spans="1:6">
      <c r="A18" s="1310" t="s">
        <v>8</v>
      </c>
      <c r="B18" s="1311">
        <v>526</v>
      </c>
      <c r="C18" s="332"/>
      <c r="D18" s="332"/>
      <c r="E18" s="332"/>
      <c r="F18" s="332"/>
    </row>
    <row r="19" spans="1:6">
      <c r="A19" s="1310" t="s">
        <v>9</v>
      </c>
      <c r="B19" s="1311">
        <v>458</v>
      </c>
      <c r="C19" s="332"/>
      <c r="D19" s="332"/>
      <c r="E19" s="332"/>
      <c r="F19" s="332"/>
    </row>
    <row r="20" spans="1:6">
      <c r="A20" s="1310" t="s">
        <v>10</v>
      </c>
      <c r="B20" s="1311">
        <v>304</v>
      </c>
      <c r="C20" s="332"/>
      <c r="D20" s="332"/>
      <c r="E20" s="332"/>
      <c r="F20" s="332"/>
    </row>
    <row r="21" spans="1:6">
      <c r="A21" s="1310" t="s">
        <v>11</v>
      </c>
      <c r="B21" s="1311">
        <v>13</v>
      </c>
      <c r="C21" s="332"/>
      <c r="D21" s="332"/>
      <c r="E21" s="332"/>
      <c r="F21" s="332"/>
    </row>
    <row r="22" spans="1:6">
      <c r="A22" s="1310" t="s">
        <v>12</v>
      </c>
      <c r="B22" s="1311">
        <v>467</v>
      </c>
      <c r="C22" s="332"/>
      <c r="D22" s="332"/>
      <c r="E22" s="332"/>
      <c r="F22" s="332"/>
    </row>
    <row r="23" spans="1:6">
      <c r="A23" s="1310" t="s">
        <v>13</v>
      </c>
      <c r="B23" s="1311">
        <v>3</v>
      </c>
      <c r="C23" s="332"/>
      <c r="D23" s="332"/>
      <c r="E23" s="332"/>
      <c r="F23" s="332"/>
    </row>
    <row r="24" spans="1:6">
      <c r="A24" s="1310" t="s">
        <v>14</v>
      </c>
      <c r="B24" s="1311">
        <v>0</v>
      </c>
      <c r="C24" s="332"/>
      <c r="D24" s="332"/>
      <c r="E24" s="332"/>
      <c r="F24" s="332"/>
    </row>
    <row r="25" spans="1:6">
      <c r="A25" s="1310" t="s">
        <v>15</v>
      </c>
      <c r="B25" s="1311">
        <v>8</v>
      </c>
      <c r="C25" s="332"/>
      <c r="D25" s="332"/>
      <c r="E25" s="332"/>
      <c r="F25" s="332"/>
    </row>
    <row r="26" spans="1:6">
      <c r="A26" s="1310" t="s">
        <v>16</v>
      </c>
      <c r="B26" s="1311">
        <v>119</v>
      </c>
      <c r="C26" s="332"/>
      <c r="D26" s="332"/>
      <c r="E26" s="332"/>
      <c r="F26" s="332"/>
    </row>
    <row r="27" spans="1:6">
      <c r="A27" s="1310" t="s">
        <v>17</v>
      </c>
      <c r="B27" s="1311">
        <v>737</v>
      </c>
      <c r="C27" s="332"/>
      <c r="D27" s="332"/>
      <c r="E27" s="332"/>
      <c r="F27" s="332"/>
    </row>
    <row r="28" spans="1:6" s="43" customFormat="1">
      <c r="A28" s="1312" t="s">
        <v>18</v>
      </c>
      <c r="B28" s="1313">
        <v>0</v>
      </c>
      <c r="C28" s="338"/>
      <c r="D28" s="338"/>
      <c r="E28" s="338"/>
      <c r="F28" s="338"/>
    </row>
    <row r="29" spans="1:6">
      <c r="A29" s="1312" t="s">
        <v>699</v>
      </c>
      <c r="B29" s="1313">
        <v>103</v>
      </c>
      <c r="C29" s="338"/>
      <c r="D29" s="338"/>
      <c r="E29" s="338"/>
      <c r="F29" s="338"/>
    </row>
    <row r="30" spans="1:6">
      <c r="A30" s="1305" t="s">
        <v>700</v>
      </c>
      <c r="B30" s="1314">
        <v>45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773.75727639490003</v>
      </c>
    </row>
    <row r="39" spans="1:6">
      <c r="A39" s="1310" t="s">
        <v>29</v>
      </c>
      <c r="B39" s="1310" t="s">
        <v>30</v>
      </c>
      <c r="C39" s="1311">
        <v>5249</v>
      </c>
      <c r="D39" s="1311">
        <v>80180714.533785999</v>
      </c>
      <c r="E39" s="1311">
        <v>7874</v>
      </c>
      <c r="F39" s="1311">
        <v>29662417.98279465</v>
      </c>
    </row>
    <row r="40" spans="1:6">
      <c r="A40" s="1310" t="s">
        <v>29</v>
      </c>
      <c r="B40" s="1310" t="s">
        <v>28</v>
      </c>
      <c r="C40" s="1311">
        <v>0</v>
      </c>
      <c r="D40" s="1311">
        <v>0</v>
      </c>
      <c r="E40" s="1311">
        <v>0</v>
      </c>
      <c r="F40" s="1311">
        <v>0</v>
      </c>
    </row>
    <row r="41" spans="1:6">
      <c r="A41" s="1310" t="s">
        <v>31</v>
      </c>
      <c r="B41" s="1310" t="s">
        <v>32</v>
      </c>
      <c r="C41" s="1311">
        <v>88</v>
      </c>
      <c r="D41" s="1311">
        <v>967683.53056374204</v>
      </c>
      <c r="E41" s="1311">
        <v>164</v>
      </c>
      <c r="F41" s="1311">
        <v>659236.89426477195</v>
      </c>
    </row>
    <row r="42" spans="1:6">
      <c r="A42" s="1310" t="s">
        <v>31</v>
      </c>
      <c r="B42" s="1310" t="s">
        <v>33</v>
      </c>
      <c r="C42" s="1311">
        <v>0</v>
      </c>
      <c r="D42" s="1311">
        <v>0</v>
      </c>
      <c r="E42" s="1311">
        <v>3</v>
      </c>
      <c r="F42" s="1311">
        <v>32616.262035522799</v>
      </c>
    </row>
    <row r="43" spans="1:6">
      <c r="A43" s="1310" t="s">
        <v>31</v>
      </c>
      <c r="B43" s="1310" t="s">
        <v>34</v>
      </c>
      <c r="C43" s="1311">
        <v>0</v>
      </c>
      <c r="D43" s="1311">
        <v>0</v>
      </c>
      <c r="E43" s="1311">
        <v>0</v>
      </c>
      <c r="F43" s="1311">
        <v>0</v>
      </c>
    </row>
    <row r="44" spans="1:6">
      <c r="A44" s="1310" t="s">
        <v>31</v>
      </c>
      <c r="B44" s="1310" t="s">
        <v>35</v>
      </c>
      <c r="C44" s="1311">
        <v>6</v>
      </c>
      <c r="D44" s="1311">
        <v>197870.97704497099</v>
      </c>
      <c r="E44" s="1311">
        <v>23</v>
      </c>
      <c r="F44" s="1311">
        <v>322262.30391784903</v>
      </c>
    </row>
    <row r="45" spans="1:6">
      <c r="A45" s="1310" t="s">
        <v>31</v>
      </c>
      <c r="B45" s="1310" t="s">
        <v>36</v>
      </c>
      <c r="C45" s="1311">
        <v>3</v>
      </c>
      <c r="D45" s="1311">
        <v>66223.831050155393</v>
      </c>
      <c r="E45" s="1311">
        <v>5</v>
      </c>
      <c r="F45" s="1311">
        <v>49963.344877624397</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50019.849263664997</v>
      </c>
      <c r="E48" s="1311">
        <v>1</v>
      </c>
      <c r="F48" s="1311">
        <v>3567</v>
      </c>
    </row>
    <row r="49" spans="1:6">
      <c r="A49" s="1310" t="s">
        <v>31</v>
      </c>
      <c r="B49" s="1310" t="s">
        <v>39</v>
      </c>
      <c r="C49" s="1311">
        <v>3</v>
      </c>
      <c r="D49" s="1311">
        <v>51849.589402017002</v>
      </c>
      <c r="E49" s="1311">
        <v>4</v>
      </c>
      <c r="F49" s="1311">
        <v>48602.538245987802</v>
      </c>
    </row>
    <row r="50" spans="1:6">
      <c r="A50" s="1310" t="s">
        <v>31</v>
      </c>
      <c r="B50" s="1310" t="s">
        <v>40</v>
      </c>
      <c r="C50" s="1311">
        <v>12</v>
      </c>
      <c r="D50" s="1311">
        <v>542675.92771551094</v>
      </c>
      <c r="E50" s="1311">
        <v>15</v>
      </c>
      <c r="F50" s="1311">
        <v>274427.63464820897</v>
      </c>
    </row>
    <row r="51" spans="1:6">
      <c r="A51" s="1310" t="s">
        <v>41</v>
      </c>
      <c r="B51" s="1310" t="s">
        <v>42</v>
      </c>
      <c r="C51" s="1311">
        <v>11</v>
      </c>
      <c r="D51" s="1311">
        <v>226474.02404977399</v>
      </c>
      <c r="E51" s="1311">
        <v>54</v>
      </c>
      <c r="F51" s="1311">
        <v>731614.45037705998</v>
      </c>
    </row>
    <row r="52" spans="1:6">
      <c r="A52" s="1310" t="s">
        <v>41</v>
      </c>
      <c r="B52" s="1310" t="s">
        <v>28</v>
      </c>
      <c r="C52" s="1311">
        <v>0</v>
      </c>
      <c r="D52" s="1311">
        <v>0</v>
      </c>
      <c r="E52" s="1311">
        <v>0</v>
      </c>
      <c r="F52" s="1311">
        <v>0</v>
      </c>
    </row>
    <row r="53" spans="1:6">
      <c r="A53" s="1310" t="s">
        <v>43</v>
      </c>
      <c r="B53" s="1310" t="s">
        <v>44</v>
      </c>
      <c r="C53" s="1311">
        <v>123</v>
      </c>
      <c r="D53" s="1311">
        <v>1449045.0405765199</v>
      </c>
      <c r="E53" s="1311">
        <v>266</v>
      </c>
      <c r="F53" s="1311">
        <v>752315.55600901798</v>
      </c>
    </row>
    <row r="54" spans="1:6">
      <c r="A54" s="1310" t="s">
        <v>45</v>
      </c>
      <c r="B54" s="1310" t="s">
        <v>46</v>
      </c>
      <c r="C54" s="1311">
        <v>0</v>
      </c>
      <c r="D54" s="1311">
        <v>0</v>
      </c>
      <c r="E54" s="1311">
        <v>2</v>
      </c>
      <c r="F54" s="1311">
        <v>1143634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51</v>
      </c>
      <c r="D57" s="1311">
        <v>1370772.3536771401</v>
      </c>
      <c r="E57" s="1311">
        <v>98</v>
      </c>
      <c r="F57" s="1311">
        <v>869407.98142333899</v>
      </c>
    </row>
    <row r="58" spans="1:6">
      <c r="A58" s="1310" t="s">
        <v>48</v>
      </c>
      <c r="B58" s="1310" t="s">
        <v>50</v>
      </c>
      <c r="C58" s="1311">
        <v>55</v>
      </c>
      <c r="D58" s="1311">
        <v>2826654.5949188899</v>
      </c>
      <c r="E58" s="1311">
        <v>66</v>
      </c>
      <c r="F58" s="1311">
        <v>993124.61326905002</v>
      </c>
    </row>
    <row r="59" spans="1:6">
      <c r="A59" s="1310" t="s">
        <v>48</v>
      </c>
      <c r="B59" s="1310" t="s">
        <v>51</v>
      </c>
      <c r="C59" s="1311">
        <v>86</v>
      </c>
      <c r="D59" s="1311">
        <v>2578609.3135493798</v>
      </c>
      <c r="E59" s="1311">
        <v>204</v>
      </c>
      <c r="F59" s="1311">
        <v>5855434.0299660796</v>
      </c>
    </row>
    <row r="60" spans="1:6">
      <c r="A60" s="1310" t="s">
        <v>48</v>
      </c>
      <c r="B60" s="1310" t="s">
        <v>52</v>
      </c>
      <c r="C60" s="1311">
        <v>78</v>
      </c>
      <c r="D60" s="1311">
        <v>8553084.0340833403</v>
      </c>
      <c r="E60" s="1311">
        <v>133</v>
      </c>
      <c r="F60" s="1311">
        <v>3412955.1266001202</v>
      </c>
    </row>
    <row r="61" spans="1:6">
      <c r="A61" s="1310" t="s">
        <v>48</v>
      </c>
      <c r="B61" s="1310" t="s">
        <v>53</v>
      </c>
      <c r="C61" s="1311">
        <v>130</v>
      </c>
      <c r="D61" s="1311">
        <v>2999294.7913736398</v>
      </c>
      <c r="E61" s="1311">
        <v>247</v>
      </c>
      <c r="F61" s="1311">
        <v>2073818.02158801</v>
      </c>
    </row>
    <row r="62" spans="1:6">
      <c r="A62" s="1310" t="s">
        <v>48</v>
      </c>
      <c r="B62" s="1310" t="s">
        <v>54</v>
      </c>
      <c r="C62" s="1311">
        <v>16</v>
      </c>
      <c r="D62" s="1311">
        <v>1342924.2784787</v>
      </c>
      <c r="E62" s="1311">
        <v>27</v>
      </c>
      <c r="F62" s="1311">
        <v>366148.93587367499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27384.696762942</v>
      </c>
      <c r="E65" s="1311">
        <v>0</v>
      </c>
      <c r="F65" s="1311">
        <v>0</v>
      </c>
    </row>
    <row r="66" spans="1:6">
      <c r="A66" s="1310" t="s">
        <v>55</v>
      </c>
      <c r="B66" s="1310" t="s">
        <v>57</v>
      </c>
      <c r="C66" s="1311">
        <v>0</v>
      </c>
      <c r="D66" s="1311">
        <v>0</v>
      </c>
      <c r="E66" s="1311">
        <v>9</v>
      </c>
      <c r="F66" s="1311">
        <v>37917.973116833004</v>
      </c>
    </row>
    <row r="67" spans="1:6">
      <c r="A67" s="1312" t="s">
        <v>55</v>
      </c>
      <c r="B67" s="1312" t="s">
        <v>58</v>
      </c>
      <c r="C67" s="1311">
        <v>0</v>
      </c>
      <c r="D67" s="1311">
        <v>0</v>
      </c>
      <c r="E67" s="1311">
        <v>0</v>
      </c>
      <c r="F67" s="1311">
        <v>0</v>
      </c>
    </row>
    <row r="68" spans="1:6">
      <c r="A68" s="1305" t="s">
        <v>55</v>
      </c>
      <c r="B68" s="1305" t="s">
        <v>59</v>
      </c>
      <c r="C68" s="1314">
        <v>5</v>
      </c>
      <c r="D68" s="1314">
        <v>75923.490591440001</v>
      </c>
      <c r="E68" s="1314">
        <v>15</v>
      </c>
      <c r="F68" s="1314">
        <v>94152.9650996118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33167696</v>
      </c>
      <c r="E73" s="453"/>
      <c r="F73" s="332"/>
    </row>
    <row r="74" spans="1:6">
      <c r="A74" s="1310" t="s">
        <v>63</v>
      </c>
      <c r="B74" s="1310" t="s">
        <v>648</v>
      </c>
      <c r="C74" s="1324" t="s">
        <v>650</v>
      </c>
      <c r="D74" s="1325">
        <v>2993927.6087494013</v>
      </c>
      <c r="E74" s="453"/>
      <c r="F74" s="332"/>
    </row>
    <row r="75" spans="1:6">
      <c r="A75" s="1310" t="s">
        <v>64</v>
      </c>
      <c r="B75" s="1310" t="s">
        <v>647</v>
      </c>
      <c r="C75" s="1324" t="s">
        <v>651</v>
      </c>
      <c r="D75" s="1325">
        <v>28099238</v>
      </c>
      <c r="E75" s="453"/>
      <c r="F75" s="332"/>
    </row>
    <row r="76" spans="1:6">
      <c r="A76" s="1310" t="s">
        <v>64</v>
      </c>
      <c r="B76" s="1310" t="s">
        <v>648</v>
      </c>
      <c r="C76" s="1324" t="s">
        <v>652</v>
      </c>
      <c r="D76" s="1325">
        <v>357593.60874940152</v>
      </c>
      <c r="E76" s="453"/>
      <c r="F76" s="332"/>
    </row>
    <row r="77" spans="1:6">
      <c r="A77" s="1310" t="s">
        <v>65</v>
      </c>
      <c r="B77" s="1310" t="s">
        <v>647</v>
      </c>
      <c r="C77" s="1324" t="s">
        <v>653</v>
      </c>
      <c r="D77" s="1325">
        <v>77269594</v>
      </c>
      <c r="E77" s="453"/>
      <c r="F77" s="332"/>
    </row>
    <row r="78" spans="1:6">
      <c r="A78" s="1305" t="s">
        <v>65</v>
      </c>
      <c r="B78" s="1305" t="s">
        <v>648</v>
      </c>
      <c r="C78" s="1305" t="s">
        <v>654</v>
      </c>
      <c r="D78" s="1326">
        <v>10106658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217412.78250119701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8.2833573259839</v>
      </c>
      <c r="C89" s="332"/>
      <c r="D89" s="332"/>
      <c r="E89" s="332"/>
      <c r="F89" s="332"/>
    </row>
    <row r="90" spans="1:6">
      <c r="A90" s="1310" t="s">
        <v>540</v>
      </c>
      <c r="B90" s="1311">
        <v>0</v>
      </c>
      <c r="C90" s="332"/>
      <c r="D90" s="332"/>
      <c r="E90" s="332"/>
      <c r="F90" s="332"/>
    </row>
    <row r="91" spans="1:6">
      <c r="A91" s="1310" t="s">
        <v>67</v>
      </c>
      <c r="B91" s="1311">
        <v>5208.2495558895625</v>
      </c>
      <c r="C91" s="332"/>
      <c r="D91" s="332"/>
      <c r="E91" s="332"/>
      <c r="F91" s="332"/>
    </row>
    <row r="92" spans="1:6">
      <c r="A92" s="1305" t="s">
        <v>68</v>
      </c>
      <c r="B92" s="1306">
        <v>433.90182615261244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2408</v>
      </c>
      <c r="C97" s="332"/>
      <c r="D97" s="332"/>
      <c r="E97" s="332"/>
      <c r="F97" s="332"/>
    </row>
    <row r="98" spans="1:6">
      <c r="A98" s="1310" t="s">
        <v>71</v>
      </c>
      <c r="B98" s="1311">
        <v>0</v>
      </c>
      <c r="C98" s="332"/>
      <c r="D98" s="332"/>
      <c r="E98" s="332"/>
      <c r="F98" s="332"/>
    </row>
    <row r="99" spans="1:6">
      <c r="A99" s="1310" t="s">
        <v>72</v>
      </c>
      <c r="B99" s="1311">
        <v>104</v>
      </c>
      <c r="C99" s="332"/>
      <c r="D99" s="332"/>
      <c r="E99" s="332"/>
      <c r="F99" s="332"/>
    </row>
    <row r="100" spans="1:6">
      <c r="A100" s="1310" t="s">
        <v>73</v>
      </c>
      <c r="B100" s="1311">
        <v>742</v>
      </c>
      <c r="C100" s="332"/>
      <c r="D100" s="332"/>
      <c r="E100" s="332"/>
      <c r="F100" s="332"/>
    </row>
    <row r="101" spans="1:6">
      <c r="A101" s="1310" t="s">
        <v>74</v>
      </c>
      <c r="B101" s="1311">
        <v>105</v>
      </c>
      <c r="C101" s="332"/>
      <c r="D101" s="332"/>
      <c r="E101" s="332"/>
      <c r="F101" s="332"/>
    </row>
    <row r="102" spans="1:6">
      <c r="A102" s="1310" t="s">
        <v>75</v>
      </c>
      <c r="B102" s="1311">
        <v>153</v>
      </c>
      <c r="C102" s="332"/>
      <c r="D102" s="332"/>
      <c r="E102" s="332"/>
      <c r="F102" s="332"/>
    </row>
    <row r="103" spans="1:6">
      <c r="A103" s="1310" t="s">
        <v>76</v>
      </c>
      <c r="B103" s="1311">
        <v>404</v>
      </c>
      <c r="C103" s="332"/>
      <c r="D103" s="332"/>
      <c r="E103" s="332"/>
      <c r="F103" s="332"/>
    </row>
    <row r="104" spans="1:6">
      <c r="A104" s="1310" t="s">
        <v>77</v>
      </c>
      <c r="B104" s="1311">
        <v>2770</v>
      </c>
      <c r="C104" s="332"/>
      <c r="D104" s="332"/>
      <c r="E104" s="332"/>
      <c r="F104" s="332"/>
    </row>
    <row r="105" spans="1:6">
      <c r="A105" s="1305" t="s">
        <v>78</v>
      </c>
      <c r="B105" s="1314">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2</v>
      </c>
      <c r="C122" s="1311">
        <v>0</v>
      </c>
      <c r="D122" s="332"/>
      <c r="E122" s="332"/>
      <c r="F122" s="332"/>
    </row>
    <row r="123" spans="1:6">
      <c r="A123" s="1310" t="s">
        <v>87</v>
      </c>
      <c r="B123" s="1311">
        <v>49</v>
      </c>
      <c r="C123" s="1311">
        <v>31</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140</v>
      </c>
      <c r="C129" s="332"/>
      <c r="D129" s="332"/>
      <c r="E129" s="332"/>
      <c r="F129" s="332"/>
    </row>
    <row r="130" spans="1:6">
      <c r="A130" s="1310" t="s">
        <v>294</v>
      </c>
      <c r="B130" s="1311">
        <v>0</v>
      </c>
      <c r="C130" s="332"/>
      <c r="D130" s="332"/>
      <c r="E130" s="332"/>
      <c r="F130" s="332"/>
    </row>
    <row r="131" spans="1:6">
      <c r="A131" s="1310" t="s">
        <v>295</v>
      </c>
      <c r="B131" s="1311">
        <v>2</v>
      </c>
      <c r="C131" s="332"/>
      <c r="D131" s="332"/>
      <c r="E131" s="332"/>
      <c r="F131" s="332"/>
    </row>
    <row r="132" spans="1:6">
      <c r="A132" s="1305" t="s">
        <v>296</v>
      </c>
      <c r="B132" s="1306">
        <v>55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52553.379482432931</v>
      </c>
      <c r="C3" s="43" t="s">
        <v>169</v>
      </c>
      <c r="D3" s="43"/>
      <c r="E3" s="154"/>
      <c r="F3" s="43"/>
      <c r="G3" s="43"/>
      <c r="H3" s="43"/>
      <c r="I3" s="43"/>
      <c r="J3" s="43"/>
      <c r="K3" s="96"/>
    </row>
    <row r="4" spans="1:11">
      <c r="A4" s="360" t="s">
        <v>170</v>
      </c>
      <c r="B4" s="49">
        <f>IF(ISERROR('SEAP template'!B78+'SEAP template'!C78),0,'SEAP template'!B78+'SEAP template'!C78)</f>
        <v>5650.4347393681592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0.19723851996392008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1143.634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1143.634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0.19723851996392008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225.56867754041778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29662.41798279465</v>
      </c>
      <c r="C5" s="17">
        <f>IF(ISERROR('Eigen informatie GS &amp; warmtenet'!B59),0,'Eigen informatie GS &amp; warmtenet'!B59)</f>
        <v>0</v>
      </c>
      <c r="D5" s="30">
        <f>(SUM(HH_hh_gas_kWh,HH_rest_gas_kWh)/1000)*0.903</f>
        <v>72403.185224008761</v>
      </c>
      <c r="E5" s="17">
        <f>B46*B57</f>
        <v>9902.7642827305499</v>
      </c>
      <c r="F5" s="17">
        <f>B51*B62</f>
        <v>0</v>
      </c>
      <c r="G5" s="18"/>
      <c r="H5" s="17"/>
      <c r="I5" s="17"/>
      <c r="J5" s="17">
        <f>B50*B61+C50*C61</f>
        <v>1683.8256070905836</v>
      </c>
      <c r="K5" s="17"/>
      <c r="L5" s="17"/>
      <c r="M5" s="17"/>
      <c r="N5" s="17">
        <f>B48*B59+C48*C59</f>
        <v>18739.726286678164</v>
      </c>
      <c r="O5" s="17">
        <f>B69*B70*B71</f>
        <v>339.25685551518245</v>
      </c>
      <c r="P5" s="17">
        <f>B77*B78*B79/1000-B77*B78*B79/1000/B80</f>
        <v>1095.5317679992424</v>
      </c>
    </row>
    <row r="6" spans="1:16">
      <c r="A6" s="16" t="s">
        <v>612</v>
      </c>
      <c r="B6" s="786">
        <f>kWh_PV_kleiner_dan_10kW</f>
        <v>5208.2495558895625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34870.667538684211</v>
      </c>
      <c r="C8" s="21">
        <f>C5</f>
        <v>0</v>
      </c>
      <c r="D8" s="21">
        <f>D5</f>
        <v>72403.185224008761</v>
      </c>
      <c r="E8" s="21">
        <f>E5</f>
        <v>9902.7642827305499</v>
      </c>
      <c r="F8" s="21">
        <f>F5</f>
        <v>0</v>
      </c>
      <c r="G8" s="21"/>
      <c r="H8" s="21"/>
      <c r="I8" s="21"/>
      <c r="J8" s="21">
        <f>J5</f>
        <v>1683.8256070905836</v>
      </c>
      <c r="K8" s="21"/>
      <c r="L8" s="21">
        <f>L5</f>
        <v>0</v>
      </c>
      <c r="M8" s="21">
        <f>M5</f>
        <v>0</v>
      </c>
      <c r="N8" s="21">
        <f>N5</f>
        <v>18739.726286678164</v>
      </c>
      <c r="O8" s="21">
        <f>O5</f>
        <v>339.25685551518245</v>
      </c>
      <c r="P8" s="21">
        <f>P5</f>
        <v>1095.5317679992424</v>
      </c>
    </row>
    <row r="9" spans="1:16">
      <c r="B9" s="19"/>
      <c r="C9" s="19"/>
      <c r="D9" s="258"/>
      <c r="E9" s="19"/>
      <c r="F9" s="19"/>
      <c r="G9" s="19"/>
      <c r="H9" s="19"/>
      <c r="I9" s="19"/>
      <c r="J9" s="19"/>
      <c r="K9" s="19"/>
      <c r="L9" s="19"/>
      <c r="M9" s="19"/>
      <c r="N9" s="19"/>
      <c r="O9" s="19"/>
      <c r="P9" s="19"/>
    </row>
    <row r="10" spans="1:16">
      <c r="A10" s="24" t="s">
        <v>213</v>
      </c>
      <c r="B10" s="25">
        <f ca="1">'EF ele_warmte'!B12</f>
        <v>0.19723851996392008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6877.8388554839858</v>
      </c>
      <c r="C12" s="23">
        <f ca="1">C10*C8</f>
        <v>0</v>
      </c>
      <c r="D12" s="23">
        <f>D8*D10</f>
        <v>14625.443415249771</v>
      </c>
      <c r="E12" s="23">
        <f>E10*E8</f>
        <v>2247.9274921798351</v>
      </c>
      <c r="F12" s="23">
        <f>F10*F8</f>
        <v>0</v>
      </c>
      <c r="G12" s="23"/>
      <c r="H12" s="23"/>
      <c r="I12" s="23"/>
      <c r="J12" s="23">
        <f>J10*J8</f>
        <v>596.07426491006652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2408</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10.935856992639327</v>
      </c>
      <c r="D20" s="229"/>
      <c r="E20" s="15"/>
    </row>
    <row r="21" spans="1:7">
      <c r="A21" s="171" t="s">
        <v>73</v>
      </c>
      <c r="B21" s="37">
        <f>aantalw2001_elektriciteit</f>
        <v>742</v>
      </c>
      <c r="C21" s="167">
        <f>IF(ISERROR(B21/SUM($B$20,$B$21,$B$22)*100),0,B21/SUM($B$20,$B$21,$B$22)*100)</f>
        <v>78.023133543638281</v>
      </c>
      <c r="D21" s="229"/>
      <c r="E21" s="15"/>
    </row>
    <row r="22" spans="1:7">
      <c r="A22" s="171" t="s">
        <v>74</v>
      </c>
      <c r="B22" s="37">
        <f>aantalw2001_hout</f>
        <v>105</v>
      </c>
      <c r="C22" s="167">
        <f>IF(ISERROR(B22/SUM($B$20,$B$21,$B$22)*100),0,B22/SUM($B$20,$B$21,$B$22)*100)</f>
        <v>11.041009463722396</v>
      </c>
      <c r="D22" s="229"/>
      <c r="E22" s="15"/>
    </row>
    <row r="23" spans="1:7">
      <c r="A23" s="171" t="s">
        <v>75</v>
      </c>
      <c r="B23" s="37">
        <f>aantalw2001_niet_gespec</f>
        <v>153</v>
      </c>
      <c r="C23" s="166" t="s">
        <v>110</v>
      </c>
      <c r="D23" s="228"/>
      <c r="E23" s="15"/>
    </row>
    <row r="24" spans="1:7">
      <c r="A24" s="171" t="s">
        <v>76</v>
      </c>
      <c r="B24" s="37">
        <f>aantalw2001_steenkool</f>
        <v>404</v>
      </c>
      <c r="C24" s="166" t="s">
        <v>110</v>
      </c>
      <c r="D24" s="229"/>
      <c r="E24" s="15"/>
    </row>
    <row r="25" spans="1:7">
      <c r="A25" s="171" t="s">
        <v>77</v>
      </c>
      <c r="B25" s="37">
        <f>aantalw2001_stookolie</f>
        <v>2770</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838</v>
      </c>
      <c r="B28" s="37">
        <f>aantalHuishoudens</f>
        <v>7991</v>
      </c>
      <c r="C28" s="36"/>
      <c r="D28" s="228"/>
    </row>
    <row r="29" spans="1:7" s="15" customFormat="1">
      <c r="A29" s="230" t="s">
        <v>839</v>
      </c>
      <c r="B29" s="37">
        <f>SUM(HH_hh_gas_aantal,HH_rest_gas_aantal)</f>
        <v>5249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5249</v>
      </c>
      <c r="C32" s="167">
        <f>IF(ISERROR(B32/SUM($B$32,$B$34,$B$35,$B$36,$B$38,$B$39)*100),0,B32/SUM($B$32,$B$34,$B$35,$B$36,$B$38,$B$39)*100)</f>
        <v>66.552554837073671</v>
      </c>
      <c r="D32" s="233"/>
      <c r="G32" s="15"/>
    </row>
    <row r="33" spans="1:7">
      <c r="A33" s="171" t="s">
        <v>71</v>
      </c>
      <c r="B33" s="34" t="s">
        <v>110</v>
      </c>
      <c r="C33" s="167"/>
      <c r="D33" s="233"/>
      <c r="G33" s="15"/>
    </row>
    <row r="34" spans="1:7">
      <c r="A34" s="171" t="s">
        <v>72</v>
      </c>
      <c r="B34" s="33">
        <f>IF((($B$28-$B$32-$B$39-$B$77-$B$38)*C20/100)&lt;0,0,($B$28-$B$32-$B$39-$B$77-$B$38)*C20/100)</f>
        <v>275.37581493165084</v>
      </c>
      <c r="C34" s="167">
        <f>IF(ISERROR(B34/SUM($B$32,$B$34,$B$35,$B$36,$B$38,$B$39)*100),0,B34/SUM($B$32,$B$34,$B$35,$B$36,$B$38,$B$39)*100)</f>
        <v>3.4915153408349289</v>
      </c>
      <c r="D34" s="233"/>
      <c r="G34" s="15"/>
    </row>
    <row r="35" spans="1:7">
      <c r="A35" s="171" t="s">
        <v>73</v>
      </c>
      <c r="B35" s="33">
        <f>IF((($B$28-$B$32-$B$39-$B$77-$B$38)*C21/100)&lt;0,0,($B$28-$B$32-$B$39-$B$77-$B$38)*C21/100)</f>
        <v>1964.7005257623555</v>
      </c>
      <c r="C35" s="167">
        <f>IF(ISERROR(B35/SUM($B$32,$B$34,$B$35,$B$36,$B$38,$B$39)*100),0,B35/SUM($B$32,$B$34,$B$35,$B$36,$B$38,$B$39)*100)</f>
        <v>24.910619066341521</v>
      </c>
      <c r="D35" s="233"/>
      <c r="G35" s="15"/>
    </row>
    <row r="36" spans="1:7">
      <c r="A36" s="171" t="s">
        <v>74</v>
      </c>
      <c r="B36" s="33">
        <f>IF((($B$28-$B$32-$B$39-$B$77-$B$38)*C22/100)&lt;0,0,($B$28-$B$32-$B$39-$B$77-$B$38)*C22/100)</f>
        <v>278.02365930599365</v>
      </c>
      <c r="C36" s="167">
        <f>IF(ISERROR(B36/SUM($B$32,$B$34,$B$35,$B$36,$B$38,$B$39)*100),0,B36/SUM($B$32,$B$34,$B$35,$B$36,$B$38,$B$39)*100)</f>
        <v>3.5250876037275733</v>
      </c>
      <c r="D36" s="233"/>
      <c r="G36" s="15"/>
    </row>
    <row r="37" spans="1:7">
      <c r="A37" s="171" t="s">
        <v>75</v>
      </c>
      <c r="B37" s="34" t="s">
        <v>110</v>
      </c>
      <c r="C37" s="167"/>
      <c r="D37" s="173"/>
      <c r="G37" s="15"/>
    </row>
    <row r="38" spans="1:7">
      <c r="A38" s="171" t="s">
        <v>76</v>
      </c>
      <c r="B38" s="33">
        <f>IF((B24-(B29-B18)*0.1)&lt;0,0,B24-(B29-B18)*0.1)</f>
        <v>119.89999999999998</v>
      </c>
      <c r="C38" s="167">
        <f>IF(ISERROR(B38/SUM($B$32,$B$34,$B$35,$B$36,$B$38,$B$39)*100),0,B38/SUM($B$32,$B$34,$B$35,$B$36,$B$38,$B$39)*100)</f>
        <v>1.5202231520223151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5249</v>
      </c>
      <c r="C44" s="34" t="s">
        <v>110</v>
      </c>
      <c r="D44" s="174"/>
    </row>
    <row r="45" spans="1:7">
      <c r="A45" s="171" t="s">
        <v>71</v>
      </c>
      <c r="B45" s="33" t="str">
        <f t="shared" si="0"/>
        <v>-</v>
      </c>
      <c r="C45" s="34" t="s">
        <v>110</v>
      </c>
      <c r="D45" s="174"/>
    </row>
    <row r="46" spans="1:7">
      <c r="A46" s="171" t="s">
        <v>72</v>
      </c>
      <c r="B46" s="33">
        <f t="shared" si="0"/>
        <v>275.37581493165084</v>
      </c>
      <c r="C46" s="34" t="s">
        <v>110</v>
      </c>
      <c r="D46" s="174"/>
    </row>
    <row r="47" spans="1:7">
      <c r="A47" s="171" t="s">
        <v>73</v>
      </c>
      <c r="B47" s="33">
        <f t="shared" si="0"/>
        <v>1964.7005257623555</v>
      </c>
      <c r="C47" s="34" t="s">
        <v>110</v>
      </c>
      <c r="D47" s="174"/>
    </row>
    <row r="48" spans="1:7">
      <c r="A48" s="171" t="s">
        <v>74</v>
      </c>
      <c r="B48" s="33">
        <f t="shared" si="0"/>
        <v>278.02365930599365</v>
      </c>
      <c r="C48" s="33">
        <f>B48*10</f>
        <v>2780.2365930599362</v>
      </c>
      <c r="D48" s="234"/>
    </row>
    <row r="49" spans="1:6">
      <c r="A49" s="171" t="s">
        <v>75</v>
      </c>
      <c r="B49" s="33" t="str">
        <f t="shared" si="0"/>
        <v>-</v>
      </c>
      <c r="C49" s="34" t="s">
        <v>110</v>
      </c>
      <c r="D49" s="234"/>
    </row>
    <row r="50" spans="1:6">
      <c r="A50" s="171" t="s">
        <v>76</v>
      </c>
      <c r="B50" s="33">
        <f t="shared" si="0"/>
        <v>119.89999999999998</v>
      </c>
      <c r="C50" s="33">
        <f>B50*2</f>
        <v>239.79999999999995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13570.888708720275</v>
      </c>
      <c r="C5" s="17">
        <f>IF(ISERROR('Eigen informatie GS &amp; warmtenet'!B60),0,'Eigen informatie GS &amp; warmtenet'!B60)</f>
        <v>0</v>
      </c>
      <c r="D5" s="30">
        <f>SUM(D6:D12)</f>
        <v>17763.21944757122</v>
      </c>
      <c r="E5" s="17">
        <f>SUM(E6:E12)</f>
        <v>33.527329137402404</v>
      </c>
      <c r="F5" s="17">
        <f>SUM(F6:F12)</f>
        <v>1694.4078675834116</v>
      </c>
      <c r="G5" s="18"/>
      <c r="H5" s="17"/>
      <c r="I5" s="17"/>
      <c r="J5" s="17">
        <f>SUM(J6:J12)</f>
        <v>8.5861168242219212E-3</v>
      </c>
      <c r="K5" s="17"/>
      <c r="L5" s="17"/>
      <c r="M5" s="17"/>
      <c r="N5" s="17">
        <f>SUM(N6:N12)</f>
        <v>322.87256839791024</v>
      </c>
      <c r="O5" s="17">
        <f>B38*B39*B40</f>
        <v>0</v>
      </c>
      <c r="P5" s="17">
        <f>B46*B47*B48/1000-B46*B47*B48/1000/B49</f>
        <v>210.15655322598008</v>
      </c>
      <c r="R5" s="32"/>
    </row>
    <row r="6" spans="1:18">
      <c r="A6" s="32" t="s">
        <v>53</v>
      </c>
      <c r="B6" s="37">
        <f>B26</f>
        <v>2073.8180215880102</v>
      </c>
      <c r="C6" s="33"/>
      <c r="D6" s="37">
        <f>IF(ISERROR(TER_kantoor_gas_kWh/1000),0,TER_kantoor_gas_kWh/1000)*0.903</f>
        <v>2708.3631966103967</v>
      </c>
      <c r="E6" s="33">
        <f>$C$26*'E Balans VL '!I12/100/3.6*1000000</f>
        <v>0.49683750410816319</v>
      </c>
      <c r="F6" s="33">
        <f>$C$26*('E Balans VL '!L12+'E Balans VL '!N12)/100/3.6*1000000</f>
        <v>196.65772722285504</v>
      </c>
      <c r="G6" s="34"/>
      <c r="H6" s="33"/>
      <c r="I6" s="33"/>
      <c r="J6" s="33">
        <f>$C$26*('E Balans VL '!D12+'E Balans VL '!E12)/100/3.6*1000000</f>
        <v>0</v>
      </c>
      <c r="K6" s="33"/>
      <c r="L6" s="33"/>
      <c r="M6" s="33"/>
      <c r="N6" s="33">
        <f>$C$26*'E Balans VL '!Y12/100/3.6*1000000</f>
        <v>1.0533922894341632</v>
      </c>
      <c r="O6" s="33"/>
      <c r="P6" s="33"/>
      <c r="R6" s="32"/>
    </row>
    <row r="7" spans="1:18">
      <c r="A7" s="32" t="s">
        <v>52</v>
      </c>
      <c r="B7" s="37">
        <f t="shared" ref="B7:B12" si="0">B27</f>
        <v>3412.9551266001204</v>
      </c>
      <c r="C7" s="33"/>
      <c r="D7" s="37">
        <f>IF(ISERROR(TER_horeca_gas_kWh/1000),0,TER_horeca_gas_kWh/1000)*0.903</f>
        <v>7723.4348827772565</v>
      </c>
      <c r="E7" s="33">
        <f>$C$27*'E Balans VL '!I9/100/3.6*1000000</f>
        <v>0</v>
      </c>
      <c r="F7" s="33">
        <f>$C$27*('E Balans VL '!L9+'E Balans VL '!N9)/100/3.6*1000000</f>
        <v>279.854297584118</v>
      </c>
      <c r="G7" s="34"/>
      <c r="H7" s="33"/>
      <c r="I7" s="33"/>
      <c r="J7" s="33">
        <f>$C$27*('E Balans VL '!D9+'E Balans VL '!E9)/100/3.6*1000000</f>
        <v>0</v>
      </c>
      <c r="K7" s="33"/>
      <c r="L7" s="33"/>
      <c r="M7" s="33"/>
      <c r="N7" s="33">
        <f>$C$27*'E Balans VL '!Y9/100/3.6*1000000</f>
        <v>1.0462078687842273</v>
      </c>
      <c r="O7" s="33"/>
      <c r="P7" s="33"/>
      <c r="R7" s="32"/>
    </row>
    <row r="8" spans="1:18">
      <c r="A8" s="6" t="s">
        <v>51</v>
      </c>
      <c r="B8" s="37">
        <f t="shared" si="0"/>
        <v>5855.4340299660798</v>
      </c>
      <c r="C8" s="33"/>
      <c r="D8" s="37">
        <f>IF(ISERROR(TER_handel_gas_kWh/1000),0,TER_handel_gas_kWh/1000)*0.903</f>
        <v>2328.4842101350901</v>
      </c>
      <c r="E8" s="33">
        <f>$C$28*'E Balans VL '!I13/100/3.6*1000000</f>
        <v>20.578650309696116</v>
      </c>
      <c r="F8" s="33">
        <f>$C$28*('E Balans VL '!L13+'E Balans VL '!N13)/100/3.6*1000000</f>
        <v>535.76169836374038</v>
      </c>
      <c r="G8" s="34"/>
      <c r="H8" s="33"/>
      <c r="I8" s="33"/>
      <c r="J8" s="33">
        <f>$C$28*('E Balans VL '!D13+'E Balans VL '!E13)/100/3.6*1000000</f>
        <v>0</v>
      </c>
      <c r="K8" s="33"/>
      <c r="L8" s="33"/>
      <c r="M8" s="33"/>
      <c r="N8" s="33">
        <f>$C$28*'E Balans VL '!Y13/100/3.6*1000000</f>
        <v>2.1205861197845013</v>
      </c>
      <c r="O8" s="33"/>
      <c r="P8" s="33"/>
      <c r="R8" s="32"/>
    </row>
    <row r="9" spans="1:18">
      <c r="A9" s="32" t="s">
        <v>50</v>
      </c>
      <c r="B9" s="37">
        <f t="shared" si="0"/>
        <v>993.12461326904997</v>
      </c>
      <c r="C9" s="33"/>
      <c r="D9" s="37">
        <f>IF(ISERROR(TER_gezond_gas_kWh/1000),0,TER_gezond_gas_kWh/1000)*0.903</f>
        <v>2552.4690992117576</v>
      </c>
      <c r="E9" s="33">
        <f>$C$29*'E Balans VL '!I10/100/3.6*1000000</f>
        <v>0</v>
      </c>
      <c r="F9" s="33">
        <f>$C$29*('E Balans VL '!L10+'E Balans VL '!N10)/100/3.6*1000000</f>
        <v>121.73884089087674</v>
      </c>
      <c r="G9" s="34"/>
      <c r="H9" s="33"/>
      <c r="I9" s="33"/>
      <c r="J9" s="33">
        <f>$C$29*('E Balans VL '!D10+'E Balans VL '!E10)/100/3.6*1000000</f>
        <v>0</v>
      </c>
      <c r="K9" s="33"/>
      <c r="L9" s="33"/>
      <c r="M9" s="33"/>
      <c r="N9" s="33">
        <f>$C$29*'E Balans VL '!Y10/100/3.6*1000000</f>
        <v>7.3236019591704054</v>
      </c>
      <c r="O9" s="33"/>
      <c r="P9" s="33"/>
      <c r="R9" s="32"/>
    </row>
    <row r="10" spans="1:18">
      <c r="A10" s="32" t="s">
        <v>49</v>
      </c>
      <c r="B10" s="37">
        <f t="shared" si="0"/>
        <v>869.40798142333904</v>
      </c>
      <c r="C10" s="33"/>
      <c r="D10" s="37">
        <f>IF(ISERROR(TER_ander_gas_kWh/1000),0,TER_ander_gas_kWh/1000)*0.903</f>
        <v>1237.8074353704574</v>
      </c>
      <c r="E10" s="33">
        <f>$C$30*'E Balans VL '!I14/100/3.6*1000000</f>
        <v>12.451841323598126</v>
      </c>
      <c r="F10" s="33">
        <f>$C$30*('E Balans VL '!L14+'E Balans VL '!N14)/100/3.6*1000000</f>
        <v>517.58813266551863</v>
      </c>
      <c r="G10" s="34"/>
      <c r="H10" s="33"/>
      <c r="I10" s="33"/>
      <c r="J10" s="33">
        <f>$C$30*('E Balans VL '!D14+'E Balans VL '!E14)/100/3.6*1000000</f>
        <v>8.5861168242219212E-3</v>
      </c>
      <c r="K10" s="33"/>
      <c r="L10" s="33"/>
      <c r="M10" s="33"/>
      <c r="N10" s="33">
        <f>$C$30*'E Balans VL '!Y14/100/3.6*1000000</f>
        <v>310.29774680264467</v>
      </c>
      <c r="O10" s="33"/>
      <c r="P10" s="33"/>
      <c r="R10" s="32"/>
    </row>
    <row r="11" spans="1:18">
      <c r="A11" s="32" t="s">
        <v>54</v>
      </c>
      <c r="B11" s="37">
        <f t="shared" si="0"/>
        <v>366.14893587367499</v>
      </c>
      <c r="C11" s="33"/>
      <c r="D11" s="37">
        <f>IF(ISERROR(TER_onderwijs_gas_kWh/1000),0,TER_onderwijs_gas_kWh/1000)*0.903</f>
        <v>1212.6606234662661</v>
      </c>
      <c r="E11" s="33">
        <f>$C$31*'E Balans VL '!I11/100/3.6*1000000</f>
        <v>0</v>
      </c>
      <c r="F11" s="33">
        <f>$C$31*('E Balans VL '!L11+'E Balans VL '!N11)/100/3.6*1000000</f>
        <v>42.807170856303017</v>
      </c>
      <c r="G11" s="34"/>
      <c r="H11" s="33"/>
      <c r="I11" s="33"/>
      <c r="J11" s="33">
        <f>$C$31*('E Balans VL '!D11+'E Balans VL '!E11)/100/3.6*1000000</f>
        <v>0</v>
      </c>
      <c r="K11" s="33"/>
      <c r="L11" s="33"/>
      <c r="M11" s="33"/>
      <c r="N11" s="33">
        <f>$C$31*'E Balans VL '!Y11/100/3.6*1000000</f>
        <v>1.031033358092253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13570.888708720275</v>
      </c>
      <c r="C16" s="21">
        <f t="shared" ca="1" si="1"/>
        <v>0</v>
      </c>
      <c r="D16" s="21">
        <f t="shared" ca="1" si="1"/>
        <v>17763.21944757122</v>
      </c>
      <c r="E16" s="21">
        <f t="shared" si="1"/>
        <v>33.527329137402404</v>
      </c>
      <c r="F16" s="21">
        <f t="shared" ca="1" si="1"/>
        <v>1694.4078675834116</v>
      </c>
      <c r="G16" s="21">
        <f t="shared" si="1"/>
        <v>0</v>
      </c>
      <c r="H16" s="21">
        <f t="shared" si="1"/>
        <v>0</v>
      </c>
      <c r="I16" s="21">
        <f t="shared" si="1"/>
        <v>0</v>
      </c>
      <c r="J16" s="21">
        <f t="shared" si="1"/>
        <v>8.5861168242219212E-3</v>
      </c>
      <c r="K16" s="21">
        <f t="shared" si="1"/>
        <v>0</v>
      </c>
      <c r="L16" s="21">
        <f t="shared" ca="1" si="1"/>
        <v>0</v>
      </c>
      <c r="M16" s="21">
        <f t="shared" si="1"/>
        <v>0</v>
      </c>
      <c r="N16" s="21">
        <f t="shared" ca="1" si="1"/>
        <v>322.87256839791024</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0.19723851996392008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2676.7020035030614</v>
      </c>
      <c r="C20" s="23">
        <f t="shared" ref="C20:P20" ca="1" si="2">C16*C18</f>
        <v>0</v>
      </c>
      <c r="D20" s="23">
        <f t="shared" ca="1" si="2"/>
        <v>3588.1703284093869</v>
      </c>
      <c r="E20" s="23">
        <f t="shared" si="2"/>
        <v>7.610703714190346</v>
      </c>
      <c r="F20" s="23">
        <f t="shared" ca="1" si="2"/>
        <v>452.40690064477093</v>
      </c>
      <c r="G20" s="23">
        <f t="shared" si="2"/>
        <v>0</v>
      </c>
      <c r="H20" s="23">
        <f t="shared" si="2"/>
        <v>0</v>
      </c>
      <c r="I20" s="23">
        <f t="shared" si="2"/>
        <v>0</v>
      </c>
      <c r="J20" s="23">
        <f t="shared" si="2"/>
        <v>3.0394853557745597E-3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2073.8180215880102</v>
      </c>
      <c r="C26" s="39">
        <f>IF(ISERROR(B26*3.6/1000000/'E Balans VL '!Z12*100),0,B26*3.6/1000000/'E Balans VL '!Z12*100)</f>
        <v>5.8487159956951237E-2</v>
      </c>
      <c r="D26" s="237" t="s">
        <v>702</v>
      </c>
      <c r="F26" s="6"/>
    </row>
    <row r="27" spans="1:18">
      <c r="A27" s="231" t="s">
        <v>52</v>
      </c>
      <c r="B27" s="33">
        <f>IF(ISERROR(TER_horeca_ele_kWh/1000),0,TER_horeca_ele_kWh/1000)</f>
        <v>3412.9551266001204</v>
      </c>
      <c r="C27" s="39">
        <f>IF(ISERROR(B27*3.6/1000000/'E Balans VL '!Z9*100),0,B27*3.6/1000000/'E Balans VL '!Z9*100)</f>
        <v>0.25302869558526708</v>
      </c>
      <c r="D27" s="237" t="s">
        <v>702</v>
      </c>
      <c r="F27" s="6"/>
    </row>
    <row r="28" spans="1:18">
      <c r="A28" s="171" t="s">
        <v>51</v>
      </c>
      <c r="B28" s="33">
        <f>IF(ISERROR(TER_handel_ele_kWh/1000),0,TER_handel_ele_kWh/1000)</f>
        <v>5855.4340299660798</v>
      </c>
      <c r="C28" s="39">
        <f>IF(ISERROR(B28*3.6/1000000/'E Balans VL '!Z13*100),0,B28*3.6/1000000/'E Balans VL '!Z13*100)</f>
        <v>0.1754148817235954</v>
      </c>
      <c r="D28" s="237" t="s">
        <v>702</v>
      </c>
      <c r="F28" s="6"/>
    </row>
    <row r="29" spans="1:18">
      <c r="A29" s="231" t="s">
        <v>50</v>
      </c>
      <c r="B29" s="33">
        <f>IF(ISERROR(TER_gezond_ele_kWh/1000),0,TER_gezond_ele_kWh/1000)</f>
        <v>993.12461326904997</v>
      </c>
      <c r="C29" s="39">
        <f>IF(ISERROR(B29*3.6/1000000/'E Balans VL '!Z10*100),0,B29*3.6/1000000/'E Balans VL '!Z10*100)</f>
        <v>9.8200551013360726E-2</v>
      </c>
      <c r="D29" s="237" t="s">
        <v>702</v>
      </c>
      <c r="F29" s="6"/>
    </row>
    <row r="30" spans="1:18">
      <c r="A30" s="231" t="s">
        <v>49</v>
      </c>
      <c r="B30" s="33">
        <f>IF(ISERROR(TER_ander_ele_kWh/1000),0,TER_ander_ele_kWh/1000)</f>
        <v>869.40798142333904</v>
      </c>
      <c r="C30" s="39">
        <f>IF(ISERROR(B30*3.6/1000000/'E Balans VL '!Z14*100),0,B30*3.6/1000000/'E Balans VL '!Z14*100)</f>
        <v>3.5164983580431068E-2</v>
      </c>
      <c r="D30" s="237" t="s">
        <v>702</v>
      </c>
      <c r="F30" s="6"/>
    </row>
    <row r="31" spans="1:18">
      <c r="A31" s="231" t="s">
        <v>54</v>
      </c>
      <c r="B31" s="33">
        <f>IF(ISERROR(TER_onderwijs_ele_kWh/1000),0,TER_onderwijs_ele_kWh/1000)</f>
        <v>366.14893587367499</v>
      </c>
      <c r="C31" s="39">
        <f>IF(ISERROR(B31*3.6/1000000/'E Balans VL '!Z11*100),0,B31*3.6/1000000/'E Balans VL '!Z11*100)</f>
        <v>0.10059712607494484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1390.6759779899651</v>
      </c>
      <c r="C5" s="17">
        <f>IF(ISERROR('Eigen informatie GS &amp; warmtenet'!B61),0,'Eigen informatie GS &amp; warmtenet'!B61)</f>
        <v>0</v>
      </c>
      <c r="D5" s="30">
        <f>SUM(D6:D15)</f>
        <v>1694.3203056511754</v>
      </c>
      <c r="E5" s="17">
        <f>SUM(E6:E15)</f>
        <v>6.4244647505952637</v>
      </c>
      <c r="F5" s="17">
        <f>SUM(F6:F15)</f>
        <v>433.41261437819628</v>
      </c>
      <c r="G5" s="18"/>
      <c r="H5" s="17"/>
      <c r="I5" s="17"/>
      <c r="J5" s="17">
        <f>SUM(J6:J15)</f>
        <v>0.29299526412070798</v>
      </c>
      <c r="K5" s="17"/>
      <c r="L5" s="17"/>
      <c r="M5" s="17"/>
      <c r="N5" s="17">
        <f>SUM(N6:N15)</f>
        <v>51.546258558712587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322.26230391784901</v>
      </c>
      <c r="C8" s="33"/>
      <c r="D8" s="37">
        <f>IF( ISERROR(IND_metaal_Gas_kWH/1000),0,IND_metaal_Gas_kWH/1000)*0.903</f>
        <v>178.67749227160883</v>
      </c>
      <c r="E8" s="33">
        <f>C30*'E Balans VL '!I18/100/3.6*1000000</f>
        <v>1.6249027644633158</v>
      </c>
      <c r="F8" s="33">
        <f>C30*'E Balans VL '!L18/100/3.6*1000000+C30*'E Balans VL '!N18/100/3.6*1000000</f>
        <v>22.017619130903423</v>
      </c>
      <c r="G8" s="34"/>
      <c r="H8" s="33"/>
      <c r="I8" s="33"/>
      <c r="J8" s="40">
        <f>C30*'E Balans VL '!D18/100/3.6*1000000+C30*'E Balans VL '!E18/100/3.6*1000000</f>
        <v>0.28571302175182794</v>
      </c>
      <c r="K8" s="33"/>
      <c r="L8" s="33"/>
      <c r="M8" s="33"/>
      <c r="N8" s="33">
        <f>C30*'E Balans VL '!Y18/100/3.6*1000000</f>
        <v>4.2828679315426497</v>
      </c>
      <c r="O8" s="33"/>
      <c r="P8" s="33"/>
      <c r="R8" s="32"/>
    </row>
    <row r="9" spans="1:18">
      <c r="A9" s="6" t="s">
        <v>32</v>
      </c>
      <c r="B9" s="37">
        <f t="shared" si="0"/>
        <v>659.23689426477199</v>
      </c>
      <c r="C9" s="33"/>
      <c r="D9" s="37">
        <f>IF( ISERROR(IND_andere_gas_kWh/1000),0,IND_andere_gas_kWh/1000)*0.903</f>
        <v>873.81822809905907</v>
      </c>
      <c r="E9" s="33">
        <f>C31*'E Balans VL '!I19/100/3.6*1000000</f>
        <v>2.078070496949274</v>
      </c>
      <c r="F9" s="33">
        <f>C31*'E Balans VL '!L19/100/3.6*1000000+C31*'E Balans VL '!N19/100/3.6*1000000</f>
        <v>403.55710001460966</v>
      </c>
      <c r="G9" s="34"/>
      <c r="H9" s="33"/>
      <c r="I9" s="33"/>
      <c r="J9" s="40">
        <f>C31*'E Balans VL '!D19/100/3.6*1000000+C31*'E Balans VL '!E19/100/3.6*1000000</f>
        <v>0</v>
      </c>
      <c r="K9" s="33"/>
      <c r="L9" s="33"/>
      <c r="M9" s="33"/>
      <c r="N9" s="33">
        <f>C31*'E Balans VL '!Y19/100/3.6*1000000</f>
        <v>27.642698102130925</v>
      </c>
      <c r="O9" s="33"/>
      <c r="P9" s="33"/>
      <c r="R9" s="32"/>
    </row>
    <row r="10" spans="1:18">
      <c r="A10" s="6" t="s">
        <v>40</v>
      </c>
      <c r="B10" s="37">
        <f t="shared" si="0"/>
        <v>274.42763464820899</v>
      </c>
      <c r="C10" s="33"/>
      <c r="D10" s="37">
        <f>IF( ISERROR(IND_voed_gas_kWh/1000),0,IND_voed_gas_kWh/1000)*0.903</f>
        <v>490.03636272710639</v>
      </c>
      <c r="E10" s="33">
        <f>C32*'E Balans VL '!I20/100/3.6*1000000</f>
        <v>0.43736057849259163</v>
      </c>
      <c r="F10" s="33">
        <f>C32*'E Balans VL '!L20/100/3.6*1000000+C32*'E Balans VL '!N20/100/3.6*1000000</f>
        <v>4.4587824027401455</v>
      </c>
      <c r="G10" s="34"/>
      <c r="H10" s="33"/>
      <c r="I10" s="33"/>
      <c r="J10" s="40">
        <f>C32*'E Balans VL '!D20/100/3.6*1000000+C32*'E Balans VL '!E20/100/3.6*1000000</f>
        <v>0</v>
      </c>
      <c r="K10" s="33"/>
      <c r="L10" s="33"/>
      <c r="M10" s="33"/>
      <c r="N10" s="33">
        <f>C32*'E Balans VL '!Y20/100/3.6*1000000</f>
        <v>8.6677952958633764</v>
      </c>
      <c r="O10" s="33"/>
      <c r="P10" s="33"/>
      <c r="R10" s="32"/>
    </row>
    <row r="11" spans="1:18">
      <c r="A11" s="6" t="s">
        <v>39</v>
      </c>
      <c r="B11" s="37">
        <f t="shared" si="0"/>
        <v>48.602538245987802</v>
      </c>
      <c r="C11" s="33"/>
      <c r="D11" s="37">
        <f>IF( ISERROR(IND_textiel_gas_kWh/1000),0,IND_textiel_gas_kWh/1000)*0.903</f>
        <v>46.820179230021353</v>
      </c>
      <c r="E11" s="33">
        <f>C33*'E Balans VL '!I21/100/3.6*1000000</f>
        <v>7.0513401919056307E-2</v>
      </c>
      <c r="F11" s="33">
        <f>C33*'E Balans VL '!L21/100/3.6*1000000+C33*'E Balans VL '!N21/100/3.6*1000000</f>
        <v>0.95118290143890583</v>
      </c>
      <c r="G11" s="34"/>
      <c r="H11" s="33"/>
      <c r="I11" s="33"/>
      <c r="J11" s="40">
        <f>C33*'E Balans VL '!D21/100/3.6*1000000+C33*'E Balans VL '!E21/100/3.6*1000000</f>
        <v>0</v>
      </c>
      <c r="K11" s="33"/>
      <c r="L11" s="33"/>
      <c r="M11" s="33"/>
      <c r="N11" s="33">
        <f>C33*'E Balans VL '!Y21/100/3.6*1000000</f>
        <v>2.3678053577915366</v>
      </c>
      <c r="O11" s="33"/>
      <c r="P11" s="33"/>
      <c r="R11" s="32"/>
    </row>
    <row r="12" spans="1:18">
      <c r="A12" s="6" t="s">
        <v>36</v>
      </c>
      <c r="B12" s="37">
        <f t="shared" si="0"/>
        <v>49.963344877624394</v>
      </c>
      <c r="C12" s="33"/>
      <c r="D12" s="37">
        <f>IF( ISERROR(IND_min_gas_kWh/1000),0,IND_min_gas_kWh/1000)*0.903</f>
        <v>59.800119438290324</v>
      </c>
      <c r="E12" s="33">
        <f>C34*'E Balans VL '!I22/100/3.6*1000000</f>
        <v>0.216204922572209</v>
      </c>
      <c r="F12" s="33">
        <f>C34*'E Balans VL '!L22/100/3.6*1000000+C34*'E Balans VL '!N22/100/3.6*1000000</f>
        <v>1.9076621836468923</v>
      </c>
      <c r="G12" s="34"/>
      <c r="H12" s="33"/>
      <c r="I12" s="33"/>
      <c r="J12" s="40">
        <f>C34*'E Balans VL '!D22/100/3.6*1000000+C34*'E Balans VL '!E22/100/3.6*1000000</f>
        <v>0</v>
      </c>
      <c r="K12" s="33"/>
      <c r="L12" s="33"/>
      <c r="M12" s="33"/>
      <c r="N12" s="33">
        <f>C34*'E Balans VL '!Y22/100/3.6*1000000</f>
        <v>8.5226211405311325</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32.616262035522801</v>
      </c>
      <c r="C14" s="33"/>
      <c r="D14" s="37">
        <f>IF( ISERROR(IND_chemie_gas_kWh/1000),0,IND_chemie_gas_kWh/1000)*0.903</f>
        <v>0</v>
      </c>
      <c r="E14" s="33">
        <f>C36*'E Balans VL '!I24/100/3.6*1000000</f>
        <v>1.9075035477674294</v>
      </c>
      <c r="F14" s="33">
        <f>C36*'E Balans VL '!L24/100/3.6*1000000+C36*'E Balans VL '!N24/100/3.6*1000000</f>
        <v>0.23069397866162417</v>
      </c>
      <c r="G14" s="34"/>
      <c r="H14" s="33"/>
      <c r="I14" s="33"/>
      <c r="J14" s="40">
        <f>C36*'E Balans VL '!D24/100/3.6*1000000+C36*'E Balans VL '!E24/100/3.6*1000000</f>
        <v>0</v>
      </c>
      <c r="K14" s="33"/>
      <c r="L14" s="33"/>
      <c r="M14" s="33"/>
      <c r="N14" s="33">
        <f>C36*'E Balans VL '!Y24/100/3.6*1000000</f>
        <v>2.1982099940224746E-3</v>
      </c>
      <c r="O14" s="33"/>
      <c r="P14" s="33"/>
      <c r="R14" s="32"/>
    </row>
    <row r="15" spans="1:18">
      <c r="A15" s="6" t="s">
        <v>269</v>
      </c>
      <c r="B15" s="37">
        <f t="shared" si="0"/>
        <v>3.5670000000000002</v>
      </c>
      <c r="C15" s="33"/>
      <c r="D15" s="37">
        <f>IF( ISERROR(IND_rest_gas_kWh/1000),0,IND_rest_gas_kWh/1000)*0.903</f>
        <v>45.167923885089493</v>
      </c>
      <c r="E15" s="33">
        <f>C37*'E Balans VL '!I15/100/3.6*1000000</f>
        <v>8.9909038431387547E-2</v>
      </c>
      <c r="F15" s="33">
        <f>C37*'E Balans VL '!L15/100/3.6*1000000+C37*'E Balans VL '!N15/100/3.6*1000000</f>
        <v>0.28957376619556818</v>
      </c>
      <c r="G15" s="34"/>
      <c r="H15" s="33"/>
      <c r="I15" s="33"/>
      <c r="J15" s="40">
        <f>C37*'E Balans VL '!D15/100/3.6*1000000+C37*'E Balans VL '!E15/100/3.6*1000000</f>
        <v>7.2822423688800467E-3</v>
      </c>
      <c r="K15" s="33"/>
      <c r="L15" s="33"/>
      <c r="M15" s="33"/>
      <c r="N15" s="33">
        <f>C37*'E Balans VL '!Y15/100/3.6*1000000</f>
        <v>6.0272520858941095E-2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1390.6759779899651</v>
      </c>
      <c r="C18" s="21">
        <f>C5+C16</f>
        <v>0</v>
      </c>
      <c r="D18" s="21">
        <f>MAX((D5+D16),0)</f>
        <v>1694.3203056511754</v>
      </c>
      <c r="E18" s="21">
        <f>MAX((E5+E16),0)</f>
        <v>6.4244647505952637</v>
      </c>
      <c r="F18" s="21">
        <f>MAX((F5+F16),0)</f>
        <v>433.41261437819628</v>
      </c>
      <c r="G18" s="21"/>
      <c r="H18" s="21"/>
      <c r="I18" s="21"/>
      <c r="J18" s="21">
        <f>MAX((J5+J16),0)</f>
        <v>0.29299526412070798</v>
      </c>
      <c r="K18" s="21"/>
      <c r="L18" s="21">
        <f>MAX((L5+L16),0)</f>
        <v>0</v>
      </c>
      <c r="M18" s="21"/>
      <c r="N18" s="21">
        <f>MAX((N5+N16),0)</f>
        <v>51.546258558712587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0.19723851996392008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274.29487164811781</v>
      </c>
      <c r="C22" s="23">
        <f ca="1">C18*C20</f>
        <v>0</v>
      </c>
      <c r="D22" s="23">
        <f>D18*D20</f>
        <v>342.25270174153746</v>
      </c>
      <c r="E22" s="23">
        <f>E18*E20</f>
        <v>1.458353498385125</v>
      </c>
      <c r="F22" s="23">
        <f>F18*F20</f>
        <v>115.72116803897842</v>
      </c>
      <c r="G22" s="23"/>
      <c r="H22" s="23"/>
      <c r="I22" s="23"/>
      <c r="J22" s="23">
        <f>J18*J20</f>
        <v>0.10372032349873062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322.26230391784901</v>
      </c>
      <c r="C30" s="39">
        <f>IF(ISERROR(B30*3.6/1000000/'E Balans VL '!Z18*100),0,B30*3.6/1000000/'E Balans VL '!Z18*100)</f>
        <v>1.5996374468220494E-2</v>
      </c>
      <c r="D30" s="237" t="s">
        <v>702</v>
      </c>
    </row>
    <row r="31" spans="1:18">
      <c r="A31" s="6" t="s">
        <v>32</v>
      </c>
      <c r="B31" s="37">
        <f>IF( ISERROR(IND_ander_ele_kWh/1000),0,IND_ander_ele_kWh/1000)</f>
        <v>659.23689426477199</v>
      </c>
      <c r="C31" s="39">
        <f>IF(ISERROR(B31*3.6/1000000/'E Balans VL '!Z19*100),0,B31*3.6/1000000/'E Balans VL '!Z19*100)</f>
        <v>2.2245867042567431E-2</v>
      </c>
      <c r="D31" s="237" t="s">
        <v>702</v>
      </c>
    </row>
    <row r="32" spans="1:18">
      <c r="A32" s="171" t="s">
        <v>40</v>
      </c>
      <c r="B32" s="37">
        <f>IF( ISERROR(IND_voed_ele_kWh/1000),0,IND_voed_ele_kWh/1000)</f>
        <v>274.42763464820899</v>
      </c>
      <c r="C32" s="39">
        <f>IF(ISERROR(B32*3.6/1000000/'E Balans VL '!Z20*100),0,B32*3.6/1000000/'E Balans VL '!Z20*100)</f>
        <v>6.4447444899609317E-3</v>
      </c>
      <c r="D32" s="237" t="s">
        <v>702</v>
      </c>
    </row>
    <row r="33" spans="1:5">
      <c r="A33" s="171" t="s">
        <v>39</v>
      </c>
      <c r="B33" s="37">
        <f>IF( ISERROR(IND_textiel_ele_kWh/1000),0,IND_textiel_ele_kWh/1000)</f>
        <v>48.602538245987802</v>
      </c>
      <c r="C33" s="39">
        <f>IF(ISERROR(B33*3.6/1000000/'E Balans VL '!Z21*100),0,B33*3.6/1000000/'E Balans VL '!Z21*100)</f>
        <v>5.3340669659298744E-3</v>
      </c>
      <c r="D33" s="237" t="s">
        <v>702</v>
      </c>
    </row>
    <row r="34" spans="1:5">
      <c r="A34" s="171" t="s">
        <v>36</v>
      </c>
      <c r="B34" s="37">
        <f>IF( ISERROR(IND_min_ele_kWh/1000),0,IND_min_ele_kWh/1000)</f>
        <v>49.963344877624394</v>
      </c>
      <c r="C34" s="39">
        <f>IF(ISERROR(B34*3.6/1000000/'E Balans VL '!Z22*100),0,B34*3.6/1000000/'E Balans VL '!Z22*100)</f>
        <v>7.0883376374322486E-3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32.616262035522801</v>
      </c>
      <c r="C36" s="39">
        <f>IF(ISERROR(B36*3.6/1000000/'E Balans VL '!Z24*100),0,B36*3.6/1000000/'E Balans VL '!Z24*100)</f>
        <v>2.978380119864828E-4</v>
      </c>
      <c r="D36" s="237" t="s">
        <v>702</v>
      </c>
    </row>
    <row r="37" spans="1:5">
      <c r="A37" s="171" t="s">
        <v>269</v>
      </c>
      <c r="B37" s="37">
        <f>IF( ISERROR(IND_rest_ele_kWh/1000),0,IND_rest_ele_kWh/1000)</f>
        <v>3.5670000000000002</v>
      </c>
      <c r="C37" s="39">
        <f>IF(ISERROR(B37*3.6/1000000/'E Balans VL '!Z15*100),0,B37*3.6/1000000/'E Balans VL '!Z15*100)</f>
        <v>1.3367436665992598E-5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731.61445037705994</v>
      </c>
      <c r="C5" s="17">
        <f>'Eigen informatie GS &amp; warmtenet'!B62</f>
        <v>0</v>
      </c>
      <c r="D5" s="30">
        <f>IF(ISERROR(SUM(LB_lb_gas_kWh,LB_rest_gas_kWh)/1000),0,SUM(LB_lb_gas_kWh,LB_rest_gas_kWh)/1000)*0.903</f>
        <v>204.50604371694592</v>
      </c>
      <c r="E5" s="17">
        <f>B17*'E Balans VL '!I25/3.6*1000000/100</f>
        <v>27.284140703525569</v>
      </c>
      <c r="F5" s="17">
        <f>B17*('E Balans VL '!L25/3.6*1000000+'E Balans VL '!N25/3.6*1000000)/100</f>
        <v>2373.6399839750197</v>
      </c>
      <c r="G5" s="18"/>
      <c r="H5" s="17"/>
      <c r="I5" s="17"/>
      <c r="J5" s="17">
        <f>('E Balans VL '!D25+'E Balans VL '!E25)/3.6*1000000*landbouw!B17/100</f>
        <v>192.05240513657736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731.61445037705994</v>
      </c>
      <c r="C8" s="21">
        <f>C5+C6</f>
        <v>0</v>
      </c>
      <c r="D8" s="21">
        <f>MAX((D5+D6),0)</f>
        <v>204.50604371694592</v>
      </c>
      <c r="E8" s="21">
        <f>MAX((E5+E6),0)</f>
        <v>27.284140703525569</v>
      </c>
      <c r="F8" s="21">
        <f>MAX((F5+F6),0)</f>
        <v>2373.6399839750197</v>
      </c>
      <c r="G8" s="21"/>
      <c r="H8" s="21"/>
      <c r="I8" s="21"/>
      <c r="J8" s="21">
        <f>MAX((J5+J6),0)</f>
        <v>192.05240513657736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0.19723851996392008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144.30255137658816</v>
      </c>
      <c r="C12" s="23">
        <f ca="1">C8*C10</f>
        <v>0</v>
      </c>
      <c r="D12" s="23">
        <f>D8*D10</f>
        <v>41.310220830823077</v>
      </c>
      <c r="E12" s="23">
        <f>E8*E10</f>
        <v>6.1934999397003043</v>
      </c>
      <c r="F12" s="23">
        <f>F8*F10</f>
        <v>633.76187572133028</v>
      </c>
      <c r="G12" s="23"/>
      <c r="H12" s="23"/>
      <c r="I12" s="23"/>
      <c r="J12" s="23">
        <f>J8*J10</f>
        <v>67.986551418348384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0.10048533559795282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153.14439180763833</v>
      </c>
      <c r="C26" s="247">
        <f>B26*'GWP N2O_CH4'!B5</f>
        <v>3216.0322279604047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20.967903043727908</v>
      </c>
      <c r="C27" s="247">
        <f>B27*'GWP N2O_CH4'!B5</f>
        <v>440.32596391828605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1.929578128144267</v>
      </c>
      <c r="C28" s="247">
        <f>B28*'GWP N2O_CH4'!B4</f>
        <v>598.16921972472278</v>
      </c>
      <c r="D28" s="50"/>
    </row>
    <row r="29" spans="1:4">
      <c r="A29" s="41" t="s">
        <v>276</v>
      </c>
      <c r="B29" s="247">
        <f>B34*'ha_N2O bodem landbouw'!B4</f>
        <v>8.6862056063950153</v>
      </c>
      <c r="C29" s="247">
        <f>B29*'GWP N2O_CH4'!B4</f>
        <v>2692.7237379824546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1.9796110638665536E-3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3.3689970234865362E-4</v>
      </c>
      <c r="C5" s="440" t="s">
        <v>210</v>
      </c>
      <c r="D5" s="425">
        <f>SUM(D6:D11)</f>
        <v>1.3911215883260131E-3</v>
      </c>
      <c r="E5" s="425">
        <f>SUM(E6:E11)</f>
        <v>8.3587994603736518E-4</v>
      </c>
      <c r="F5" s="438" t="s">
        <v>210</v>
      </c>
      <c r="G5" s="425">
        <f>SUM(G6:G11)</f>
        <v>0.36413244686076052</v>
      </c>
      <c r="H5" s="425">
        <f>SUM(H6:H11)</f>
        <v>9.0524562489508464E-2</v>
      </c>
      <c r="I5" s="440" t="s">
        <v>210</v>
      </c>
      <c r="J5" s="440" t="s">
        <v>210</v>
      </c>
      <c r="K5" s="440" t="s">
        <v>210</v>
      </c>
      <c r="L5" s="440" t="s">
        <v>210</v>
      </c>
      <c r="M5" s="425">
        <f>SUM(M6:M11)</f>
        <v>2.6794112021666688E-2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8.0658776939975205E-5</v>
      </c>
      <c r="C6" s="426"/>
      <c r="D6" s="893">
        <f>vkm_GW_PW*SUMIFS(TableVerdeelsleutelVkm[CNG],TableVerdeelsleutelVkm[Voertuigtype],"Lichte voertuigen")*SUMIFS(TableECFTransport[EnergieConsumptieFactor (PJ per km)],TableECFTransport[Index],CONCATENATE($A6,"_CNG_CNG"))</f>
        <v>2.913148876783915E-4</v>
      </c>
      <c r="E6" s="893">
        <f>vkm_GW_PW*SUMIFS(TableVerdeelsleutelVkm[LPG],TableVerdeelsleutelVkm[Voertuigtype],"Lichte voertuigen")*SUMIFS(TableECFTransport[EnergieConsumptieFactor (PJ per km)],TableECFTransport[Index],CONCATENATE($A6,"_LPG_LPG"))</f>
        <v>1.5832216378510865E-4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4.9268881892879465E-2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1.8646293553780488E-2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4.0701455611372277E-3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2.860040477205841E-2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3.0109199254312105E-7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1.6102475865946092E-3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6.8333060277243101E-5</v>
      </c>
      <c r="C8" s="426"/>
      <c r="D8" s="428">
        <f>vkm_NGW_PW*SUMIFS(TableVerdeelsleutelVkm[CNG],TableVerdeelsleutelVkm[Voertuigtype],"Lichte voertuigen")*SUMIFS(TableECFTransport[EnergieConsumptieFactor (PJ per km)],TableECFTransport[Index],CONCATENATE($A8,"_CNG_CNG"))</f>
        <v>4.1833897082005377E-4</v>
      </c>
      <c r="E8" s="428">
        <f>vkm_NGW_PW*SUMIFS(TableVerdeelsleutelVkm[LPG],TableVerdeelsleutelVkm[Voertuigtype],"Lichte voertuigen")*SUMIFS(TableECFTransport[EnergieConsumptieFactor (PJ per km)],TableECFTransport[Index],CONCATENATE($A8,"_LPG_LPG"))</f>
        <v>2.1604941582813991E-4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6.2567964146958074E-2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2.6369108549328842E-2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5.3557751766851857E-3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4.1176556329181871E-3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6.2962209490304024E-8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2.3183182527692468E-4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1.8790786513143528E-4</v>
      </c>
      <c r="C10" s="426"/>
      <c r="D10" s="428">
        <f>vkm_SW_PW*SUMIFS(TableVerdeelsleutelVkm[CNG],TableVerdeelsleutelVkm[Voertuigtype],"Lichte voertuigen")*SUMIFS(TableECFTransport[EnergieConsumptieFactor (PJ per km)],TableECFTransport[Index],CONCATENATE($A10,"_CNG_CNG"))</f>
        <v>6.8146772982756779E-4</v>
      </c>
      <c r="E10" s="428">
        <f>vkm_SW_PW*SUMIFS(TableVerdeelsleutelVkm[LPG],TableVerdeelsleutelVkm[Voertuigtype],"Lichte voertuigen")*SUMIFS(TableECFTransport[EnergieConsumptieFactor (PJ per km)],TableECFTransport[Index],CONCATENATE($A10,"_LPG_LPG"))</f>
        <v>4.6150836642411665E-4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0.12762594039404501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4.5507771177267696E-2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1.0349088791728755E-2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9.1951600021901406E-2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1.025154929416888E-6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5.1770230802439844E-3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93.583250652403791</v>
      </c>
      <c r="C14" s="21"/>
      <c r="D14" s="21">
        <f t="shared" ref="D14:M14" si="0">((D5)*10^9/3600)+D12</f>
        <v>386.42266342389246</v>
      </c>
      <c r="E14" s="21">
        <f t="shared" si="0"/>
        <v>232.18887389926812</v>
      </c>
      <c r="F14" s="21"/>
      <c r="G14" s="21">
        <f t="shared" si="0"/>
        <v>101147.9019057668</v>
      </c>
      <c r="H14" s="21">
        <f t="shared" si="0"/>
        <v>25145.711802641239</v>
      </c>
      <c r="I14" s="21"/>
      <c r="J14" s="21"/>
      <c r="K14" s="21"/>
      <c r="L14" s="21"/>
      <c r="M14" s="21">
        <f t="shared" si="0"/>
        <v>7442.8088949074127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0.19723851996392008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18.458221852092681</v>
      </c>
      <c r="C18" s="23"/>
      <c r="D18" s="23">
        <f t="shared" ref="D18:M18" si="1">D14*D16</f>
        <v>78.057378011626284</v>
      </c>
      <c r="E18" s="23">
        <f t="shared" si="1"/>
        <v>52.706874375133864</v>
      </c>
      <c r="F18" s="23"/>
      <c r="G18" s="23">
        <f t="shared" si="1"/>
        <v>27006.489808839739</v>
      </c>
      <c r="H18" s="23">
        <f t="shared" si="1"/>
        <v>6261.2822388576687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2.6765112222962664E-3</v>
      </c>
      <c r="H50" s="321">
        <f t="shared" si="2"/>
        <v>0</v>
      </c>
      <c r="I50" s="321">
        <f t="shared" si="2"/>
        <v>0</v>
      </c>
      <c r="J50" s="321">
        <f t="shared" si="2"/>
        <v>0</v>
      </c>
      <c r="K50" s="321">
        <f t="shared" si="2"/>
        <v>0</v>
      </c>
      <c r="L50" s="321">
        <f t="shared" si="2"/>
        <v>0</v>
      </c>
      <c r="M50" s="321">
        <f t="shared" si="2"/>
        <v>1.4524274322793304E-4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2.6765112222962664E-3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1.4524274322793304E-4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743.47533952674064</v>
      </c>
      <c r="H54" s="21">
        <f t="shared" si="3"/>
        <v>0</v>
      </c>
      <c r="I54" s="21">
        <f t="shared" si="3"/>
        <v>0</v>
      </c>
      <c r="J54" s="21">
        <f t="shared" si="3"/>
        <v>0</v>
      </c>
      <c r="K54" s="21">
        <f t="shared" si="3"/>
        <v>0</v>
      </c>
      <c r="L54" s="21">
        <f t="shared" si="3"/>
        <v>0</v>
      </c>
      <c r="M54" s="21">
        <f t="shared" si="3"/>
        <v>40.34520645220362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0.19723851996392008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198.50791565363977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14714.522708720275</v>
      </c>
      <c r="D10" s="689">
        <f ca="1">tertiair!C16</f>
        <v>0</v>
      </c>
      <c r="E10" s="689">
        <f ca="1">tertiair!D16</f>
        <v>17763.21944757122</v>
      </c>
      <c r="F10" s="689">
        <f>tertiair!E16</f>
        <v>33.527329137402404</v>
      </c>
      <c r="G10" s="689">
        <f ca="1">tertiair!F16</f>
        <v>1694.4078675834116</v>
      </c>
      <c r="H10" s="689">
        <f>tertiair!G16</f>
        <v>0</v>
      </c>
      <c r="I10" s="689">
        <f>tertiair!H16</f>
        <v>0</v>
      </c>
      <c r="J10" s="689">
        <f>tertiair!I16</f>
        <v>0</v>
      </c>
      <c r="K10" s="689">
        <f>tertiair!J16</f>
        <v>8.5861168242219212E-3</v>
      </c>
      <c r="L10" s="689">
        <f>tertiair!K16</f>
        <v>0</v>
      </c>
      <c r="M10" s="689">
        <f ca="1">tertiair!L16</f>
        <v>0</v>
      </c>
      <c r="N10" s="689">
        <f>tertiair!M16</f>
        <v>0</v>
      </c>
      <c r="O10" s="689">
        <f ca="1">tertiair!N16</f>
        <v>322.87256839791024</v>
      </c>
      <c r="P10" s="689">
        <f>tertiair!O16</f>
        <v>0</v>
      </c>
      <c r="Q10" s="690">
        <f>tertiair!P16</f>
        <v>210.15655322598008</v>
      </c>
      <c r="R10" s="692">
        <f ca="1">SUM(C10:Q10)</f>
        <v>34738.715060753028</v>
      </c>
      <c r="S10" s="67"/>
    </row>
    <row r="11" spans="1:19" s="451" customFormat="1">
      <c r="A11" s="811" t="s">
        <v>224</v>
      </c>
      <c r="B11" s="816"/>
      <c r="C11" s="689">
        <f>huishoudens!B8</f>
        <v>34870.667538684211</v>
      </c>
      <c r="D11" s="689">
        <f>huishoudens!C8</f>
        <v>0</v>
      </c>
      <c r="E11" s="689">
        <f>huishoudens!D8</f>
        <v>72403.185224008761</v>
      </c>
      <c r="F11" s="689">
        <f>huishoudens!E8</f>
        <v>9902.7642827305499</v>
      </c>
      <c r="G11" s="689">
        <f>huishoudens!F8</f>
        <v>0</v>
      </c>
      <c r="H11" s="689">
        <f>huishoudens!G8</f>
        <v>0</v>
      </c>
      <c r="I11" s="689">
        <f>huishoudens!H8</f>
        <v>0</v>
      </c>
      <c r="J11" s="689">
        <f>huishoudens!I8</f>
        <v>0</v>
      </c>
      <c r="K11" s="689">
        <f>huishoudens!J8</f>
        <v>1683.8256070905836</v>
      </c>
      <c r="L11" s="689">
        <f>huishoudens!K8</f>
        <v>0</v>
      </c>
      <c r="M11" s="689">
        <f>huishoudens!L8</f>
        <v>0</v>
      </c>
      <c r="N11" s="689">
        <f>huishoudens!M8</f>
        <v>0</v>
      </c>
      <c r="O11" s="689">
        <f>huishoudens!N8</f>
        <v>18739.726286678164</v>
      </c>
      <c r="P11" s="689">
        <f>huishoudens!O8</f>
        <v>339.25685551518245</v>
      </c>
      <c r="Q11" s="690">
        <f>huishoudens!P8</f>
        <v>1095.5317679992424</v>
      </c>
      <c r="R11" s="692">
        <f>SUM(C11:Q11)</f>
        <v>139034.95756270667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1390.6759779899651</v>
      </c>
      <c r="D13" s="689">
        <f>industrie!C18</f>
        <v>0</v>
      </c>
      <c r="E13" s="689">
        <f>industrie!D18</f>
        <v>1694.3203056511754</v>
      </c>
      <c r="F13" s="689">
        <f>industrie!E18</f>
        <v>6.4244647505952637</v>
      </c>
      <c r="G13" s="689">
        <f>industrie!F18</f>
        <v>433.41261437819628</v>
      </c>
      <c r="H13" s="689">
        <f>industrie!G18</f>
        <v>0</v>
      </c>
      <c r="I13" s="689">
        <f>industrie!H18</f>
        <v>0</v>
      </c>
      <c r="J13" s="689">
        <f>industrie!I18</f>
        <v>0</v>
      </c>
      <c r="K13" s="689">
        <f>industrie!J18</f>
        <v>0.29299526412070798</v>
      </c>
      <c r="L13" s="689">
        <f>industrie!K18</f>
        <v>0</v>
      </c>
      <c r="M13" s="689">
        <f>industrie!L18</f>
        <v>0</v>
      </c>
      <c r="N13" s="689">
        <f>industrie!M18</f>
        <v>0</v>
      </c>
      <c r="O13" s="689">
        <f>industrie!N18</f>
        <v>51.546258558712587</v>
      </c>
      <c r="P13" s="689">
        <f>industrie!O18</f>
        <v>0</v>
      </c>
      <c r="Q13" s="690">
        <f>industrie!P18</f>
        <v>0</v>
      </c>
      <c r="R13" s="692">
        <f>SUM(C13:Q13)</f>
        <v>3576.6726165927653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50975.866225394449</v>
      </c>
      <c r="D16" s="725">
        <f t="shared" ref="D16:R16" ca="1" si="0">SUM(D9:D15)</f>
        <v>0</v>
      </c>
      <c r="E16" s="725">
        <f t="shared" ca="1" si="0"/>
        <v>91860.724977231148</v>
      </c>
      <c r="F16" s="725">
        <f t="shared" si="0"/>
        <v>9942.716076618548</v>
      </c>
      <c r="G16" s="725">
        <f t="shared" ca="1" si="0"/>
        <v>2127.820481961608</v>
      </c>
      <c r="H16" s="725">
        <f t="shared" si="0"/>
        <v>0</v>
      </c>
      <c r="I16" s="725">
        <f t="shared" si="0"/>
        <v>0</v>
      </c>
      <c r="J16" s="725">
        <f t="shared" si="0"/>
        <v>0</v>
      </c>
      <c r="K16" s="725">
        <f t="shared" si="0"/>
        <v>1684.1271884715286</v>
      </c>
      <c r="L16" s="725">
        <f t="shared" si="0"/>
        <v>0</v>
      </c>
      <c r="M16" s="725">
        <f t="shared" ca="1" si="0"/>
        <v>0</v>
      </c>
      <c r="N16" s="725">
        <f t="shared" si="0"/>
        <v>0</v>
      </c>
      <c r="O16" s="725">
        <f t="shared" ca="1" si="0"/>
        <v>19114.145113634786</v>
      </c>
      <c r="P16" s="725">
        <f t="shared" si="0"/>
        <v>339.25685551518245</v>
      </c>
      <c r="Q16" s="725">
        <f t="shared" si="0"/>
        <v>1305.6883212252226</v>
      </c>
      <c r="R16" s="725">
        <f t="shared" ca="1" si="0"/>
        <v>177350.34524005244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743.47533952674064</v>
      </c>
      <c r="I19" s="689">
        <f>transport!H54</f>
        <v>0</v>
      </c>
      <c r="J19" s="689">
        <f>transport!I54</f>
        <v>0</v>
      </c>
      <c r="K19" s="689">
        <f>transport!J54</f>
        <v>0</v>
      </c>
      <c r="L19" s="689">
        <f>transport!K54</f>
        <v>0</v>
      </c>
      <c r="M19" s="689">
        <f>transport!L54</f>
        <v>0</v>
      </c>
      <c r="N19" s="689">
        <f>transport!M54</f>
        <v>40.34520645220362</v>
      </c>
      <c r="O19" s="689">
        <f>transport!N54</f>
        <v>0</v>
      </c>
      <c r="P19" s="689">
        <f>transport!O54</f>
        <v>0</v>
      </c>
      <c r="Q19" s="690">
        <f>transport!P54</f>
        <v>0</v>
      </c>
      <c r="R19" s="692">
        <f>SUM(C19:Q19)</f>
        <v>783.82054597894421</v>
      </c>
      <c r="S19" s="67"/>
    </row>
    <row r="20" spans="1:19" s="451" customFormat="1">
      <c r="A20" s="811" t="s">
        <v>306</v>
      </c>
      <c r="B20" s="816"/>
      <c r="C20" s="689">
        <f>transport!B14</f>
        <v>93.583250652403791</v>
      </c>
      <c r="D20" s="689">
        <f>transport!C14</f>
        <v>0</v>
      </c>
      <c r="E20" s="689">
        <f>transport!D14</f>
        <v>386.42266342389246</v>
      </c>
      <c r="F20" s="689">
        <f>transport!E14</f>
        <v>232.18887389926812</v>
      </c>
      <c r="G20" s="689">
        <f>transport!F14</f>
        <v>0</v>
      </c>
      <c r="H20" s="689">
        <f>transport!G14</f>
        <v>101147.9019057668</v>
      </c>
      <c r="I20" s="689">
        <f>transport!H14</f>
        <v>25145.711802641239</v>
      </c>
      <c r="J20" s="689">
        <f>transport!I14</f>
        <v>0</v>
      </c>
      <c r="K20" s="689">
        <f>transport!J14</f>
        <v>0</v>
      </c>
      <c r="L20" s="689">
        <f>transport!K14</f>
        <v>0</v>
      </c>
      <c r="M20" s="689">
        <f>transport!L14</f>
        <v>0</v>
      </c>
      <c r="N20" s="689">
        <f>transport!M14</f>
        <v>7442.8088949074127</v>
      </c>
      <c r="O20" s="689">
        <f>transport!N14</f>
        <v>0</v>
      </c>
      <c r="P20" s="689">
        <f>transport!O14</f>
        <v>0</v>
      </c>
      <c r="Q20" s="690">
        <f>transport!P14</f>
        <v>0</v>
      </c>
      <c r="R20" s="692">
        <f>SUM(C20:Q20)</f>
        <v>134448.61739129102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93.583250652403791</v>
      </c>
      <c r="D22" s="814">
        <f t="shared" ref="D22:R22" si="1">SUM(D18:D21)</f>
        <v>0</v>
      </c>
      <c r="E22" s="814">
        <f t="shared" si="1"/>
        <v>386.42266342389246</v>
      </c>
      <c r="F22" s="814">
        <f t="shared" si="1"/>
        <v>232.18887389926812</v>
      </c>
      <c r="G22" s="814">
        <f t="shared" si="1"/>
        <v>0</v>
      </c>
      <c r="H22" s="814">
        <f t="shared" si="1"/>
        <v>101891.37724529355</v>
      </c>
      <c r="I22" s="814">
        <f t="shared" si="1"/>
        <v>25145.711802641239</v>
      </c>
      <c r="J22" s="814">
        <f t="shared" si="1"/>
        <v>0</v>
      </c>
      <c r="K22" s="814">
        <f t="shared" si="1"/>
        <v>0</v>
      </c>
      <c r="L22" s="814">
        <f t="shared" si="1"/>
        <v>0</v>
      </c>
      <c r="M22" s="814">
        <f t="shared" si="1"/>
        <v>0</v>
      </c>
      <c r="N22" s="814">
        <f t="shared" si="1"/>
        <v>7483.1541013596161</v>
      </c>
      <c r="O22" s="814">
        <f t="shared" si="1"/>
        <v>0</v>
      </c>
      <c r="P22" s="814">
        <f t="shared" si="1"/>
        <v>0</v>
      </c>
      <c r="Q22" s="814">
        <f t="shared" si="1"/>
        <v>0</v>
      </c>
      <c r="R22" s="814">
        <f t="shared" si="1"/>
        <v>135232.43793726995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731.61445037705994</v>
      </c>
      <c r="D24" s="689">
        <f>+landbouw!C8</f>
        <v>0</v>
      </c>
      <c r="E24" s="689">
        <f>+landbouw!D8</f>
        <v>204.50604371694592</v>
      </c>
      <c r="F24" s="689">
        <f>+landbouw!E8</f>
        <v>27.284140703525569</v>
      </c>
      <c r="G24" s="689">
        <f>+landbouw!F8</f>
        <v>2373.6399839750197</v>
      </c>
      <c r="H24" s="689">
        <f>+landbouw!G8</f>
        <v>0</v>
      </c>
      <c r="I24" s="689">
        <f>+landbouw!H8</f>
        <v>0</v>
      </c>
      <c r="J24" s="689">
        <f>+landbouw!I8</f>
        <v>0</v>
      </c>
      <c r="K24" s="689">
        <f>+landbouw!J8</f>
        <v>192.05240513657736</v>
      </c>
      <c r="L24" s="689">
        <f>+landbouw!K8</f>
        <v>0</v>
      </c>
      <c r="M24" s="689">
        <f>+landbouw!L8</f>
        <v>0</v>
      </c>
      <c r="N24" s="689">
        <f>+landbouw!M8</f>
        <v>0</v>
      </c>
      <c r="O24" s="689">
        <f>+landbouw!N8</f>
        <v>0</v>
      </c>
      <c r="P24" s="689">
        <f>+landbouw!O8</f>
        <v>0</v>
      </c>
      <c r="Q24" s="690">
        <f>+landbouw!P8</f>
        <v>0</v>
      </c>
      <c r="R24" s="692">
        <f>SUM(C24:Q24)</f>
        <v>3529.0970239091284</v>
      </c>
      <c r="S24" s="67"/>
    </row>
    <row r="25" spans="1:19" s="451" customFormat="1" ht="15" thickBot="1">
      <c r="A25" s="833" t="s">
        <v>714</v>
      </c>
      <c r="B25" s="947"/>
      <c r="C25" s="948">
        <f>IF(Onbekend_ele_kWh="---",0,Onbekend_ele_kWh)/1000+IF(REST_rest_ele_kWh="---",0,REST_rest_ele_kWh)/1000</f>
        <v>752.315556009018</v>
      </c>
      <c r="D25" s="948"/>
      <c r="E25" s="948">
        <f>IF(onbekend_gas_kWh="---",0,onbekend_gas_kWh)/1000+IF(REST_rest_gas_kWh="---",0,REST_rest_gas_kWh)/1000</f>
        <v>1449.04504057652</v>
      </c>
      <c r="F25" s="948"/>
      <c r="G25" s="948"/>
      <c r="H25" s="948"/>
      <c r="I25" s="948"/>
      <c r="J25" s="948"/>
      <c r="K25" s="948"/>
      <c r="L25" s="948"/>
      <c r="M25" s="948"/>
      <c r="N25" s="948"/>
      <c r="O25" s="948"/>
      <c r="P25" s="948"/>
      <c r="Q25" s="949"/>
      <c r="R25" s="692">
        <f>SUM(C25:Q25)</f>
        <v>2201.3605965855381</v>
      </c>
      <c r="S25" s="67"/>
    </row>
    <row r="26" spans="1:19" s="451" customFormat="1" ht="15.75" thickBot="1">
      <c r="A26" s="697" t="s">
        <v>715</v>
      </c>
      <c r="B26" s="819"/>
      <c r="C26" s="814">
        <f>SUM(C24:C25)</f>
        <v>1483.9300063860778</v>
      </c>
      <c r="D26" s="814">
        <f t="shared" ref="D26:R26" si="2">SUM(D24:D25)</f>
        <v>0</v>
      </c>
      <c r="E26" s="814">
        <f t="shared" si="2"/>
        <v>1653.5510842934659</v>
      </c>
      <c r="F26" s="814">
        <f t="shared" si="2"/>
        <v>27.284140703525569</v>
      </c>
      <c r="G26" s="814">
        <f t="shared" si="2"/>
        <v>2373.6399839750197</v>
      </c>
      <c r="H26" s="814">
        <f t="shared" si="2"/>
        <v>0</v>
      </c>
      <c r="I26" s="814">
        <f t="shared" si="2"/>
        <v>0</v>
      </c>
      <c r="J26" s="814">
        <f t="shared" si="2"/>
        <v>0</v>
      </c>
      <c r="K26" s="814">
        <f t="shared" si="2"/>
        <v>192.05240513657736</v>
      </c>
      <c r="L26" s="814">
        <f t="shared" si="2"/>
        <v>0</v>
      </c>
      <c r="M26" s="814">
        <f t="shared" si="2"/>
        <v>0</v>
      </c>
      <c r="N26" s="814">
        <f t="shared" si="2"/>
        <v>0</v>
      </c>
      <c r="O26" s="814">
        <f t="shared" si="2"/>
        <v>0</v>
      </c>
      <c r="P26" s="814">
        <f t="shared" si="2"/>
        <v>0</v>
      </c>
      <c r="Q26" s="814">
        <f t="shared" si="2"/>
        <v>0</v>
      </c>
      <c r="R26" s="814">
        <f t="shared" si="2"/>
        <v>5730.4576204946661</v>
      </c>
      <c r="S26" s="67"/>
    </row>
    <row r="27" spans="1:19" s="451" customFormat="1" ht="17.25" thickTop="1" thickBot="1">
      <c r="A27" s="698" t="s">
        <v>115</v>
      </c>
      <c r="B27" s="806"/>
      <c r="C27" s="699">
        <f ca="1">C22+C16+C26</f>
        <v>52553.379482432931</v>
      </c>
      <c r="D27" s="699">
        <f t="shared" ref="D27:R27" ca="1" si="3">D22+D16+D26</f>
        <v>0</v>
      </c>
      <c r="E27" s="699">
        <f t="shared" ca="1" si="3"/>
        <v>93900.698724948496</v>
      </c>
      <c r="F27" s="699">
        <f t="shared" si="3"/>
        <v>10202.18909122134</v>
      </c>
      <c r="G27" s="699">
        <f t="shared" ca="1" si="3"/>
        <v>4501.4604659366278</v>
      </c>
      <c r="H27" s="699">
        <f t="shared" si="3"/>
        <v>101891.37724529355</v>
      </c>
      <c r="I27" s="699">
        <f t="shared" si="3"/>
        <v>25145.711802641239</v>
      </c>
      <c r="J27" s="699">
        <f t="shared" si="3"/>
        <v>0</v>
      </c>
      <c r="K27" s="699">
        <f t="shared" si="3"/>
        <v>1876.179593608106</v>
      </c>
      <c r="L27" s="699">
        <f t="shared" si="3"/>
        <v>0</v>
      </c>
      <c r="M27" s="699">
        <f t="shared" ca="1" si="3"/>
        <v>0</v>
      </c>
      <c r="N27" s="699">
        <f t="shared" si="3"/>
        <v>7483.1541013596161</v>
      </c>
      <c r="O27" s="699">
        <f t="shared" ca="1" si="3"/>
        <v>19114.145113634786</v>
      </c>
      <c r="P27" s="699">
        <f t="shared" si="3"/>
        <v>339.25685551518245</v>
      </c>
      <c r="Q27" s="699">
        <f t="shared" si="3"/>
        <v>1305.6883212252226</v>
      </c>
      <c r="R27" s="699">
        <f t="shared" ca="1" si="3"/>
        <v>318313.24079781701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2902.2706810434793</v>
      </c>
      <c r="D40" s="689">
        <f ca="1">tertiair!C20</f>
        <v>0</v>
      </c>
      <c r="E40" s="689">
        <f ca="1">tertiair!D20</f>
        <v>3588.1703284093869</v>
      </c>
      <c r="F40" s="689">
        <f>tertiair!E20</f>
        <v>7.610703714190346</v>
      </c>
      <c r="G40" s="689">
        <f ca="1">tertiair!F20</f>
        <v>452.40690064477093</v>
      </c>
      <c r="H40" s="689">
        <f>tertiair!G20</f>
        <v>0</v>
      </c>
      <c r="I40" s="689">
        <f>tertiair!H20</f>
        <v>0</v>
      </c>
      <c r="J40" s="689">
        <f>tertiair!I20</f>
        <v>0</v>
      </c>
      <c r="K40" s="689">
        <f>tertiair!J20</f>
        <v>3.0394853557745597E-3</v>
      </c>
      <c r="L40" s="689">
        <f>tertiair!K20</f>
        <v>0</v>
      </c>
      <c r="M40" s="689">
        <f ca="1">tertiair!L20</f>
        <v>0</v>
      </c>
      <c r="N40" s="689">
        <f>tertiair!M20</f>
        <v>0</v>
      </c>
      <c r="O40" s="689">
        <f ca="1">tertiair!N20</f>
        <v>0</v>
      </c>
      <c r="P40" s="689">
        <f>tertiair!O20</f>
        <v>0</v>
      </c>
      <c r="Q40" s="772">
        <f>tertiair!P20</f>
        <v>0</v>
      </c>
      <c r="R40" s="852">
        <f t="shared" ca="1" si="4"/>
        <v>6950.4616532971831</v>
      </c>
    </row>
    <row r="41" spans="1:18">
      <c r="A41" s="824" t="s">
        <v>224</v>
      </c>
      <c r="B41" s="831"/>
      <c r="C41" s="689">
        <f ca="1">huishoudens!B12</f>
        <v>6877.8388554839858</v>
      </c>
      <c r="D41" s="689">
        <f ca="1">huishoudens!C12</f>
        <v>0</v>
      </c>
      <c r="E41" s="689">
        <f>huishoudens!D12</f>
        <v>14625.443415249771</v>
      </c>
      <c r="F41" s="689">
        <f>huishoudens!E12</f>
        <v>2247.9274921798351</v>
      </c>
      <c r="G41" s="689">
        <f>huishoudens!F12</f>
        <v>0</v>
      </c>
      <c r="H41" s="689">
        <f>huishoudens!G12</f>
        <v>0</v>
      </c>
      <c r="I41" s="689">
        <f>huishoudens!H12</f>
        <v>0</v>
      </c>
      <c r="J41" s="689">
        <f>huishoudens!I12</f>
        <v>0</v>
      </c>
      <c r="K41" s="689">
        <f>huishoudens!J12</f>
        <v>596.07426491006652</v>
      </c>
      <c r="L41" s="689">
        <f>huishoudens!K12</f>
        <v>0</v>
      </c>
      <c r="M41" s="689">
        <f>huishoudens!L12</f>
        <v>0</v>
      </c>
      <c r="N41" s="689">
        <f>huishoudens!M12</f>
        <v>0</v>
      </c>
      <c r="O41" s="689">
        <f>huishoudens!N12</f>
        <v>0</v>
      </c>
      <c r="P41" s="689">
        <f>huishoudens!O12</f>
        <v>0</v>
      </c>
      <c r="Q41" s="772">
        <f>huishoudens!P12</f>
        <v>0</v>
      </c>
      <c r="R41" s="852">
        <f t="shared" ca="1" si="4"/>
        <v>24347.284027823654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274.29487164811781</v>
      </c>
      <c r="D43" s="689">
        <f ca="1">industrie!C22</f>
        <v>0</v>
      </c>
      <c r="E43" s="689">
        <f>industrie!D22</f>
        <v>342.25270174153746</v>
      </c>
      <c r="F43" s="689">
        <f>industrie!E22</f>
        <v>1.458353498385125</v>
      </c>
      <c r="G43" s="689">
        <f>industrie!F22</f>
        <v>115.72116803897842</v>
      </c>
      <c r="H43" s="689">
        <f>industrie!G22</f>
        <v>0</v>
      </c>
      <c r="I43" s="689">
        <f>industrie!H22</f>
        <v>0</v>
      </c>
      <c r="J43" s="689">
        <f>industrie!I22</f>
        <v>0</v>
      </c>
      <c r="K43" s="689">
        <f>industrie!J22</f>
        <v>0.10372032349873062</v>
      </c>
      <c r="L43" s="689">
        <f>industrie!K22</f>
        <v>0</v>
      </c>
      <c r="M43" s="689">
        <f>industrie!L22</f>
        <v>0</v>
      </c>
      <c r="N43" s="689">
        <f>industrie!M22</f>
        <v>0</v>
      </c>
      <c r="O43" s="689">
        <f>industrie!N22</f>
        <v>0</v>
      </c>
      <c r="P43" s="689">
        <f>industrie!O22</f>
        <v>0</v>
      </c>
      <c r="Q43" s="772">
        <f>industrie!P22</f>
        <v>0</v>
      </c>
      <c r="R43" s="851">
        <f t="shared" ca="1" si="4"/>
        <v>733.83081525051762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10054.404408175582</v>
      </c>
      <c r="D46" s="725">
        <f t="shared" ref="D46:Q46" ca="1" si="5">SUM(D39:D45)</f>
        <v>0</v>
      </c>
      <c r="E46" s="725">
        <f t="shared" ca="1" si="5"/>
        <v>18555.866445400694</v>
      </c>
      <c r="F46" s="725">
        <f t="shared" si="5"/>
        <v>2256.996549392411</v>
      </c>
      <c r="G46" s="725">
        <f t="shared" ca="1" si="5"/>
        <v>568.12806868374935</v>
      </c>
      <c r="H46" s="725">
        <f t="shared" si="5"/>
        <v>0</v>
      </c>
      <c r="I46" s="725">
        <f t="shared" si="5"/>
        <v>0</v>
      </c>
      <c r="J46" s="725">
        <f t="shared" si="5"/>
        <v>0</v>
      </c>
      <c r="K46" s="725">
        <f t="shared" si="5"/>
        <v>596.18102471892098</v>
      </c>
      <c r="L46" s="725">
        <f t="shared" si="5"/>
        <v>0</v>
      </c>
      <c r="M46" s="725">
        <f t="shared" ca="1" si="5"/>
        <v>0</v>
      </c>
      <c r="N46" s="725">
        <f t="shared" si="5"/>
        <v>0</v>
      </c>
      <c r="O46" s="725">
        <f t="shared" ca="1" si="5"/>
        <v>0</v>
      </c>
      <c r="P46" s="725">
        <f t="shared" si="5"/>
        <v>0</v>
      </c>
      <c r="Q46" s="725">
        <f t="shared" si="5"/>
        <v>0</v>
      </c>
      <c r="R46" s="725">
        <f ca="1">SUM(R39:R45)</f>
        <v>32031.576496371355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198.50791565363977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198.50791565363977</v>
      </c>
    </row>
    <row r="50" spans="1:18">
      <c r="A50" s="827" t="s">
        <v>306</v>
      </c>
      <c r="B50" s="837"/>
      <c r="C50" s="695">
        <f ca="1">transport!B18</f>
        <v>18.458221852092681</v>
      </c>
      <c r="D50" s="695">
        <f>transport!C18</f>
        <v>0</v>
      </c>
      <c r="E50" s="695">
        <f>transport!D18</f>
        <v>78.057378011626284</v>
      </c>
      <c r="F50" s="695">
        <f>transport!E18</f>
        <v>52.706874375133864</v>
      </c>
      <c r="G50" s="695">
        <f>transport!F18</f>
        <v>0</v>
      </c>
      <c r="H50" s="695">
        <f>transport!G18</f>
        <v>27006.489808839739</v>
      </c>
      <c r="I50" s="695">
        <f>transport!H18</f>
        <v>6261.2822388576687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33416.994521936263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18.458221852092681</v>
      </c>
      <c r="D52" s="725">
        <f t="shared" ref="D52:Q52" ca="1" si="6">SUM(D48:D51)</f>
        <v>0</v>
      </c>
      <c r="E52" s="725">
        <f t="shared" si="6"/>
        <v>78.057378011626284</v>
      </c>
      <c r="F52" s="725">
        <f t="shared" si="6"/>
        <v>52.706874375133864</v>
      </c>
      <c r="G52" s="725">
        <f t="shared" si="6"/>
        <v>0</v>
      </c>
      <c r="H52" s="725">
        <f t="shared" si="6"/>
        <v>27204.99772449338</v>
      </c>
      <c r="I52" s="725">
        <f t="shared" si="6"/>
        <v>6261.2822388576687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33615.502437589901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144.30255137658816</v>
      </c>
      <c r="D54" s="695">
        <f ca="1">+landbouw!C12</f>
        <v>0</v>
      </c>
      <c r="E54" s="695">
        <f>+landbouw!D12</f>
        <v>41.310220830823077</v>
      </c>
      <c r="F54" s="695">
        <f>+landbouw!E12</f>
        <v>6.1934999397003043</v>
      </c>
      <c r="G54" s="695">
        <f>+landbouw!F12</f>
        <v>633.76187572133028</v>
      </c>
      <c r="H54" s="695">
        <f>+landbouw!G12</f>
        <v>0</v>
      </c>
      <c r="I54" s="695">
        <f>+landbouw!H12</f>
        <v>0</v>
      </c>
      <c r="J54" s="695">
        <f>+landbouw!I12</f>
        <v>0</v>
      </c>
      <c r="K54" s="695">
        <f>+landbouw!J12</f>
        <v>67.986551418348384</v>
      </c>
      <c r="L54" s="695">
        <f>+landbouw!K12</f>
        <v>0</v>
      </c>
      <c r="M54" s="695">
        <f>+landbouw!L12</f>
        <v>0</v>
      </c>
      <c r="N54" s="695">
        <f>+landbouw!M12</f>
        <v>0</v>
      </c>
      <c r="O54" s="695">
        <f>+landbouw!N12</f>
        <v>0</v>
      </c>
      <c r="P54" s="695">
        <f>+landbouw!O12</f>
        <v>0</v>
      </c>
      <c r="Q54" s="696">
        <f>+landbouw!P12</f>
        <v>0</v>
      </c>
      <c r="R54" s="724">
        <f ca="1">SUM(C54:Q54)</f>
        <v>893.55469928679031</v>
      </c>
    </row>
    <row r="55" spans="1:18" ht="15" thickBot="1">
      <c r="A55" s="827" t="s">
        <v>714</v>
      </c>
      <c r="B55" s="837"/>
      <c r="C55" s="695">
        <f ca="1">C25*'EF ele_warmte'!B12</f>
        <v>148.38560681305233</v>
      </c>
      <c r="D55" s="695"/>
      <c r="E55" s="695">
        <f>E25*EF_CO2_aardgas</f>
        <v>292.70709819645708</v>
      </c>
      <c r="F55" s="695"/>
      <c r="G55" s="695"/>
      <c r="H55" s="695"/>
      <c r="I55" s="695"/>
      <c r="J55" s="695"/>
      <c r="K55" s="695"/>
      <c r="L55" s="695"/>
      <c r="M55" s="695"/>
      <c r="N55" s="695"/>
      <c r="O55" s="695"/>
      <c r="P55" s="695"/>
      <c r="Q55" s="696"/>
      <c r="R55" s="724">
        <f ca="1">SUM(C55:Q55)</f>
        <v>441.09270500950942</v>
      </c>
    </row>
    <row r="56" spans="1:18" ht="15.75" thickBot="1">
      <c r="A56" s="825" t="s">
        <v>715</v>
      </c>
      <c r="B56" s="838"/>
      <c r="C56" s="725">
        <f ca="1">SUM(C54:C55)</f>
        <v>292.68815818964049</v>
      </c>
      <c r="D56" s="725">
        <f t="shared" ref="D56:Q56" ca="1" si="7">SUM(D54:D55)</f>
        <v>0</v>
      </c>
      <c r="E56" s="725">
        <f t="shared" si="7"/>
        <v>334.01731902728017</v>
      </c>
      <c r="F56" s="725">
        <f t="shared" si="7"/>
        <v>6.1934999397003043</v>
      </c>
      <c r="G56" s="725">
        <f t="shared" si="7"/>
        <v>633.76187572133028</v>
      </c>
      <c r="H56" s="725">
        <f t="shared" si="7"/>
        <v>0</v>
      </c>
      <c r="I56" s="725">
        <f t="shared" si="7"/>
        <v>0</v>
      </c>
      <c r="J56" s="725">
        <f t="shared" si="7"/>
        <v>0</v>
      </c>
      <c r="K56" s="725">
        <f t="shared" si="7"/>
        <v>67.986551418348384</v>
      </c>
      <c r="L56" s="725">
        <f t="shared" si="7"/>
        <v>0</v>
      </c>
      <c r="M56" s="725">
        <f t="shared" si="7"/>
        <v>0</v>
      </c>
      <c r="N56" s="725">
        <f t="shared" si="7"/>
        <v>0</v>
      </c>
      <c r="O56" s="725">
        <f t="shared" si="7"/>
        <v>0</v>
      </c>
      <c r="P56" s="725">
        <f t="shared" si="7"/>
        <v>0</v>
      </c>
      <c r="Q56" s="726">
        <f t="shared" si="7"/>
        <v>0</v>
      </c>
      <c r="R56" s="727">
        <f ca="1">SUM(R54:R55)</f>
        <v>1334.6474042962998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10365.550788217315</v>
      </c>
      <c r="D61" s="733">
        <f t="shared" ref="D61:Q61" ca="1" si="8">D46+D52+D56</f>
        <v>0</v>
      </c>
      <c r="E61" s="733">
        <f t="shared" ca="1" si="8"/>
        <v>18967.941142439598</v>
      </c>
      <c r="F61" s="733">
        <f t="shared" si="8"/>
        <v>2315.8969237072452</v>
      </c>
      <c r="G61" s="733">
        <f t="shared" ca="1" si="8"/>
        <v>1201.8899444050796</v>
      </c>
      <c r="H61" s="733">
        <f t="shared" si="8"/>
        <v>27204.99772449338</v>
      </c>
      <c r="I61" s="733">
        <f t="shared" si="8"/>
        <v>6261.2822388576687</v>
      </c>
      <c r="J61" s="733">
        <f t="shared" si="8"/>
        <v>0</v>
      </c>
      <c r="K61" s="733">
        <f t="shared" si="8"/>
        <v>664.16757613726941</v>
      </c>
      <c r="L61" s="733">
        <f t="shared" si="8"/>
        <v>0</v>
      </c>
      <c r="M61" s="733">
        <f t="shared" ca="1" si="8"/>
        <v>0</v>
      </c>
      <c r="N61" s="733">
        <f t="shared" si="8"/>
        <v>0</v>
      </c>
      <c r="O61" s="733">
        <f t="shared" ca="1" si="8"/>
        <v>0</v>
      </c>
      <c r="P61" s="733">
        <f t="shared" si="8"/>
        <v>0</v>
      </c>
      <c r="Q61" s="733">
        <f t="shared" si="8"/>
        <v>0</v>
      </c>
      <c r="R61" s="733">
        <f ca="1">R46+R52+R56</f>
        <v>66981.726338257547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0.19723851996392008</v>
      </c>
      <c r="D63" s="779">
        <f t="shared" ca="1" si="9"/>
        <v>0</v>
      </c>
      <c r="E63" s="973">
        <f t="shared" ca="1" si="9"/>
        <v>0.20200000000000001</v>
      </c>
      <c r="F63" s="779">
        <f t="shared" si="9"/>
        <v>0.22700000000000009</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8.2833573259839</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5642.1513820421751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5650.4347393681592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8.2833573259839</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5642.1513820421751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5650.4347393681592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34870.667538684211</v>
      </c>
      <c r="C4" s="455">
        <f>huishoudens!C8</f>
        <v>0</v>
      </c>
      <c r="D4" s="455">
        <f>huishoudens!D8</f>
        <v>72403.185224008761</v>
      </c>
      <c r="E4" s="455">
        <f>huishoudens!E8</f>
        <v>9902.7642827305499</v>
      </c>
      <c r="F4" s="455">
        <f>huishoudens!F8</f>
        <v>0</v>
      </c>
      <c r="G4" s="455">
        <f>huishoudens!G8</f>
        <v>0</v>
      </c>
      <c r="H4" s="455">
        <f>huishoudens!H8</f>
        <v>0</v>
      </c>
      <c r="I4" s="455">
        <f>huishoudens!I8</f>
        <v>0</v>
      </c>
      <c r="J4" s="455">
        <f>huishoudens!J8</f>
        <v>1683.8256070905836</v>
      </c>
      <c r="K4" s="455">
        <f>huishoudens!K8</f>
        <v>0</v>
      </c>
      <c r="L4" s="455">
        <f>huishoudens!L8</f>
        <v>0</v>
      </c>
      <c r="M4" s="455">
        <f>huishoudens!M8</f>
        <v>0</v>
      </c>
      <c r="N4" s="455">
        <f>huishoudens!N8</f>
        <v>18739.726286678164</v>
      </c>
      <c r="O4" s="455">
        <f>huishoudens!O8</f>
        <v>339.25685551518245</v>
      </c>
      <c r="P4" s="456">
        <f>huishoudens!P8</f>
        <v>1095.5317679992424</v>
      </c>
      <c r="Q4" s="457">
        <f>SUM(B4:P4)</f>
        <v>139034.95756270667</v>
      </c>
    </row>
    <row r="5" spans="1:17">
      <c r="A5" s="454" t="s">
        <v>155</v>
      </c>
      <c r="B5" s="455">
        <f ca="1">tertiair!B16</f>
        <v>13570.888708720275</v>
      </c>
      <c r="C5" s="455">
        <f ca="1">tertiair!C16</f>
        <v>0</v>
      </c>
      <c r="D5" s="455">
        <f ca="1">tertiair!D16</f>
        <v>17763.21944757122</v>
      </c>
      <c r="E5" s="455">
        <f>tertiair!E16</f>
        <v>33.527329137402404</v>
      </c>
      <c r="F5" s="455">
        <f ca="1">tertiair!F16</f>
        <v>1694.4078675834116</v>
      </c>
      <c r="G5" s="455">
        <f>tertiair!G16</f>
        <v>0</v>
      </c>
      <c r="H5" s="455">
        <f>tertiair!H16</f>
        <v>0</v>
      </c>
      <c r="I5" s="455">
        <f>tertiair!I16</f>
        <v>0</v>
      </c>
      <c r="J5" s="455">
        <f>tertiair!J16</f>
        <v>8.5861168242219212E-3</v>
      </c>
      <c r="K5" s="455">
        <f>tertiair!K16</f>
        <v>0</v>
      </c>
      <c r="L5" s="455">
        <f ca="1">tertiair!L16</f>
        <v>0</v>
      </c>
      <c r="M5" s="455">
        <f>tertiair!M16</f>
        <v>0</v>
      </c>
      <c r="N5" s="455">
        <f ca="1">tertiair!N16</f>
        <v>322.87256839791024</v>
      </c>
      <c r="O5" s="455">
        <f>tertiair!O16</f>
        <v>0</v>
      </c>
      <c r="P5" s="456">
        <f>tertiair!P16</f>
        <v>210.15655322598008</v>
      </c>
      <c r="Q5" s="454">
        <f t="shared" ref="Q5:Q14" ca="1" si="0">SUM(B5:P5)</f>
        <v>33595.081060753029</v>
      </c>
    </row>
    <row r="6" spans="1:17">
      <c r="A6" s="454" t="s">
        <v>193</v>
      </c>
      <c r="B6" s="455">
        <f>'openbare verlichting'!B8</f>
        <v>1143.634</v>
      </c>
      <c r="C6" s="455"/>
      <c r="D6" s="455"/>
      <c r="E6" s="455"/>
      <c r="F6" s="455"/>
      <c r="G6" s="455"/>
      <c r="H6" s="455"/>
      <c r="I6" s="455"/>
      <c r="J6" s="455"/>
      <c r="K6" s="455"/>
      <c r="L6" s="455"/>
      <c r="M6" s="455"/>
      <c r="N6" s="455"/>
      <c r="O6" s="455"/>
      <c r="P6" s="456"/>
      <c r="Q6" s="454">
        <f t="shared" si="0"/>
        <v>1143.634</v>
      </c>
    </row>
    <row r="7" spans="1:17">
      <c r="A7" s="454" t="s">
        <v>111</v>
      </c>
      <c r="B7" s="455">
        <f>landbouw!B8</f>
        <v>731.61445037705994</v>
      </c>
      <c r="C7" s="455">
        <f>landbouw!C8</f>
        <v>0</v>
      </c>
      <c r="D7" s="455">
        <f>landbouw!D8</f>
        <v>204.50604371694592</v>
      </c>
      <c r="E7" s="455">
        <f>landbouw!E8</f>
        <v>27.284140703525569</v>
      </c>
      <c r="F7" s="455">
        <f>landbouw!F8</f>
        <v>2373.6399839750197</v>
      </c>
      <c r="G7" s="455">
        <f>landbouw!G8</f>
        <v>0</v>
      </c>
      <c r="H7" s="455">
        <f>landbouw!H8</f>
        <v>0</v>
      </c>
      <c r="I7" s="455">
        <f>landbouw!I8</f>
        <v>0</v>
      </c>
      <c r="J7" s="455">
        <f>landbouw!J8</f>
        <v>192.05240513657736</v>
      </c>
      <c r="K7" s="455">
        <f>landbouw!K8</f>
        <v>0</v>
      </c>
      <c r="L7" s="455">
        <f>landbouw!L8</f>
        <v>0</v>
      </c>
      <c r="M7" s="455">
        <f>landbouw!M8</f>
        <v>0</v>
      </c>
      <c r="N7" s="455">
        <f>landbouw!N8</f>
        <v>0</v>
      </c>
      <c r="O7" s="455">
        <f>landbouw!O8</f>
        <v>0</v>
      </c>
      <c r="P7" s="456">
        <f>landbouw!P8</f>
        <v>0</v>
      </c>
      <c r="Q7" s="454">
        <f t="shared" si="0"/>
        <v>3529.0970239091284</v>
      </c>
    </row>
    <row r="8" spans="1:17">
      <c r="A8" s="454" t="s">
        <v>626</v>
      </c>
      <c r="B8" s="455">
        <f>industrie!B18</f>
        <v>1390.6759779899651</v>
      </c>
      <c r="C8" s="455">
        <f>industrie!C18</f>
        <v>0</v>
      </c>
      <c r="D8" s="455">
        <f>industrie!D18</f>
        <v>1694.3203056511754</v>
      </c>
      <c r="E8" s="455">
        <f>industrie!E18</f>
        <v>6.4244647505952637</v>
      </c>
      <c r="F8" s="455">
        <f>industrie!F18</f>
        <v>433.41261437819628</v>
      </c>
      <c r="G8" s="455">
        <f>industrie!G18</f>
        <v>0</v>
      </c>
      <c r="H8" s="455">
        <f>industrie!H18</f>
        <v>0</v>
      </c>
      <c r="I8" s="455">
        <f>industrie!I18</f>
        <v>0</v>
      </c>
      <c r="J8" s="455">
        <f>industrie!J18</f>
        <v>0.29299526412070798</v>
      </c>
      <c r="K8" s="455">
        <f>industrie!K18</f>
        <v>0</v>
      </c>
      <c r="L8" s="455">
        <f>industrie!L18</f>
        <v>0</v>
      </c>
      <c r="M8" s="455">
        <f>industrie!M18</f>
        <v>0</v>
      </c>
      <c r="N8" s="455">
        <f>industrie!N18</f>
        <v>51.546258558712587</v>
      </c>
      <c r="O8" s="455">
        <f>industrie!O18</f>
        <v>0</v>
      </c>
      <c r="P8" s="456">
        <f>industrie!P18</f>
        <v>0</v>
      </c>
      <c r="Q8" s="454">
        <f t="shared" si="0"/>
        <v>3576.6726165927653</v>
      </c>
    </row>
    <row r="9" spans="1:17" s="460" customFormat="1">
      <c r="A9" s="458" t="s">
        <v>552</v>
      </c>
      <c r="B9" s="459">
        <f>transport!B14</f>
        <v>93.583250652403791</v>
      </c>
      <c r="C9" s="459">
        <f>transport!C14</f>
        <v>0</v>
      </c>
      <c r="D9" s="459">
        <f>transport!D14</f>
        <v>386.42266342389246</v>
      </c>
      <c r="E9" s="459">
        <f>transport!E14</f>
        <v>232.18887389926812</v>
      </c>
      <c r="F9" s="459">
        <f>transport!F14</f>
        <v>0</v>
      </c>
      <c r="G9" s="459">
        <f>transport!G14</f>
        <v>101147.9019057668</v>
      </c>
      <c r="H9" s="459">
        <f>transport!H14</f>
        <v>25145.711802641239</v>
      </c>
      <c r="I9" s="459">
        <f>transport!I14</f>
        <v>0</v>
      </c>
      <c r="J9" s="459">
        <f>transport!J14</f>
        <v>0</v>
      </c>
      <c r="K9" s="459">
        <f>transport!K14</f>
        <v>0</v>
      </c>
      <c r="L9" s="459">
        <f>transport!L14</f>
        <v>0</v>
      </c>
      <c r="M9" s="459">
        <f>transport!M14</f>
        <v>7442.8088949074127</v>
      </c>
      <c r="N9" s="459">
        <f>transport!N14</f>
        <v>0</v>
      </c>
      <c r="O9" s="459">
        <f>transport!O14</f>
        <v>0</v>
      </c>
      <c r="P9" s="459">
        <f>transport!P14</f>
        <v>0</v>
      </c>
      <c r="Q9" s="458">
        <f>SUM(B9:P9)</f>
        <v>134448.61739129102</v>
      </c>
    </row>
    <row r="10" spans="1:17">
      <c r="A10" s="454" t="s">
        <v>542</v>
      </c>
      <c r="B10" s="455">
        <f>transport!B54</f>
        <v>0</v>
      </c>
      <c r="C10" s="455">
        <f>transport!C54</f>
        <v>0</v>
      </c>
      <c r="D10" s="455">
        <f>transport!D54</f>
        <v>0</v>
      </c>
      <c r="E10" s="455">
        <f>transport!E54</f>
        <v>0</v>
      </c>
      <c r="F10" s="455">
        <f>transport!F54</f>
        <v>0</v>
      </c>
      <c r="G10" s="455">
        <f>transport!G54</f>
        <v>743.47533952674064</v>
      </c>
      <c r="H10" s="455">
        <f>transport!H54</f>
        <v>0</v>
      </c>
      <c r="I10" s="455">
        <f>transport!I54</f>
        <v>0</v>
      </c>
      <c r="J10" s="455">
        <f>transport!J54</f>
        <v>0</v>
      </c>
      <c r="K10" s="455">
        <f>transport!K54</f>
        <v>0</v>
      </c>
      <c r="L10" s="455">
        <f>transport!L54</f>
        <v>0</v>
      </c>
      <c r="M10" s="455">
        <f>transport!M54</f>
        <v>40.34520645220362</v>
      </c>
      <c r="N10" s="455">
        <f>transport!N54</f>
        <v>0</v>
      </c>
      <c r="O10" s="455">
        <f>transport!O54</f>
        <v>0</v>
      </c>
      <c r="P10" s="456">
        <f>transport!P54</f>
        <v>0</v>
      </c>
      <c r="Q10" s="454">
        <f t="shared" si="0"/>
        <v>783.82054597894421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752.315556009018</v>
      </c>
      <c r="C14" s="462"/>
      <c r="D14" s="462">
        <f>'SEAP template'!E25</f>
        <v>1449.04504057652</v>
      </c>
      <c r="E14" s="462"/>
      <c r="F14" s="462"/>
      <c r="G14" s="462"/>
      <c r="H14" s="462"/>
      <c r="I14" s="462"/>
      <c r="J14" s="462"/>
      <c r="K14" s="462"/>
      <c r="L14" s="462"/>
      <c r="M14" s="462"/>
      <c r="N14" s="462"/>
      <c r="O14" s="462"/>
      <c r="P14" s="463"/>
      <c r="Q14" s="454">
        <f t="shared" si="0"/>
        <v>2201.3605965855381</v>
      </c>
    </row>
    <row r="15" spans="1:17" s="466" customFormat="1">
      <c r="A15" s="464" t="s">
        <v>546</v>
      </c>
      <c r="B15" s="465">
        <f ca="1">SUM(B4:B14)</f>
        <v>52553.379482432931</v>
      </c>
      <c r="C15" s="465">
        <f t="shared" ref="C15:Q15" ca="1" si="1">SUM(C4:C14)</f>
        <v>0</v>
      </c>
      <c r="D15" s="465">
        <f t="shared" ca="1" si="1"/>
        <v>93900.698724948496</v>
      </c>
      <c r="E15" s="465">
        <f t="shared" si="1"/>
        <v>10202.18909122134</v>
      </c>
      <c r="F15" s="465">
        <f t="shared" ca="1" si="1"/>
        <v>4501.4604659366278</v>
      </c>
      <c r="G15" s="465">
        <f t="shared" si="1"/>
        <v>101891.37724529355</v>
      </c>
      <c r="H15" s="465">
        <f t="shared" si="1"/>
        <v>25145.711802641239</v>
      </c>
      <c r="I15" s="465">
        <f t="shared" si="1"/>
        <v>0</v>
      </c>
      <c r="J15" s="465">
        <f t="shared" si="1"/>
        <v>1876.179593608106</v>
      </c>
      <c r="K15" s="465">
        <f t="shared" si="1"/>
        <v>0</v>
      </c>
      <c r="L15" s="465">
        <f t="shared" ca="1" si="1"/>
        <v>0</v>
      </c>
      <c r="M15" s="465">
        <f t="shared" si="1"/>
        <v>7483.1541013596161</v>
      </c>
      <c r="N15" s="465">
        <f t="shared" ca="1" si="1"/>
        <v>19114.145113634786</v>
      </c>
      <c r="O15" s="465">
        <f t="shared" si="1"/>
        <v>339.25685551518245</v>
      </c>
      <c r="P15" s="465">
        <f t="shared" si="1"/>
        <v>1305.6883212252226</v>
      </c>
      <c r="Q15" s="465">
        <f t="shared" ca="1" si="1"/>
        <v>318313.24079781712</v>
      </c>
    </row>
    <row r="17" spans="1:17">
      <c r="A17" s="467" t="s">
        <v>547</v>
      </c>
      <c r="B17" s="784">
        <f ca="1">huishoudens!B10</f>
        <v>0.19723851996392008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6877.8388554839858</v>
      </c>
      <c r="C22" s="455">
        <f t="shared" ref="C22:C32" ca="1" si="3">C4*$C$17</f>
        <v>0</v>
      </c>
      <c r="D22" s="455">
        <f t="shared" ref="D22:D32" si="4">D4*$D$17</f>
        <v>14625.443415249771</v>
      </c>
      <c r="E22" s="455">
        <f t="shared" ref="E22:E32" si="5">E4*$E$17</f>
        <v>2247.9274921798351</v>
      </c>
      <c r="F22" s="455">
        <f t="shared" ref="F22:F32" si="6">F4*$F$17</f>
        <v>0</v>
      </c>
      <c r="G22" s="455">
        <f t="shared" ref="G22:G32" si="7">G4*$G$17</f>
        <v>0</v>
      </c>
      <c r="H22" s="455">
        <f t="shared" ref="H22:H32" si="8">H4*$H$17</f>
        <v>0</v>
      </c>
      <c r="I22" s="455">
        <f t="shared" ref="I22:I32" si="9">I4*$I$17</f>
        <v>0</v>
      </c>
      <c r="J22" s="455">
        <f t="shared" ref="J22:J32" si="10">J4*$J$17</f>
        <v>596.07426491006652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24347.284027823654</v>
      </c>
    </row>
    <row r="23" spans="1:17">
      <c r="A23" s="454" t="s">
        <v>155</v>
      </c>
      <c r="B23" s="455">
        <f t="shared" ca="1" si="2"/>
        <v>2676.7020035030614</v>
      </c>
      <c r="C23" s="455">
        <f t="shared" ca="1" si="3"/>
        <v>0</v>
      </c>
      <c r="D23" s="455">
        <f t="shared" ca="1" si="4"/>
        <v>3588.1703284093869</v>
      </c>
      <c r="E23" s="455">
        <f t="shared" si="5"/>
        <v>7.610703714190346</v>
      </c>
      <c r="F23" s="455">
        <f t="shared" ca="1" si="6"/>
        <v>452.40690064477093</v>
      </c>
      <c r="G23" s="455">
        <f t="shared" si="7"/>
        <v>0</v>
      </c>
      <c r="H23" s="455">
        <f t="shared" si="8"/>
        <v>0</v>
      </c>
      <c r="I23" s="455">
        <f t="shared" si="9"/>
        <v>0</v>
      </c>
      <c r="J23" s="455">
        <f t="shared" si="10"/>
        <v>3.0394853557745597E-3</v>
      </c>
      <c r="K23" s="455">
        <f t="shared" si="11"/>
        <v>0</v>
      </c>
      <c r="L23" s="455">
        <f t="shared" ca="1" si="12"/>
        <v>0</v>
      </c>
      <c r="M23" s="455">
        <f t="shared" si="13"/>
        <v>0</v>
      </c>
      <c r="N23" s="455">
        <f t="shared" ca="1" si="14"/>
        <v>0</v>
      </c>
      <c r="O23" s="455">
        <f t="shared" si="15"/>
        <v>0</v>
      </c>
      <c r="P23" s="456">
        <f t="shared" si="16"/>
        <v>0</v>
      </c>
      <c r="Q23" s="454">
        <f t="shared" ref="Q23:Q31" ca="1" si="17">SUM(B23:P23)</f>
        <v>6724.8929757567648</v>
      </c>
    </row>
    <row r="24" spans="1:17">
      <c r="A24" s="454" t="s">
        <v>193</v>
      </c>
      <c r="B24" s="455">
        <f t="shared" ca="1" si="2"/>
        <v>225.56867754041778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225.56867754041778</v>
      </c>
    </row>
    <row r="25" spans="1:17">
      <c r="A25" s="454" t="s">
        <v>111</v>
      </c>
      <c r="B25" s="455">
        <f t="shared" ca="1" si="2"/>
        <v>144.30255137658816</v>
      </c>
      <c r="C25" s="455">
        <f t="shared" ca="1" si="3"/>
        <v>0</v>
      </c>
      <c r="D25" s="455">
        <f t="shared" si="4"/>
        <v>41.310220830823077</v>
      </c>
      <c r="E25" s="455">
        <f t="shared" si="5"/>
        <v>6.1934999397003043</v>
      </c>
      <c r="F25" s="455">
        <f t="shared" si="6"/>
        <v>633.76187572133028</v>
      </c>
      <c r="G25" s="455">
        <f t="shared" si="7"/>
        <v>0</v>
      </c>
      <c r="H25" s="455">
        <f t="shared" si="8"/>
        <v>0</v>
      </c>
      <c r="I25" s="455">
        <f t="shared" si="9"/>
        <v>0</v>
      </c>
      <c r="J25" s="455">
        <f t="shared" si="10"/>
        <v>67.986551418348384</v>
      </c>
      <c r="K25" s="455">
        <f t="shared" si="11"/>
        <v>0</v>
      </c>
      <c r="L25" s="455">
        <f t="shared" si="12"/>
        <v>0</v>
      </c>
      <c r="M25" s="455">
        <f t="shared" si="13"/>
        <v>0</v>
      </c>
      <c r="N25" s="455">
        <f t="shared" si="14"/>
        <v>0</v>
      </c>
      <c r="O25" s="455">
        <f t="shared" si="15"/>
        <v>0</v>
      </c>
      <c r="P25" s="456">
        <f t="shared" si="16"/>
        <v>0</v>
      </c>
      <c r="Q25" s="454">
        <f t="shared" ca="1" si="17"/>
        <v>893.55469928679031</v>
      </c>
    </row>
    <row r="26" spans="1:17">
      <c r="A26" s="454" t="s">
        <v>626</v>
      </c>
      <c r="B26" s="455">
        <f t="shared" ca="1" si="2"/>
        <v>274.29487164811781</v>
      </c>
      <c r="C26" s="455">
        <f t="shared" ca="1" si="3"/>
        <v>0</v>
      </c>
      <c r="D26" s="455">
        <f t="shared" si="4"/>
        <v>342.25270174153746</v>
      </c>
      <c r="E26" s="455">
        <f t="shared" si="5"/>
        <v>1.458353498385125</v>
      </c>
      <c r="F26" s="455">
        <f t="shared" si="6"/>
        <v>115.72116803897842</v>
      </c>
      <c r="G26" s="455">
        <f t="shared" si="7"/>
        <v>0</v>
      </c>
      <c r="H26" s="455">
        <f t="shared" si="8"/>
        <v>0</v>
      </c>
      <c r="I26" s="455">
        <f t="shared" si="9"/>
        <v>0</v>
      </c>
      <c r="J26" s="455">
        <f t="shared" si="10"/>
        <v>0.10372032349873062</v>
      </c>
      <c r="K26" s="455">
        <f t="shared" si="11"/>
        <v>0</v>
      </c>
      <c r="L26" s="455">
        <f t="shared" si="12"/>
        <v>0</v>
      </c>
      <c r="M26" s="455">
        <f t="shared" si="13"/>
        <v>0</v>
      </c>
      <c r="N26" s="455">
        <f t="shared" si="14"/>
        <v>0</v>
      </c>
      <c r="O26" s="455">
        <f t="shared" si="15"/>
        <v>0</v>
      </c>
      <c r="P26" s="456">
        <f t="shared" si="16"/>
        <v>0</v>
      </c>
      <c r="Q26" s="454">
        <f t="shared" ca="1" si="17"/>
        <v>733.83081525051762</v>
      </c>
    </row>
    <row r="27" spans="1:17" s="460" customFormat="1">
      <c r="A27" s="458" t="s">
        <v>552</v>
      </c>
      <c r="B27" s="778">
        <f t="shared" ca="1" si="2"/>
        <v>18.458221852092681</v>
      </c>
      <c r="C27" s="459">
        <f t="shared" ca="1" si="3"/>
        <v>0</v>
      </c>
      <c r="D27" s="459">
        <f t="shared" si="4"/>
        <v>78.057378011626284</v>
      </c>
      <c r="E27" s="459">
        <f t="shared" si="5"/>
        <v>52.706874375133864</v>
      </c>
      <c r="F27" s="459">
        <f t="shared" si="6"/>
        <v>0</v>
      </c>
      <c r="G27" s="459">
        <f t="shared" si="7"/>
        <v>27006.489808839739</v>
      </c>
      <c r="H27" s="459">
        <f t="shared" si="8"/>
        <v>6261.2822388576687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33416.994521936263</v>
      </c>
    </row>
    <row r="28" spans="1:17" ht="16.5" customHeight="1">
      <c r="A28" s="454" t="s">
        <v>542</v>
      </c>
      <c r="B28" s="455">
        <f t="shared" ca="1" si="2"/>
        <v>0</v>
      </c>
      <c r="C28" s="455">
        <f t="shared" ca="1" si="3"/>
        <v>0</v>
      </c>
      <c r="D28" s="455">
        <f t="shared" si="4"/>
        <v>0</v>
      </c>
      <c r="E28" s="455">
        <f t="shared" si="5"/>
        <v>0</v>
      </c>
      <c r="F28" s="455">
        <f t="shared" si="6"/>
        <v>0</v>
      </c>
      <c r="G28" s="455">
        <f t="shared" si="7"/>
        <v>198.50791565363977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198.50791565363977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148.38560681305233</v>
      </c>
      <c r="C32" s="455">
        <f t="shared" ca="1" si="3"/>
        <v>0</v>
      </c>
      <c r="D32" s="455">
        <f t="shared" si="4"/>
        <v>292.70709819645708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441.09270500950942</v>
      </c>
    </row>
    <row r="33" spans="1:17" s="466" customFormat="1">
      <c r="A33" s="464" t="s">
        <v>546</v>
      </c>
      <c r="B33" s="465">
        <f ca="1">SUM(B22:B32)</f>
        <v>10365.550788217315</v>
      </c>
      <c r="C33" s="465">
        <f t="shared" ref="C33:Q33" ca="1" si="19">SUM(C22:C32)</f>
        <v>0</v>
      </c>
      <c r="D33" s="465">
        <f t="shared" ca="1" si="19"/>
        <v>18967.941142439598</v>
      </c>
      <c r="E33" s="465">
        <f t="shared" si="19"/>
        <v>2315.8969237072452</v>
      </c>
      <c r="F33" s="465">
        <f t="shared" ca="1" si="19"/>
        <v>1201.8899444050796</v>
      </c>
      <c r="G33" s="465">
        <f t="shared" si="19"/>
        <v>27204.99772449338</v>
      </c>
      <c r="H33" s="465">
        <f t="shared" si="19"/>
        <v>6261.2822388576687</v>
      </c>
      <c r="I33" s="465">
        <f t="shared" si="19"/>
        <v>0</v>
      </c>
      <c r="J33" s="465">
        <f t="shared" si="19"/>
        <v>664.16757613726941</v>
      </c>
      <c r="K33" s="465">
        <f t="shared" si="19"/>
        <v>0</v>
      </c>
      <c r="L33" s="465">
        <f t="shared" ca="1" si="19"/>
        <v>0</v>
      </c>
      <c r="M33" s="465">
        <f t="shared" si="19"/>
        <v>0</v>
      </c>
      <c r="N33" s="465">
        <f t="shared" ca="1" si="19"/>
        <v>0</v>
      </c>
      <c r="O33" s="465">
        <f t="shared" si="19"/>
        <v>0</v>
      </c>
      <c r="P33" s="465">
        <f t="shared" si="19"/>
        <v>0</v>
      </c>
      <c r="Q33" s="465">
        <f t="shared" ca="1" si="19"/>
        <v>66981.726338257547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8.2833573259839</v>
      </c>
      <c r="C5" s="1026"/>
      <c r="D5" s="1026"/>
      <c r="E5" s="1026"/>
      <c r="F5" s="1026"/>
      <c r="G5" s="1026"/>
      <c r="H5" s="1026"/>
      <c r="I5" s="1026"/>
      <c r="J5" s="1026"/>
      <c r="K5" s="1026"/>
      <c r="L5" s="1026"/>
      <c r="M5" s="1026"/>
      <c r="N5" s="1026"/>
      <c r="O5" s="1026"/>
      <c r="P5" s="1027">
        <f>'SEAP template'!Q73</f>
        <v>0</v>
      </c>
    </row>
    <row r="6" spans="1:16">
      <c r="A6" s="1031" t="s">
        <v>250</v>
      </c>
      <c r="B6" s="1026">
        <f>'SEAP template'!B74</f>
        <v>5642.1513820421751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5650.4347393681592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0.19723851996392008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0.19723851996392008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2020-06-20T15:23:49Z</dcterms:modified>
</cp:coreProperties>
</file>