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B15" i="48" l="1"/>
  <c r="I76" i="14"/>
  <c r="I8" i="59" s="1"/>
  <c r="I10" i="59" s="1"/>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0" i="13"/>
  <c r="C12" i="13" s="1"/>
  <c r="D41" i="14" s="1"/>
  <c r="D46" i="14" s="1"/>
  <c r="D61" i="14" s="1"/>
  <c r="D63" i="14" s="1"/>
  <c r="C20" i="16"/>
  <c r="C22" i="16" s="1"/>
  <c r="D43" i="14" s="1"/>
  <c r="C29" i="20"/>
  <c r="C17" i="19"/>
  <c r="C19" i="19" s="1"/>
  <c r="D39" i="14" s="1"/>
  <c r="C18" i="15"/>
  <c r="C20" i="15" s="1"/>
  <c r="D40"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<sst xmlns="http://schemas.openxmlformats.org/spreadsheetml/2006/main" count="2384" uniqueCount="875">
  <si>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</si>
  <si>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</si>
  <si>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</si>
  <si>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</si>
  <si>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</si>
  <si>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</si>
  <si>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</si>
  <si>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</si>
  <si>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</si>
  <si>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</si>
  <si>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</si>
  <si>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</si>
  <si>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</si>
  <si>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</si>
  <si>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</si>
  <si>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</si>
  <si>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</si>
  <si>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</si>
  <si>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</si>
  <si>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</si>
  <si>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</si>
  <si>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</si>
  <si>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</si>
  <si>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</si>
  <si>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</si>
  <si>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</si>
  <si>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</si>
  <si>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</si>
  <si>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</si>
  <si>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</si>
  <si>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</si>
  <si>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</si>
  <si>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</si>
  <si>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</si>
  <si>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</si>
  <si>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</si>
  <si>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</si>
  <si>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</si>
  <si>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</si>
  <si>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</si>
  <si>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</si>
  <si>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</si>
  <si>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</si>
  <si>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</si>
  <si>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</si>
  <si>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</si>
  <si>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</si>
  <si>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</si>
  <si>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</si>
  <si>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</si>
  <si>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</si>
  <si>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</si>
  <si>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</si>
  <si>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</si>
  <si>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</si>
  <si>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</si>
  <si>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</si>
  <si>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</si>
  <si>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</si>
  <si>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</si>
  <si>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</si>
  <si>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</si>
  <si>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</si>
  <si>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</si>
  <si>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</si>
  <si>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</si>
  <si>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</si>
  <si>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</si>
  <si>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</si>
  <si>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</si>
  <si>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</si>
  <si>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</si>
  <si>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</si>
  <si>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</si>
  <si>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</si>
  <si>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</si>
  <si>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</si>
  <si>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</si>
  <si>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</si>
  <si>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</si>
  <si>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</si>
  <si>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</si>
  <si>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</si>
  <si>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</si>
  <si>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</si>
  <si>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</si>
  <si>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</si>
  <si>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</si>
  <si>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</si>
  <si>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</si>
  <si>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</si>
  <si>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</si>
  <si>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</si>
  <si>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</si>
  <si>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</si>
  <si>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</si>
  <si>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</si>
  <si>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</si>
  <si>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</si>
  <si>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</si>
  <si>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</si>
  <si>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</si>
  <si>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</si>
  <si>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</si>
  <si>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</si>
  <si>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</si>
  <si>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</si>
  <si>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</si>
  <si>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</si>
  <si>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</si>
  <si>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</si>
  <si>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</si>
  <si>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</si>
  <si>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</si>
  <si>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</si>
  <si>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</si>
  <si>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</si>
  <si>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</si>
  <si>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</si>
  <si>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</si>
  <si>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</si>
  <si>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</si>
  <si>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</si>
  <si>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</si>
  <si>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</si>
  <si>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</si>
  <si>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</si>
  <si>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</si>
  <si>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</si>
  <si>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</si>
  <si>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</si>
  <si>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</si>
  <si>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</si>
  <si>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</si>
  <si>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</si>
  <si>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</si>
  <si>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</si>
  <si>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</si>
  <si>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</si>
  <si>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</si>
  <si>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</si>
  <si>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</si>
  <si>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</si>
  <si>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</si>
  <si>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</si>
  <si>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</si>
  <si>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</si>
  <si>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</si>
  <si>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</si>
  <si>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</si>
  <si>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</si>
  <si>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</si>
  <si>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</si>
  <si>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</si>
  <si>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</si>
  <si>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</si>
  <si>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</si>
  <si>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</si>
  <si>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</si>
  <si>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</si>
  <si>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</si>
  <si>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</si>
  <si>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</si>
  <si>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</si>
  <si>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</si>
  <si>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</si>
  <si>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</si>
  <si>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</si>
  <si>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</si>
  <si>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</si>
  <si>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</si>
  <si>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</si>
  <si>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</si>
  <si>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</si>
  <si>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</si>
  <si>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</si>
  <si>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</si>
  <si>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</si>
  <si>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</si>
  <si>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</si>
  <si>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</si>
  <si>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</si>
  <si>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</si>
  <si>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</si>
  <si>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</si>
  <si>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</si>
  <si>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</si>
  <si>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</si>
  <si>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</si>
  <si>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</si>
  <si>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</si>
  <si>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</si>
  <si>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</si>
  <si>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</si>
  <si>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</si>
  <si>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</si>
  <si>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</si>
  <si>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</si>
  <si>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</si>
  <si>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</si>
  <si>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</si>
  <si>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</si>
  <si>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</si>
  <si>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</si>
  <si>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</si>
  <si>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</si>
  <si>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</si>
  <si>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</si>
  <si>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</si>
  <si>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</si>
  <si>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</si>
  <si>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</si>
  <si>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</si>
  <si>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</si>
  <si>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</si>
  <si>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</si>
  <si>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</si>
  <si>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</si>
  <si>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</si>
  <si>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</si>
  <si>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</si>
  <si>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</si>
  <si>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</si>
  <si>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</si>
  <si>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</si>
  <si>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</si>
  <si>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</si>
  <si>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</si>
  <si>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</si>
  <si>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</si>
  <si>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</si>
  <si>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</si>
  <si>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</si>
  <si>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</si>
  <si>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</si>
  <si>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</si>
  <si>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</si>
  <si>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</si>
  <si>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</si>
  <si>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</si>
  <si>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</si>
  <si>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</si>
  <si>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</si>
  <si>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</si>
  <si>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</si>
  <si>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</si>
  <si>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</si>
  <si>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</si>
  <si>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</si>
  <si>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</si>
  <si>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</si>
  <si>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</si>
  <si>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</si>
  <si>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</si>
  <si>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</si>
  <si>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</si>
  <si>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</si>
  <si>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</si>
  <si>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</si>
  <si>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</si>
  <si>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</si>
  <si>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</si>
  <si>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</si>
  <si>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</si>
  <si>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</si>
  <si>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</si>
  <si>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</si>
  <si>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</si>
  <si>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</si>
  <si>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</si>
  <si>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</si>
  <si>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</si>
  <si>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</si>
  <si>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</si>
  <si>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</si>
  <si>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</si>
  <si>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</si>
  <si>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</si>
  <si>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</si>
  <si>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</si>
  <si>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</si>
  <si>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</si>
  <si>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</si>
  <si>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</si>
  <si>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</si>
  <si>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</si>
  <si>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</si>
  <si>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</si>
  <si>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</si>
  <si>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</si>
  <si>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</si>
  <si>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</si>
  <si>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</si>
  <si>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</si>
  <si>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</si>
  <si>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</si>
  <si>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</si>
  <si>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</si>
  <si>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</si>
  <si>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</si>
  <si>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</si>
  <si>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</si>
  <si>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</si>
  <si>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</si>
  <si>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</si>
  <si>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</si>
  <si>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</si>
  <si>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</si>
  <si>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</si>
  <si>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</si>
  <si>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</si>
  <si>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</si>
  <si>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</si>
  <si>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</si>
  <si>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</si>
  <si>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</si>
  <si>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</si>
  <si>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</si>
  <si>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</si>
  <si>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</si>
  <si>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</si>
  <si>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</si>
  <si>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</si>
  <si>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</si>
  <si>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</si>
  <si>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</si>
  <si>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</si>
  <si>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</si>
  <si>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</si>
  <si>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</si>
  <si>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</si>
  <si>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</si>
  <si>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</si>
  <si>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</si>
  <si>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</si>
  <si>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</si>
  <si>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</si>
  <si>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</si>
  <si>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</si>
  <si>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</si>
  <si>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</si>
  <si>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</si>
  <si>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</si>
  <si>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</si>
  <si>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</si>
  <si>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</si>
  <si>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</si>
  <si>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</si>
  <si>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</si>
  <si>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</si>
  <si>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</si>
  <si>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</si>
  <si>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</si>
  <si>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</si>
  <si>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</si>
  <si>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</si>
  <si>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</si>
  <si>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</si>
  <si>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</si>
  <si>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</si>
  <si>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</si>
  <si>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</si>
  <si>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</si>
  <si>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</si>
  <si>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</si>
  <si>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</si>
  <si>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</si>
  <si>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</si>
  <si>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</si>
  <si>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</si>
  <si>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</si>
  <si>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</si>
  <si>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</si>
  <si>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</si>
  <si>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</si>
  <si>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</si>
  <si>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</si>
  <si>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</si>
  <si>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</si>
  <si>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</si>
  <si>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</si>
  <si>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</si>
  <si>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</si>
  <si>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</si>
  <si>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</si>
  <si>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</si>
  <si>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</si>
  <si>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</si>
  <si>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</si>
  <si>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</si>
  <si>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</si>
  <si>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</si>
  <si>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</si>
  <si>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</si>
  <si>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</si>
  <si>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</si>
  <si>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</si>
  <si>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</si>
  <si>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</si>
  <si>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</si>
  <si>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</si>
  <si>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</si>
  <si>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</si>
  <si>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</si>
  <si>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</si>
  <si>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</si>
  <si>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</si>
  <si>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</si>
  <si>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</si>
  <si>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</si>
  <si>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</si>
  <si>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</si>
  <si>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</si>
  <si>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</si>
  <si>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</si>
  <si>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</si>
  <si>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</si>
  <si>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</si>
  <si>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</si>
  <si>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</si>
  <si>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</si>
  <si>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</si>
  <si>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</si>
  <si>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</si>
  <si>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</si>
  <si>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</si>
  <si>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</si>
  <si>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</si>
  <si>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</si>
  <si>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</si>
  <si>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</si>
  <si>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</si>
  <si>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</si>
  <si>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</si>
  <si>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</si>
  <si>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</si>
  <si>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</si>
  <si>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</si>
  <si>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</si>
  <si>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</si>
  <si>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</si>
  <si>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</si>
  <si>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</si>
  <si>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</si>
  <si>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</si>
  <si>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</si>
  <si>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</si>
  <si>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</si>
  <si>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</si>
  <si>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</si>
  <si>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</si>
  <si>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</si>
  <si>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</si>
  <si>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</si>
  <si>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</si>
  <si>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</si>
  <si>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</si>
  <si>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</si>
  <si>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</si>
  <si>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</si>
  <si>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</si>
  <si>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</si>
  <si>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</si>
  <si>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</si>
  <si>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</si>
  <si>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</si>
  <si>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</si>
  <si>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</si>
  <si>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</si>
  <si>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</si>
  <si>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</si>
  <si>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</si>
  <si>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</si>
  <si>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</si>
  <si>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</si>
  <si>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</si>
  <si>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</si>
  <si>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</si>
  <si>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</si>
  <si>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</si>
  <si>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</si>
  <si>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</si>
  <si>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</si>
  <si>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</si>
  <si>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</si>
  <si>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</si>
  <si>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</si>
  <si>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</si>
  <si>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</si>
  <si>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</si>
  <si>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</si>
  <si>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</si>
  <si>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</si>
  <si>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</si>
  <si>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</si>
  <si>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</si>
  <si>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</si>
  <si>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</si>
  <si>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</si>
  <si>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</si>
  <si>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</si>
  <si>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</si>
  <si>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</si>
  <si>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</si>
  <si>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</si>
  <si>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</si>
  <si>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</si>
  <si>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</si>
  <si>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</si>
  <si>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</si>
  <si>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</si>
  <si>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</si>
  <si>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</si>
  <si>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</si>
  <si>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</si>
  <si>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</si>
  <si>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</si>
  <si>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</si>
  <si>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</si>
  <si>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</si>
  <si>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</si>
  <si>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</si>
  <si>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</si>
  <si>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</si>
  <si>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</si>
  <si>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</si>
  <si>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</si>
  <si>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</si>
  <si>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</si>
  <si>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</si>
  <si>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</si>
  <si>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</si>
  <si>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</si>
  <si>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</si>
  <si>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</si>
  <si>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</si>
  <si>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</si>
  <si>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</si>
  <si>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</si>
  <si>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</si>
  <si>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</si>
  <si>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</si>
  <si>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</si>
  <si>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</si>
  <si>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</si>
  <si>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</si>
  <si>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</si>
  <si>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</si>
  <si>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</si>
  <si>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</si>
  <si>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</si>
  <si>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</si>
  <si>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</si>
  <si>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</si>
  <si>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</si>
  <si>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</si>
  <si>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</si>
  <si>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</si>
  <si>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</si>
  <si>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</si>
  <si>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</si>
  <si>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</si>
  <si>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</si>
  <si>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</si>
  <si>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</si>
  <si>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</si>
  <si>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</si>
  <si>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</si>
  <si>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</si>
  <si>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</si>
  <si>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</si>
  <si>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</si>
  <si>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</si>
  <si>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</si>
  <si>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</si>
  <si>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</si>
  <si>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</si>
  <si>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</si>
  <si>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</si>
  <si>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</si>
  <si>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</si>
  <si>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</si>
  <si>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</si>
  <si>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</si>
  <si>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</si>
  <si>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</si>
  <si>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</si>
  <si>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</si>
  <si>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</si>
  <si>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</si>
  <si>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</si>
  <si>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</si>
  <si>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</si>
  <si>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</si>
  <si>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</si>
  <si>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</si>
  <si>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</si>
  <si>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</si>
  <si>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</si>
  <si>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</si>
  <si>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</si>
  <si>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</si>
  <si>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</si>
  <si>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</si>
  <si>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</si>
  <si>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</si>
  <si>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</si>
  <si>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</si>
  <si>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</si>
  <si>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</si>
  <si>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</si>
  <si>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</si>
  <si>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</si>
  <si>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</si>
  <si>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</si>
  <si>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</si>
  <si>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</si>
  <si>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</si>
  <si>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</si>
  <si>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</si>
  <si>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</si>
  <si>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</si>
  <si>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</si>
  <si>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</si>
  <si>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</si>
  <si>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</si>
  <si>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</si>
  <si>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</si>
  <si>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</si>
  <si>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</si>
  <si>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</si>
  <si>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</si>
  <si>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</si>
  <si>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</si>
  <si>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</si>
  <si>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</si>
  <si>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</si>
  <si>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</si>
  <si>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</si>
  <si>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</si>
  <si>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</si>
  <si>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</si>
  <si>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</si>
  <si>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</si>
  <si>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</si>
  <si>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</si>
  <si>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</si>
  <si>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</si>
  <si>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</si>
  <si>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</si>
  <si>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</si>
  <si>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</si>
  <si>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</si>
  <si>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</si>
  <si>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</si>
  <si>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</si>
  <si>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</si>
  <si>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</si>
  <si>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</si>
  <si>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</si>
  <si>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</si>
  <si>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</si>
  <si>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</si>
  <si>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</si>
  <si>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</si>
  <si>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</si>
  <si>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</si>
  <si>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</si>
  <si>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</si>
  <si>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</si>
  <si>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</si>
  <si>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</si>
  <si>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</si>
  <si>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</si>
  <si>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</si>
  <si>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</si>
  <si>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</si>
  <si>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</si>
  <si>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</si>
  <si>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</si>
  <si>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</si>
  <si>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</si>
  <si>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</si>
  <si>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</si>
  <si>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</si>
  <si>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</si>
  <si>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</si>
  <si>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</si>
  <si>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</si>
  <si>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</si>
  <si>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</si>
  <si>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</si>
  <si>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</si>
  <si>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</si>
  <si>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</si>
  <si>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</si>
  <si>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</si>
  <si>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</si>
  <si>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</si>
  <si>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</si>
  <si>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</si>
  <si>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</si>
  <si>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</si>
  <si>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</si>
  <si>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</si>
  <si>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</si>
  <si>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</si>
  <si>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</si>
  <si>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</si>
  <si>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</si>
  <si>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</si>
  <si>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</si>
  <si>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</si>
  <si>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</si>
  <si>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</si>
  <si>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</si>
  <si>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</si>
  <si>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</si>
  <si>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</si>
  <si>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</si>
  <si>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</si>
  <si>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</si>
  <si>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</si>
  <si>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</si>
  <si>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</si>
  <si>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</si>
  <si>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</si>
  <si>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</si>
  <si>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</si>
  <si>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</si>
  <si>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</si>
  <si>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</si>
  <si>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</si>
  <si>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</si>
  <si>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</si>
  <si>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</si>
  <si>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</si>
  <si>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</si>
  <si>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</si>
  <si>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</si>
  <si>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</si>
  <si>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</si>
  <si>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</si>
  <si>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</si>
  <si>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</si>
  <si>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</si>
  <si>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</si>
  <si>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</si>
  <si>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</si>
  <si>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</si>
  <si>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</si>
  <si>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</si>
  <si>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</si>
  <si>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</si>
  <si>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</si>
  <si>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</si>
  <si>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</si>
  <si>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</si>
  <si>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</si>
  <si>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</si>
  <si>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</si>
  <si>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</si>
  <si>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</si>
  <si>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</si>
  <si>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</si>
  <si>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</si>
  <si>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</si>
  <si>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</si>
  <si>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</si>
  <si>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</si>
  <si>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</si>
  <si>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</si>
  <si>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</si>
  <si>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</si>
  <si>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</si>
  <si>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</si>
  <si>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</si>
  <si>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</si>
  <si>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</si>
  <si>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</si>
  <si>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</si>
  <si>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</si>
  <si>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</si>
  <si>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</si>
  <si>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</si>
  <si>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</si>
  <si>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</si>
  <si>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</si>
  <si>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</si>
  <si>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</si>
  <si>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</si>
  <si>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</si>
  <si>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</si>
  <si>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</si>
  <si>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</si>
  <si>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</si>
  <si>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</si>
  <si>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</si>
  <si>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</si>
  <si>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</si>
  <si>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</si>
  <si>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</si>
  <si>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</si>
  <si>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</si>
  <si>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</si>
  <si>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</si>
  <si>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</si>
  <si>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</si>
  <si>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</si>
  <si>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</si>
  <si>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</si>
  <si>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</si>
  <si>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</si>
  <si>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</si>
  <si>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</si>
  <si>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</si>
  <si>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</si>
  <si>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</si>
  <si>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</si>
  <si>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</si>
  <si>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</si>
  <si>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</si>
  <si>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</si>
  <si>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</si>
  <si>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</si>
  <si>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</si>
  <si>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</si>
  <si>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</si>
  <si>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</si>
  <si>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</si>
  <si>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</si>
  <si>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</si>
  <si>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</si>
  <si>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</si>
  <si>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</si>
  <si>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</si>
  <si>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</si>
  <si>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</si>
  <si>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</si>
  <si>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</si>
  <si>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</si>
  <si>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</si>
  <si>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</si>
  <si>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</si>
  <si>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</si>
  <si>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</si>
  <si>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</si>
  <si>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</si>
  <si>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</si>
  <si>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</si>
  <si>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</si>
  <si>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</si>
  <si>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</si>
  <si>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</si>
  <si>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</si>
  <si>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</si>
  <si>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</si>
  <si>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</si>
  <si>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</si>
  <si>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</si>
  <si>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</si>
  <si>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</si>
  <si>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41027</t>
  </si>
  <si>
    <t>HERZELE</t>
  </si>
  <si>
    <t>referentietaak LNE (2017); Jaarverslag De Lijn</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</si>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</sst>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149196.17420302378</c:v>
                </c:pt>
                <c:pt idx="1">
                  <c:v>22350.007578778248</c:v>
                </c:pt>
                <c:pt idx="2">
                  <c:v>1385.9349999999999</c:v>
                </c:pt>
                <c:pt idx="3">
                  <c:v>5291.8515838229141</c:v>
                </c:pt>
                <c:pt idx="4">
                  <c:v>5091.4776408097305</c:v>
                </c:pt>
                <c:pt idx="5">
                  <c:v>85751.237060378306</c:v>
                </c:pt>
                <c:pt idx="6">
                  <c:v>863.74901652467452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149196.17420302378</c:v>
                </c:pt>
                <c:pt idx="1">
                  <c:v>22350.007578778248</c:v>
                </c:pt>
                <c:pt idx="2">
                  <c:v>1385.9349999999999</c:v>
                </c:pt>
                <c:pt idx="3">
                  <c:v>5291.8515838229141</c:v>
                </c:pt>
                <c:pt idx="4">
                  <c:v>5091.4776408097305</c:v>
                </c:pt>
                <c:pt idx="5">
                  <c:v>85751.237060378306</c:v>
                </c:pt>
                <c:pt idx="6">
                  <c:v>863.74901652467452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27228.438956958544</c:v>
                </c:pt>
                <c:pt idx="1">
                  <c:v>4425.2192947286785</c:v>
                </c:pt>
                <c:pt idx="2">
                  <c:v>268.64102849629268</c:v>
                </c:pt>
                <c:pt idx="3">
                  <c:v>1329.2481599763564</c:v>
                </c:pt>
                <c:pt idx="4">
                  <c:v>1046.2811999611808</c:v>
                </c:pt>
                <c:pt idx="5">
                  <c:v>21291.228614130079</c:v>
                </c:pt>
                <c:pt idx="6">
                  <c:v>218.75034763735363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27228.438956958544</c:v>
                </c:pt>
                <c:pt idx="1">
                  <c:v>4425.2192947286785</c:v>
                </c:pt>
                <c:pt idx="2">
                  <c:v>268.64102849629268</c:v>
                </c:pt>
                <c:pt idx="3">
                  <c:v>1329.2481599763564</c:v>
                </c:pt>
                <c:pt idx="4">
                  <c:v>1046.2811999611808</c:v>
                </c:pt>
                <c:pt idx="5">
                  <c:v>21291.228614130079</c:v>
                </c:pt>
                <c:pt idx="6">
                  <c:v>218.75034763735363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41027</v>
      </c>
      <c r="B6" s="392"/>
      <c r="C6" s="393"/>
    </row>
    <row r="7" spans="1:7" s="390" customFormat="1" ht="15.75" customHeight="1">
      <c r="A7" s="394" t="str">
        <f>txtMunicipality</f>
        <v>HERZELE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0.19383378621385036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0.19383378621385036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7500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2920.6</v>
      </c>
      <c r="C14" s="332"/>
      <c r="D14" s="332"/>
      <c r="E14" s="332"/>
      <c r="F14" s="332"/>
    </row>
    <row r="15" spans="1:6">
      <c r="A15" s="1310" t="s">
        <v>183</v>
      </c>
      <c r="B15" s="1311">
        <v>144</v>
      </c>
      <c r="C15" s="332"/>
      <c r="D15" s="332"/>
      <c r="E15" s="332"/>
      <c r="F15" s="332"/>
    </row>
    <row r="16" spans="1:6">
      <c r="A16" s="1310" t="s">
        <v>6</v>
      </c>
      <c r="B16" s="1311">
        <v>966</v>
      </c>
      <c r="C16" s="332"/>
      <c r="D16" s="332"/>
      <c r="E16" s="332"/>
      <c r="F16" s="332"/>
    </row>
    <row r="17" spans="1:6">
      <c r="A17" s="1310" t="s">
        <v>7</v>
      </c>
      <c r="B17" s="1311">
        <v>742</v>
      </c>
      <c r="C17" s="332"/>
      <c r="D17" s="332"/>
      <c r="E17" s="332"/>
      <c r="F17" s="332"/>
    </row>
    <row r="18" spans="1:6">
      <c r="A18" s="1310" t="s">
        <v>8</v>
      </c>
      <c r="B18" s="1311">
        <v>1109</v>
      </c>
      <c r="C18" s="332"/>
      <c r="D18" s="332"/>
      <c r="E18" s="332"/>
      <c r="F18" s="332"/>
    </row>
    <row r="19" spans="1:6">
      <c r="A19" s="1310" t="s">
        <v>9</v>
      </c>
      <c r="B19" s="1311">
        <v>1085</v>
      </c>
      <c r="C19" s="332"/>
      <c r="D19" s="332"/>
      <c r="E19" s="332"/>
      <c r="F19" s="332"/>
    </row>
    <row r="20" spans="1:6">
      <c r="A20" s="1310" t="s">
        <v>10</v>
      </c>
      <c r="B20" s="1311">
        <v>913</v>
      </c>
      <c r="C20" s="332"/>
      <c r="D20" s="332"/>
      <c r="E20" s="332"/>
      <c r="F20" s="332"/>
    </row>
    <row r="21" spans="1:6">
      <c r="A21" s="1310" t="s">
        <v>11</v>
      </c>
      <c r="B21" s="1311">
        <v>0</v>
      </c>
      <c r="C21" s="332"/>
      <c r="D21" s="332"/>
      <c r="E21" s="332"/>
      <c r="F21" s="332"/>
    </row>
    <row r="22" spans="1:6">
      <c r="A22" s="1310" t="s">
        <v>12</v>
      </c>
      <c r="B22" s="1311">
        <v>667</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184</v>
      </c>
      <c r="C26" s="332"/>
      <c r="D26" s="332"/>
      <c r="E26" s="332"/>
      <c r="F26" s="332"/>
    </row>
    <row r="27" spans="1:6">
      <c r="A27" s="1310" t="s">
        <v>17</v>
      </c>
      <c r="B27" s="1311">
        <v>606</v>
      </c>
      <c r="C27" s="332"/>
      <c r="D27" s="332"/>
      <c r="E27" s="332"/>
      <c r="F27" s="332"/>
    </row>
    <row r="28" spans="1:6" s="43" customFormat="1">
      <c r="A28" s="1312" t="s">
        <v>18</v>
      </c>
      <c r="B28" s="1313">
        <v>0</v>
      </c>
      <c r="C28" s="338"/>
      <c r="D28" s="338"/>
      <c r="E28" s="338"/>
      <c r="F28" s="338"/>
    </row>
    <row r="29" spans="1:6">
      <c r="A29" s="1312" t="s">
        <v>699</v>
      </c>
      <c r="B29" s="1313">
        <v>165</v>
      </c>
      <c r="C29" s="338"/>
      <c r="D29" s="338"/>
      <c r="E29" s="338"/>
      <c r="F29" s="338"/>
    </row>
    <row r="30" spans="1:6">
      <c r="A30" s="1305" t="s">
        <v>700</v>
      </c>
      <c r="B30" s="1314">
        <v>17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v>
      </c>
      <c r="D36" s="1311">
        <v>63575.912819936901</v>
      </c>
      <c r="E36" s="1311">
        <v>4</v>
      </c>
      <c r="F36" s="1311">
        <v>5148.5785673875998</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792</v>
      </c>
    </row>
    <row r="39" spans="1:6">
      <c r="A39" s="1310" t="s">
        <v>29</v>
      </c>
      <c r="B39" s="1310" t="s">
        <v>30</v>
      </c>
      <c r="C39" s="1311">
        <v>3895</v>
      </c>
      <c r="D39" s="1311">
        <v>56880756.785771199</v>
      </c>
      <c r="E39" s="1311">
        <v>7498</v>
      </c>
      <c r="F39" s="1311">
        <v>27746042.397958498</v>
      </c>
    </row>
    <row r="40" spans="1:6">
      <c r="A40" s="1310" t="s">
        <v>29</v>
      </c>
      <c r="B40" s="1310" t="s">
        <v>28</v>
      </c>
      <c r="C40" s="1311">
        <v>0</v>
      </c>
      <c r="D40" s="1311">
        <v>0</v>
      </c>
      <c r="E40" s="1311">
        <v>0</v>
      </c>
      <c r="F40" s="1311">
        <v>0</v>
      </c>
    </row>
    <row r="41" spans="1:6">
      <c r="A41" s="1310" t="s">
        <v>31</v>
      </c>
      <c r="B41" s="1310" t="s">
        <v>32</v>
      </c>
      <c r="C41" s="1311">
        <v>76</v>
      </c>
      <c r="D41" s="1311">
        <v>865491.13984425901</v>
      </c>
      <c r="E41" s="1311">
        <v>202</v>
      </c>
      <c r="F41" s="1311">
        <v>1280350.7886586699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42712.050012987398</v>
      </c>
      <c r="E44" s="1311">
        <v>9</v>
      </c>
      <c r="F44" s="1311">
        <v>525696.09389229701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3</v>
      </c>
      <c r="D47" s="1311">
        <v>34311.770342695403</v>
      </c>
      <c r="E47" s="1311">
        <v>7</v>
      </c>
      <c r="F47" s="1311">
        <v>66638.064346462794</v>
      </c>
    </row>
    <row r="48" spans="1:6">
      <c r="A48" s="1310" t="s">
        <v>31</v>
      </c>
      <c r="B48" s="1310" t="s">
        <v>28</v>
      </c>
      <c r="C48" s="1311">
        <v>1</v>
      </c>
      <c r="D48" s="1311">
        <v>21580.580083755602</v>
      </c>
      <c r="E48" s="1311">
        <v>4</v>
      </c>
      <c r="F48" s="1311">
        <v>164088.801715432</v>
      </c>
    </row>
    <row r="49" spans="1:6">
      <c r="A49" s="1310" t="s">
        <v>31</v>
      </c>
      <c r="B49" s="1310" t="s">
        <v>39</v>
      </c>
      <c r="C49" s="1311">
        <v>0</v>
      </c>
      <c r="D49" s="1311">
        <v>0</v>
      </c>
      <c r="E49" s="1311">
        <v>0</v>
      </c>
      <c r="F49" s="1311">
        <v>0</v>
      </c>
    </row>
    <row r="50" spans="1:6">
      <c r="A50" s="1310" t="s">
        <v>31</v>
      </c>
      <c r="B50" s="1310" t="s">
        <v>40</v>
      </c>
      <c r="C50" s="1311">
        <v>9</v>
      </c>
      <c r="D50" s="1311">
        <v>783474.52566624503</v>
      </c>
      <c r="E50" s="1311">
        <v>14</v>
      </c>
      <c r="F50" s="1311">
        <v>541781.01660356997</v>
      </c>
    </row>
    <row r="51" spans="1:6">
      <c r="A51" s="1310" t="s">
        <v>41</v>
      </c>
      <c r="B51" s="1310" t="s">
        <v>42</v>
      </c>
      <c r="C51" s="1311">
        <v>8</v>
      </c>
      <c r="D51" s="1311">
        <v>152731.995526624</v>
      </c>
      <c r="E51" s="1311">
        <v>91</v>
      </c>
      <c r="F51" s="1311">
        <v>1120460.12850906</v>
      </c>
    </row>
    <row r="52" spans="1:6">
      <c r="A52" s="1310" t="s">
        <v>41</v>
      </c>
      <c r="B52" s="1310" t="s">
        <v>28</v>
      </c>
      <c r="C52" s="1311">
        <v>0</v>
      </c>
      <c r="D52" s="1311">
        <v>0</v>
      </c>
      <c r="E52" s="1311">
        <v>0</v>
      </c>
      <c r="F52" s="1311">
        <v>0</v>
      </c>
    </row>
    <row r="53" spans="1:6">
      <c r="A53" s="1310" t="s">
        <v>43</v>
      </c>
      <c r="B53" s="1310" t="s">
        <v>44</v>
      </c>
      <c r="C53" s="1311">
        <v>98</v>
      </c>
      <c r="D53" s="1311">
        <v>1273279.2173884599</v>
      </c>
      <c r="E53" s="1311">
        <v>241</v>
      </c>
      <c r="F53" s="1311">
        <v>555699.49771232996</v>
      </c>
    </row>
    <row r="54" spans="1:6">
      <c r="A54" s="1310" t="s">
        <v>45</v>
      </c>
      <c r="B54" s="1310" t="s">
        <v>46</v>
      </c>
      <c r="C54" s="1311">
        <v>0</v>
      </c>
      <c r="D54" s="1311">
        <v>0</v>
      </c>
      <c r="E54" s="1311">
        <v>1</v>
      </c>
      <c r="F54" s="1311">
        <v>1385935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43</v>
      </c>
      <c r="D57" s="1311">
        <v>1137214.78550835</v>
      </c>
      <c r="E57" s="1311">
        <v>102</v>
      </c>
      <c r="F57" s="1311">
        <v>843348.41907965206</v>
      </c>
    </row>
    <row r="58" spans="1:6">
      <c r="A58" s="1310" t="s">
        <v>48</v>
      </c>
      <c r="B58" s="1310" t="s">
        <v>50</v>
      </c>
      <c r="C58" s="1311">
        <v>39</v>
      </c>
      <c r="D58" s="1311">
        <v>1857679.50997619</v>
      </c>
      <c r="E58" s="1311">
        <v>68</v>
      </c>
      <c r="F58" s="1311">
        <v>1178590.2705939701</v>
      </c>
    </row>
    <row r="59" spans="1:6">
      <c r="A59" s="1310" t="s">
        <v>48</v>
      </c>
      <c r="B59" s="1310" t="s">
        <v>51</v>
      </c>
      <c r="C59" s="1311">
        <v>69</v>
      </c>
      <c r="D59" s="1311">
        <v>1892574.27114712</v>
      </c>
      <c r="E59" s="1311">
        <v>183</v>
      </c>
      <c r="F59" s="1311">
        <v>4495577.2033733604</v>
      </c>
    </row>
    <row r="60" spans="1:6">
      <c r="A60" s="1310" t="s">
        <v>48</v>
      </c>
      <c r="B60" s="1310" t="s">
        <v>52</v>
      </c>
      <c r="C60" s="1311">
        <v>35</v>
      </c>
      <c r="D60" s="1311">
        <v>947582.91337710503</v>
      </c>
      <c r="E60" s="1311">
        <v>69</v>
      </c>
      <c r="F60" s="1311">
        <v>976697.81062331295</v>
      </c>
    </row>
    <row r="61" spans="1:6">
      <c r="A61" s="1310" t="s">
        <v>48</v>
      </c>
      <c r="B61" s="1310" t="s">
        <v>53</v>
      </c>
      <c r="C61" s="1311">
        <v>129</v>
      </c>
      <c r="D61" s="1311">
        <v>4416083.6585408496</v>
      </c>
      <c r="E61" s="1311">
        <v>323</v>
      </c>
      <c r="F61" s="1311">
        <v>2628316.7792783501</v>
      </c>
    </row>
    <row r="62" spans="1:6">
      <c r="A62" s="1310" t="s">
        <v>48</v>
      </c>
      <c r="B62" s="1310" t="s">
        <v>54</v>
      </c>
      <c r="C62" s="1311">
        <v>12</v>
      </c>
      <c r="D62" s="1311">
        <v>795361.839809575</v>
      </c>
      <c r="E62" s="1311">
        <v>20</v>
      </c>
      <c r="F62" s="1311">
        <v>279329.62019105599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7381.8098563761996</v>
      </c>
      <c r="E65" s="1311">
        <v>0</v>
      </c>
      <c r="F65" s="1311">
        <v>0</v>
      </c>
    </row>
    <row r="66" spans="1:6">
      <c r="A66" s="1310" t="s">
        <v>55</v>
      </c>
      <c r="B66" s="1310" t="s">
        <v>57</v>
      </c>
      <c r="C66" s="1311">
        <v>0</v>
      </c>
      <c r="D66" s="1311">
        <v>0</v>
      </c>
      <c r="E66" s="1311">
        <v>7</v>
      </c>
      <c r="F66" s="1311">
        <v>22979.086920673399</v>
      </c>
    </row>
    <row r="67" spans="1:6">
      <c r="A67" s="1312" t="s">
        <v>55</v>
      </c>
      <c r="B67" s="1312" t="s">
        <v>58</v>
      </c>
      <c r="C67" s="1311">
        <v>0</v>
      </c>
      <c r="D67" s="1311">
        <v>0</v>
      </c>
      <c r="E67" s="1311">
        <v>0</v>
      </c>
      <c r="F67" s="1311">
        <v>0</v>
      </c>
    </row>
    <row r="68" spans="1:6">
      <c r="A68" s="1305" t="s">
        <v>55</v>
      </c>
      <c r="B68" s="1305" t="s">
        <v>59</v>
      </c>
      <c r="C68" s="1314">
        <v>0</v>
      </c>
      <c r="D68" s="1314">
        <v>0</v>
      </c>
      <c r="E68" s="1314">
        <v>9</v>
      </c>
      <c r="F68" s="1314">
        <v>173735.06033553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59287184</v>
      </c>
      <c r="E73" s="453"/>
      <c r="F73" s="332"/>
    </row>
    <row r="74" spans="1:6">
      <c r="A74" s="1310" t="s">
        <v>63</v>
      </c>
      <c r="B74" s="1310" t="s">
        <v>648</v>
      </c>
      <c r="C74" s="1324" t="s">
        <v>650</v>
      </c>
      <c r="D74" s="1325">
        <v>6377559.5005115783</v>
      </c>
      <c r="E74" s="453"/>
      <c r="F74" s="332"/>
    </row>
    <row r="75" spans="1:6">
      <c r="A75" s="1310" t="s">
        <v>64</v>
      </c>
      <c r="B75" s="1310" t="s">
        <v>647</v>
      </c>
      <c r="C75" s="1324" t="s">
        <v>651</v>
      </c>
      <c r="D75" s="1325">
        <v>29772059</v>
      </c>
      <c r="E75" s="453"/>
      <c r="F75" s="332"/>
    </row>
    <row r="76" spans="1:6">
      <c r="A76" s="1310" t="s">
        <v>64</v>
      </c>
      <c r="B76" s="1310" t="s">
        <v>648</v>
      </c>
      <c r="C76" s="1324" t="s">
        <v>652</v>
      </c>
      <c r="D76" s="1325">
        <v>1157385.5005115785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239582.998976843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5605.4755322848487</v>
      </c>
      <c r="C91" s="332"/>
      <c r="D91" s="332"/>
      <c r="E91" s="332"/>
      <c r="F91" s="332"/>
    </row>
    <row r="92" spans="1:6">
      <c r="A92" s="1305" t="s">
        <v>68</v>
      </c>
      <c r="B92" s="1306">
        <v>391.69891227297217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1016</v>
      </c>
      <c r="C97" s="332"/>
      <c r="D97" s="332"/>
      <c r="E97" s="332"/>
      <c r="F97" s="332"/>
    </row>
    <row r="98" spans="1:6">
      <c r="A98" s="1310" t="s">
        <v>71</v>
      </c>
      <c r="B98" s="1311">
        <v>1</v>
      </c>
      <c r="C98" s="332"/>
      <c r="D98" s="332"/>
      <c r="E98" s="332"/>
      <c r="F98" s="332"/>
    </row>
    <row r="99" spans="1:6">
      <c r="A99" s="1310" t="s">
        <v>72</v>
      </c>
      <c r="B99" s="1311">
        <v>101</v>
      </c>
      <c r="C99" s="332"/>
      <c r="D99" s="332"/>
      <c r="E99" s="332"/>
      <c r="F99" s="332"/>
    </row>
    <row r="100" spans="1:6">
      <c r="A100" s="1310" t="s">
        <v>73</v>
      </c>
      <c r="B100" s="1311">
        <v>581</v>
      </c>
      <c r="C100" s="332"/>
      <c r="D100" s="332"/>
      <c r="E100" s="332"/>
      <c r="F100" s="332"/>
    </row>
    <row r="101" spans="1:6">
      <c r="A101" s="1310" t="s">
        <v>74</v>
      </c>
      <c r="B101" s="1311">
        <v>141</v>
      </c>
      <c r="C101" s="332"/>
      <c r="D101" s="332"/>
      <c r="E101" s="332"/>
      <c r="F101" s="332"/>
    </row>
    <row r="102" spans="1:6">
      <c r="A102" s="1310" t="s">
        <v>75</v>
      </c>
      <c r="B102" s="1311">
        <v>117</v>
      </c>
      <c r="C102" s="332"/>
      <c r="D102" s="332"/>
      <c r="E102" s="332"/>
      <c r="F102" s="332"/>
    </row>
    <row r="103" spans="1:6">
      <c r="A103" s="1310" t="s">
        <v>76</v>
      </c>
      <c r="B103" s="1311">
        <v>374</v>
      </c>
      <c r="C103" s="332"/>
      <c r="D103" s="332"/>
      <c r="E103" s="332"/>
      <c r="F103" s="332"/>
    </row>
    <row r="104" spans="1:6">
      <c r="A104" s="1310" t="s">
        <v>77</v>
      </c>
      <c r="B104" s="1311">
        <v>4020</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21</v>
      </c>
      <c r="C123" s="1311">
        <v>53</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213</v>
      </c>
      <c r="C129" s="332"/>
      <c r="D129" s="332"/>
      <c r="E129" s="332"/>
      <c r="F129" s="332"/>
    </row>
    <row r="130" spans="1:6">
      <c r="A130" s="1310" t="s">
        <v>294</v>
      </c>
      <c r="B130" s="1311">
        <v>4</v>
      </c>
      <c r="C130" s="332"/>
      <c r="D130" s="332"/>
      <c r="E130" s="332"/>
      <c r="F130" s="332"/>
    </row>
    <row r="131" spans="1:6">
      <c r="A131" s="1310" t="s">
        <v>295</v>
      </c>
      <c r="B131" s="1311">
        <v>3</v>
      </c>
      <c r="C131" s="332"/>
      <c r="D131" s="332"/>
      <c r="E131" s="332"/>
      <c r="F131" s="332"/>
    </row>
    <row r="132" spans="1:6">
      <c r="A132" s="1305" t="s">
        <v>296</v>
      </c>
      <c r="B132" s="1306">
        <v>24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49497.838117317668</v>
      </c>
      <c r="C3" s="43" t="s">
        <v>169</v>
      </c>
      <c r="D3" s="43"/>
      <c r="E3" s="154"/>
      <c r="F3" s="43"/>
      <c r="G3" s="43"/>
      <c r="H3" s="43"/>
      <c r="I3" s="43"/>
      <c r="J3" s="43"/>
      <c r="K3" s="96"/>
    </row>
    <row r="4" spans="1:11">
      <c r="A4" s="360" t="s">
        <v>170</v>
      </c>
      <c r="B4" s="49">
        <f>IF(ISERROR('SEAP template'!B78+'SEAP template'!C78),0,'SEAP template'!B78+'SEAP template'!C78)</f>
        <v>6084.4744445578208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0.19383378621385036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124.71428571428569</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1385.9349999999999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1385.9349999999999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0.19383378621385036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268.64102849629268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27746.042397958499</v>
      </c>
      <c r="C5" s="17">
        <f>IF(ISERROR('Eigen informatie GS &amp; warmtenet'!B59),0,'Eigen informatie GS &amp; warmtenet'!B59)</f>
        <v>0</v>
      </c>
      <c r="D5" s="30">
        <f>(SUM(HH_hh_gas_kWh,HH_rest_gas_kWh)/1000)*0.903</f>
        <v>51363.323377551395</v>
      </c>
      <c r="E5" s="17">
        <f>B46*B57</f>
        <v>9020.5512072704332</v>
      </c>
      <c r="F5" s="17">
        <f>B51*B62</f>
        <v>29635.548798442178</v>
      </c>
      <c r="G5" s="18"/>
      <c r="H5" s="17"/>
      <c r="I5" s="17"/>
      <c r="J5" s="17">
        <f>B50*B61+C50*C61</f>
        <v>1209.1525001709692</v>
      </c>
      <c r="K5" s="17"/>
      <c r="L5" s="17"/>
      <c r="M5" s="17"/>
      <c r="N5" s="17">
        <f>B48*B59+C48*C59</f>
        <v>23603.785374835013</v>
      </c>
      <c r="O5" s="17">
        <f>B69*B70*B71</f>
        <v>527.73288635695042</v>
      </c>
      <c r="P5" s="17">
        <f>B77*B78*B79/1000-B77*B78*B79/1000/B80</f>
        <v>484.56212815351103</v>
      </c>
    </row>
    <row r="6" spans="1:16">
      <c r="A6" s="16" t="s">
        <v>612</v>
      </c>
      <c r="B6" s="786">
        <f>kWh_PV_kleiner_dan_10kW</f>
        <v>5605.4755322848487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33351.517930243346</v>
      </c>
      <c r="C8" s="21">
        <f>C5</f>
        <v>0</v>
      </c>
      <c r="D8" s="21">
        <f>D5</f>
        <v>51363.323377551395</v>
      </c>
      <c r="E8" s="21">
        <f>E5</f>
        <v>9020.5512072704332</v>
      </c>
      <c r="F8" s="21">
        <f>F5</f>
        <v>29635.548798442178</v>
      </c>
      <c r="G8" s="21"/>
      <c r="H8" s="21"/>
      <c r="I8" s="21"/>
      <c r="J8" s="21">
        <f>J5</f>
        <v>1209.1525001709692</v>
      </c>
      <c r="K8" s="21"/>
      <c r="L8" s="21">
        <f>L5</f>
        <v>0</v>
      </c>
      <c r="M8" s="21">
        <f>M5</f>
        <v>0</v>
      </c>
      <c r="N8" s="21">
        <f>N5</f>
        <v>23603.785374835013</v>
      </c>
      <c r="O8" s="21">
        <f>O5</f>
        <v>527.73288635695042</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0.19383378621385036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6464.6509963981862</v>
      </c>
      <c r="C12" s="23">
        <f ca="1">C10*C8</f>
        <v>0</v>
      </c>
      <c r="D12" s="23">
        <f>D8*D10</f>
        <v>10375.391322265383</v>
      </c>
      <c r="E12" s="23">
        <f>E10*E8</f>
        <v>2047.6651240503884</v>
      </c>
      <c r="F12" s="23">
        <f>F10*F8</f>
        <v>7912.6915291840623</v>
      </c>
      <c r="G12" s="23"/>
      <c r="H12" s="23"/>
      <c r="I12" s="23"/>
      <c r="J12" s="23">
        <f>J10*J8</f>
        <v>428.03998506052307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101</v>
      </c>
      <c r="C20" s="167">
        <f>IF(ISERROR(B20/SUM($B$20,$B$21,$B$22)*100),0,B20/SUM($B$20,$B$21,$B$22)*100)</f>
        <v>12.272174969623331</v>
      </c>
      <c r="D20" s="229"/>
      <c r="E20" s="15"/>
    </row>
    <row r="21" spans="1:7">
      <c r="A21" s="171" t="s">
        <v>73</v>
      </c>
      <c r="B21" s="37">
        <f>aantalw2001_elektriciteit</f>
        <v>581</v>
      </c>
      <c r="C21" s="167">
        <f>IF(ISERROR(B21/SUM($B$20,$B$21,$B$22)*100),0,B21/SUM($B$20,$B$21,$B$22)*100)</f>
        <v>70.59538274605103</v>
      </c>
      <c r="D21" s="229"/>
      <c r="E21" s="15"/>
    </row>
    <row r="22" spans="1:7">
      <c r="A22" s="171" t="s">
        <v>74</v>
      </c>
      <c r="B22" s="37">
        <f>aantalw2001_hout</f>
        <v>141</v>
      </c>
      <c r="C22" s="167">
        <f>IF(ISERROR(B22/SUM($B$20,$B$21,$B$22)*100),0,B22/SUM($B$20,$B$21,$B$22)*100)</f>
        <v>17.132442284325638</v>
      </c>
      <c r="D22" s="229"/>
      <c r="E22" s="15"/>
    </row>
    <row r="23" spans="1:7">
      <c r="A23" s="171" t="s">
        <v>75</v>
      </c>
      <c r="B23" s="37">
        <f>aantalw2001_niet_gespec</f>
        <v>117</v>
      </c>
      <c r="C23" s="166" t="s">
        <v>110</v>
      </c>
      <c r="D23" s="228"/>
      <c r="E23" s="15"/>
    </row>
    <row r="24" spans="1:7">
      <c r="A24" s="171" t="s">
        <v>76</v>
      </c>
      <c r="B24" s="37">
        <f>aantalw2001_steenkool</f>
        <v>374</v>
      </c>
      <c r="C24" s="166" t="s">
        <v>110</v>
      </c>
      <c r="D24" s="229"/>
      <c r="E24" s="15"/>
    </row>
    <row r="25" spans="1:7">
      <c r="A25" s="171" t="s">
        <v>77</v>
      </c>
      <c r="B25" s="37">
        <f>aantalw2001_stookolie</f>
        <v>4020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7500</v>
      </c>
      <c r="C28" s="36"/>
      <c r="D28" s="228"/>
    </row>
    <row r="29" spans="1:7" s="15" customFormat="1">
      <c r="A29" s="230" t="s">
        <v>839</v>
      </c>
      <c r="B29" s="37">
        <f>SUM(HH_hh_gas_aantal,HH_rest_gas_aantal)</f>
        <v>3895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3895</v>
      </c>
      <c r="C32" s="167">
        <f>IF(ISERROR(B32/SUM($B$32,$B$34,$B$35,$B$36,$B$38,$B$39)*100),0,B32/SUM($B$32,$B$34,$B$35,$B$36,$B$38,$B$39)*100)</f>
        <v>52.253823450496363</v>
      </c>
      <c r="D32" s="233"/>
      <c r="G32" s="15"/>
    </row>
    <row r="33" spans="1:7">
      <c r="A33" s="171" t="s">
        <v>71</v>
      </c>
      <c r="B33" s="34" t="s">
        <v>110</v>
      </c>
      <c r="C33" s="167"/>
      <c r="D33" s="233"/>
      <c r="G33" s="15"/>
    </row>
    <row r="34" spans="1:7">
      <c r="A34" s="171" t="s">
        <v>72</v>
      </c>
      <c r="B34" s="33">
        <f>IF((($B$28-$B$32-$B$39-$B$77-$B$38)*C20/100)&lt;0,0,($B$28-$B$32-$B$39-$B$77-$B$38)*C20/100)</f>
        <v>250.84325637910089</v>
      </c>
      <c r="C34" s="167">
        <f>IF(ISERROR(B34/SUM($B$32,$B$34,$B$35,$B$36,$B$38,$B$39)*100),0,B34/SUM($B$32,$B$34,$B$35,$B$36,$B$38,$B$39)*100)</f>
        <v>3.3652167477743604</v>
      </c>
      <c r="D34" s="233"/>
      <c r="G34" s="15"/>
    </row>
    <row r="35" spans="1:7">
      <c r="A35" s="171" t="s">
        <v>73</v>
      </c>
      <c r="B35" s="33">
        <f>IF((($B$28-$B$32-$B$39-$B$77-$B$38)*C21/100)&lt;0,0,($B$28-$B$32-$B$39-$B$77-$B$38)*C21/100)</f>
        <v>1442.969623329283</v>
      </c>
      <c r="C35" s="167">
        <f>IF(ISERROR(B35/SUM($B$32,$B$34,$B$35,$B$36,$B$38,$B$39)*100),0,B35/SUM($B$32,$B$34,$B$35,$B$36,$B$38,$B$39)*100)</f>
        <v>19.358326044127754</v>
      </c>
      <c r="D35" s="233"/>
      <c r="G35" s="15"/>
    </row>
    <row r="36" spans="1:7">
      <c r="A36" s="171" t="s">
        <v>74</v>
      </c>
      <c r="B36" s="33">
        <f>IF((($B$28-$B$32-$B$39-$B$77-$B$38)*C22/100)&lt;0,0,($B$28-$B$32-$B$39-$B$77-$B$38)*C22/100)</f>
        <v>350.187120291616</v>
      </c>
      <c r="C36" s="167">
        <f>IF(ISERROR(B36/SUM($B$32,$B$34,$B$35,$B$36,$B$38,$B$39)*100),0,B36/SUM($B$32,$B$34,$B$35,$B$36,$B$38,$B$39)*100)</f>
        <v>4.6979758558038087</v>
      </c>
      <c r="D36" s="233"/>
      <c r="G36" s="15"/>
    </row>
    <row r="37" spans="1:7">
      <c r="A37" s="171" t="s">
        <v>75</v>
      </c>
      <c r="B37" s="34" t="s">
        <v>110</v>
      </c>
      <c r="C37" s="167"/>
      <c r="D37" s="173"/>
      <c r="G37" s="15"/>
    </row>
    <row r="38" spans="1:7">
      <c r="A38" s="171" t="s">
        <v>76</v>
      </c>
      <c r="B38" s="33">
        <f>IF((B24-(B29-B18)*0.1)&lt;0,0,B24-(B29-B18)*0.1)</f>
        <v>86.099999999999966</v>
      </c>
      <c r="C38" s="167">
        <f>IF(ISERROR(B38/SUM($B$32,$B$34,$B$35,$B$36,$B$38,$B$39)*100),0,B38/SUM($B$32,$B$34,$B$35,$B$36,$B$38,$B$39)*100)</f>
        <v>1.1550845183793927</v>
      </c>
      <c r="D38" s="234"/>
      <c r="G38" s="15"/>
    </row>
    <row r="39" spans="1:7">
      <c r="A39" s="171" t="s">
        <v>77</v>
      </c>
      <c r="B39" s="33">
        <f>IF((B25-(B29-B18))&lt;0,0,B25-(B29-B18)*0.9)</f>
        <v>1428.9</v>
      </c>
      <c r="C39" s="167">
        <f>IF(ISERROR(B39/SUM($B$32,$B$34,$B$35,$B$36,$B$38,$B$39)*100),0,B39/SUM($B$32,$B$34,$B$35,$B$36,$B$38,$B$39)*100)</f>
        <v>19.169573383418296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3895</v>
      </c>
      <c r="C44" s="34" t="s">
        <v>110</v>
      </c>
      <c r="D44" s="174"/>
    </row>
    <row r="45" spans="1:7">
      <c r="A45" s="171" t="s">
        <v>71</v>
      </c>
      <c r="B45" s="33" t="str">
        <f t="shared" si="0"/>
        <v>-</v>
      </c>
      <c r="C45" s="34" t="s">
        <v>110</v>
      </c>
      <c r="D45" s="174"/>
    </row>
    <row r="46" spans="1:7">
      <c r="A46" s="171" t="s">
        <v>72</v>
      </c>
      <c r="B46" s="33">
        <f t="shared" si="0"/>
        <v>250.84325637910089</v>
      </c>
      <c r="C46" s="34" t="s">
        <v>110</v>
      </c>
      <c r="D46" s="174"/>
    </row>
    <row r="47" spans="1:7">
      <c r="A47" s="171" t="s">
        <v>73</v>
      </c>
      <c r="B47" s="33">
        <f t="shared" si="0"/>
        <v>1442.969623329283</v>
      </c>
      <c r="C47" s="34" t="s">
        <v>110</v>
      </c>
      <c r="D47" s="174"/>
    </row>
    <row r="48" spans="1:7">
      <c r="A48" s="171" t="s">
        <v>74</v>
      </c>
      <c r="B48" s="33">
        <f t="shared" si="0"/>
        <v>350.187120291616</v>
      </c>
      <c r="C48" s="33">
        <f>B48*10</f>
        <v>3501.8712029161597</v>
      </c>
      <c r="D48" s="234"/>
    </row>
    <row r="49" spans="1:6">
      <c r="A49" s="171" t="s">
        <v>75</v>
      </c>
      <c r="B49" s="33" t="str">
        <f t="shared" si="0"/>
        <v>-</v>
      </c>
      <c r="C49" s="34" t="s">
        <v>110</v>
      </c>
      <c r="D49" s="234"/>
    </row>
    <row r="50" spans="1:6">
      <c r="A50" s="171" t="s">
        <v>76</v>
      </c>
      <c r="B50" s="33">
        <f t="shared" si="0"/>
        <v>86.099999999999966</v>
      </c>
      <c r="C50" s="33">
        <f>B50*2</f>
        <v>172.19999999999993</v>
      </c>
      <c r="D50" s="234"/>
    </row>
    <row r="51" spans="1:6">
      <c r="A51" s="171" t="s">
        <v>77</v>
      </c>
      <c r="B51" s="33">
        <f t="shared" si="0"/>
        <v>1428.9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10401.860103139701</v>
      </c>
      <c r="C5" s="17">
        <f>IF(ISERROR('Eigen informatie GS &amp; warmtenet'!B60),0,'Eigen informatie GS &amp; warmtenet'!B60)</f>
        <v>0</v>
      </c>
      <c r="D5" s="30">
        <f>SUM(D6:D12)</f>
        <v>9974.9867714583488</v>
      </c>
      <c r="E5" s="17">
        <f>SUM(E6:E12)</f>
        <v>28.507789894419403</v>
      </c>
      <c r="F5" s="17">
        <f>SUM(F6:F12)</f>
        <v>1419.8688313909681</v>
      </c>
      <c r="G5" s="18"/>
      <c r="H5" s="17"/>
      <c r="I5" s="17"/>
      <c r="J5" s="17">
        <f>SUM(J6:J12)</f>
        <v>8.3287572744456702E-3</v>
      </c>
      <c r="K5" s="17"/>
      <c r="L5" s="17"/>
      <c r="M5" s="17"/>
      <c r="N5" s="17">
        <f>SUM(N6:N12)</f>
        <v>313.73730070533225</v>
      </c>
      <c r="O5" s="17">
        <f>B38*B39*B40</f>
        <v>19.589043063364617</v>
      </c>
      <c r="P5" s="17">
        <f>B46*B47*B48/1000-B46*B47*B48/1000/B49</f>
        <v>210.15655322598008</v>
      </c>
      <c r="R5" s="32"/>
    </row>
    <row r="6" spans="1:18">
      <c r="A6" s="32" t="s">
        <v>53</v>
      </c>
      <c r="B6" s="37">
        <f>B26</f>
        <v>2628.3167792783502</v>
      </c>
      <c r="C6" s="33"/>
      <c r="D6" s="37">
        <f>IF(ISERROR(TER_kantoor_gas_kWh/1000),0,TER_kantoor_gas_kWh/1000)*0.903</f>
        <v>3987.7235436623873</v>
      </c>
      <c r="E6" s="33">
        <f>$C$26*'E Balans VL '!I12/100/3.6*1000000</f>
        <v>0.62968222622654235</v>
      </c>
      <c r="F6" s="33">
        <f>$C$26*('E Balans VL '!L12+'E Balans VL '!N12)/100/3.6*1000000</f>
        <v>249.24019313844076</v>
      </c>
      <c r="G6" s="34"/>
      <c r="H6" s="33"/>
      <c r="I6" s="33"/>
      <c r="J6" s="33">
        <f>$C$26*('E Balans VL '!D12+'E Balans VL '!E12)/100/3.6*1000000</f>
        <v>0</v>
      </c>
      <c r="K6" s="33"/>
      <c r="L6" s="33"/>
      <c r="M6" s="33"/>
      <c r="N6" s="33">
        <f>$C$26*'E Balans VL '!Y12/100/3.6*1000000</f>
        <v>1.3350489776157779</v>
      </c>
      <c r="O6" s="33"/>
      <c r="P6" s="33"/>
      <c r="R6" s="32"/>
    </row>
    <row r="7" spans="1:18">
      <c r="A7" s="32" t="s">
        <v>52</v>
      </c>
      <c r="B7" s="37">
        <f t="shared" ref="B7:B12" si="0">B27</f>
        <v>976.69781062331299</v>
      </c>
      <c r="C7" s="33"/>
      <c r="D7" s="37">
        <f>IF(ISERROR(TER_horeca_gas_kWh/1000),0,TER_horeca_gas_kWh/1000)*0.903</f>
        <v>855.66737077952587</v>
      </c>
      <c r="E7" s="33">
        <f>$C$27*'E Balans VL '!I9/100/3.6*1000000</f>
        <v>0</v>
      </c>
      <c r="F7" s="33">
        <f>$C$27*('E Balans VL '!L9+'E Balans VL '!N9)/100/3.6*1000000</f>
        <v>80.086924558020499</v>
      </c>
      <c r="G7" s="34"/>
      <c r="H7" s="33"/>
      <c r="I7" s="33"/>
      <c r="J7" s="33">
        <f>$C$27*('E Balans VL '!D9+'E Balans VL '!E9)/100/3.6*1000000</f>
        <v>0</v>
      </c>
      <c r="K7" s="33"/>
      <c r="L7" s="33"/>
      <c r="M7" s="33"/>
      <c r="N7" s="33">
        <f>$C$27*'E Balans VL '!Y9/100/3.6*1000000</f>
        <v>0.29939711979640105</v>
      </c>
      <c r="O7" s="33"/>
      <c r="P7" s="33"/>
      <c r="R7" s="32"/>
    </row>
    <row r="8" spans="1:18">
      <c r="A8" s="6" t="s">
        <v>51</v>
      </c>
      <c r="B8" s="37">
        <f t="shared" si="0"/>
        <v>4495.5772033733601</v>
      </c>
      <c r="C8" s="33"/>
      <c r="D8" s="37">
        <f>IF(ISERROR(TER_handel_gas_kWh/1000),0,TER_handel_gas_kWh/1000)*0.903</f>
        <v>1708.9945668458495</v>
      </c>
      <c r="E8" s="33">
        <f>$C$28*'E Balans VL '!I13/100/3.6*1000000</f>
        <v>15.799496798190027</v>
      </c>
      <c r="F8" s="33">
        <f>$C$28*('E Balans VL '!L13+'E Balans VL '!N13)/100/3.6*1000000</f>
        <v>411.33724080545727</v>
      </c>
      <c r="G8" s="34"/>
      <c r="H8" s="33"/>
      <c r="I8" s="33"/>
      <c r="J8" s="33">
        <f>$C$28*('E Balans VL '!D13+'E Balans VL '!E13)/100/3.6*1000000</f>
        <v>0</v>
      </c>
      <c r="K8" s="33"/>
      <c r="L8" s="33"/>
      <c r="M8" s="33"/>
      <c r="N8" s="33">
        <f>$C$28*'E Balans VL '!Y13/100/3.6*1000000</f>
        <v>1.6281045212199929</v>
      </c>
      <c r="O8" s="33"/>
      <c r="P8" s="33"/>
      <c r="R8" s="32"/>
    </row>
    <row r="9" spans="1:18">
      <c r="A9" s="32" t="s">
        <v>50</v>
      </c>
      <c r="B9" s="37">
        <f t="shared" si="0"/>
        <v>1178.59027059397</v>
      </c>
      <c r="C9" s="33"/>
      <c r="D9" s="37">
        <f>IF(ISERROR(TER_gezond_gas_kWh/1000),0,TER_gezond_gas_kWh/1000)*0.903</f>
        <v>1677.4845975084997</v>
      </c>
      <c r="E9" s="33">
        <f>$C$29*'E Balans VL '!I10/100/3.6*1000000</f>
        <v>0</v>
      </c>
      <c r="F9" s="33">
        <f>$C$29*('E Balans VL '!L10+'E Balans VL '!N10)/100/3.6*1000000</f>
        <v>144.47352478263878</v>
      </c>
      <c r="G9" s="34"/>
      <c r="H9" s="33"/>
      <c r="I9" s="33"/>
      <c r="J9" s="33">
        <f>$C$29*('E Balans VL '!D10+'E Balans VL '!E10)/100/3.6*1000000</f>
        <v>0</v>
      </c>
      <c r="K9" s="33"/>
      <c r="L9" s="33"/>
      <c r="M9" s="33"/>
      <c r="N9" s="33">
        <f>$C$29*'E Balans VL '!Y10/100/3.6*1000000</f>
        <v>8.6912819393015965</v>
      </c>
      <c r="O9" s="33"/>
      <c r="P9" s="33"/>
      <c r="R9" s="32"/>
    </row>
    <row r="10" spans="1:18">
      <c r="A10" s="32" t="s">
        <v>49</v>
      </c>
      <c r="B10" s="37">
        <f t="shared" si="0"/>
        <v>843.3484190796521</v>
      </c>
      <c r="C10" s="33"/>
      <c r="D10" s="37">
        <f>IF(ISERROR(TER_ander_gas_kWh/1000),0,TER_ander_gas_kWh/1000)*0.903</f>
        <v>1026.9049513140401</v>
      </c>
      <c r="E10" s="33">
        <f>$C$30*'E Balans VL '!I14/100/3.6*1000000</f>
        <v>12.078610870002835</v>
      </c>
      <c r="F10" s="33">
        <f>$C$30*('E Balans VL '!L14+'E Balans VL '!N14)/100/3.6*1000000</f>
        <v>502.073989133655</v>
      </c>
      <c r="G10" s="34"/>
      <c r="H10" s="33"/>
      <c r="I10" s="33"/>
      <c r="J10" s="33">
        <f>$C$30*('E Balans VL '!D14+'E Balans VL '!E14)/100/3.6*1000000</f>
        <v>8.3287572744456702E-3</v>
      </c>
      <c r="K10" s="33"/>
      <c r="L10" s="33"/>
      <c r="M10" s="33"/>
      <c r="N10" s="33">
        <f>$C$30*'E Balans VL '!Y14/100/3.6*1000000</f>
        <v>300.99690801270077</v>
      </c>
      <c r="O10" s="33"/>
      <c r="P10" s="33"/>
      <c r="R10" s="32"/>
    </row>
    <row r="11" spans="1:18">
      <c r="A11" s="32" t="s">
        <v>54</v>
      </c>
      <c r="B11" s="37">
        <f t="shared" si="0"/>
        <v>279.32962019105599</v>
      </c>
      <c r="C11" s="33"/>
      <c r="D11" s="37">
        <f>IF(ISERROR(TER_onderwijs_gas_kWh/1000),0,TER_onderwijs_gas_kWh/1000)*0.903</f>
        <v>718.2117413480463</v>
      </c>
      <c r="E11" s="33">
        <f>$C$31*'E Balans VL '!I11/100/3.6*1000000</f>
        <v>0</v>
      </c>
      <c r="F11" s="33">
        <f>$C$31*('E Balans VL '!L11+'E Balans VL '!N11)/100/3.6*1000000</f>
        <v>32.656958972755696</v>
      </c>
      <c r="G11" s="34"/>
      <c r="H11" s="33"/>
      <c r="I11" s="33"/>
      <c r="J11" s="33">
        <f>$C$31*('E Balans VL '!D11+'E Balans VL '!E11)/100/3.6*1000000</f>
        <v>0</v>
      </c>
      <c r="K11" s="33"/>
      <c r="L11" s="33"/>
      <c r="M11" s="33"/>
      <c r="N11" s="33">
        <f>$C$31*'E Balans VL '!Y11/100/3.6*1000000</f>
        <v>0.78656013469770192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43.649999999999991</v>
      </c>
      <c r="C13" s="247">
        <f ca="1">'lokale energieproductie'!O39+'lokale energieproductie'!O32</f>
        <v>62.357142857142847</v>
      </c>
      <c r="D13" s="310">
        <f ca="1">('lokale energieproductie'!P32+'lokale energieproductie'!P39)*(-1)</f>
        <v>0</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-124.71428571428569</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10445.510103139701</v>
      </c>
      <c r="C16" s="21">
        <f t="shared" ca="1" si="1"/>
        <v>62.357142857142847</v>
      </c>
      <c r="D16" s="21">
        <f t="shared" ca="1" si="1"/>
        <v>9974.9867714583488</v>
      </c>
      <c r="E16" s="21">
        <f t="shared" si="1"/>
        <v>28.507789894419403</v>
      </c>
      <c r="F16" s="21">
        <f t="shared" ca="1" si="1"/>
        <v>1419.8688313909681</v>
      </c>
      <c r="G16" s="21">
        <f t="shared" si="1"/>
        <v>0</v>
      </c>
      <c r="H16" s="21">
        <f t="shared" si="1"/>
        <v>0</v>
      </c>
      <c r="I16" s="21">
        <f t="shared" si="1"/>
        <v>0</v>
      </c>
      <c r="J16" s="21">
        <f t="shared" si="1"/>
        <v>8.3287572744456702E-3</v>
      </c>
      <c r="K16" s="21">
        <f t="shared" si="1"/>
        <v>0</v>
      </c>
      <c r="L16" s="21">
        <f t="shared" ca="1" si="1"/>
        <v>0</v>
      </c>
      <c r="M16" s="21">
        <f t="shared" si="1"/>
        <v>0</v>
      </c>
      <c r="N16" s="21">
        <f t="shared" ca="1" si="1"/>
        <v>189.02301499104655</v>
      </c>
      <c r="O16" s="21">
        <f>O5</f>
        <v>19.589043063364617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0.19383378621385036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2024.6927722265948</v>
      </c>
      <c r="C20" s="23">
        <f t="shared" ref="C20:P20" ca="1" si="2">C16*C18</f>
        <v>0</v>
      </c>
      <c r="D20" s="23">
        <f t="shared" ca="1" si="2"/>
        <v>2014.9473278345865</v>
      </c>
      <c r="E20" s="23">
        <f t="shared" si="2"/>
        <v>6.4712683060332044</v>
      </c>
      <c r="F20" s="23">
        <f t="shared" ca="1" si="2"/>
        <v>379.10497798138852</v>
      </c>
      <c r="G20" s="23">
        <f t="shared" si="2"/>
        <v>0</v>
      </c>
      <c r="H20" s="23">
        <f t="shared" si="2"/>
        <v>0</v>
      </c>
      <c r="I20" s="23">
        <f t="shared" si="2"/>
        <v>0</v>
      </c>
      <c r="J20" s="23">
        <f t="shared" si="2"/>
        <v>2.9483800751537669E-3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2628.3167792783502</v>
      </c>
      <c r="C26" s="39">
        <f>IF(ISERROR(B26*3.6/1000000/'E Balans VL '!Z12*100),0,B26*3.6/1000000/'E Balans VL '!Z12*100)</f>
        <v>7.4125493310873897E-2</v>
      </c>
      <c r="D26" s="237" t="s">
        <v>702</v>
      </c>
      <c r="F26" s="6"/>
    </row>
    <row r="27" spans="1:18">
      <c r="A27" s="231" t="s">
        <v>52</v>
      </c>
      <c r="B27" s="33">
        <f>IF(ISERROR(TER_horeca_ele_kWh/1000),0,TER_horeca_ele_kWh/1000)</f>
        <v>976.69781062331299</v>
      </c>
      <c r="C27" s="39">
        <f>IF(ISERROR(B27*3.6/1000000/'E Balans VL '!Z9*100),0,B27*3.6/1000000/'E Balans VL '!Z9*100)</f>
        <v>7.24101442403636E-2</v>
      </c>
      <c r="D27" s="237" t="s">
        <v>702</v>
      </c>
      <c r="F27" s="6"/>
    </row>
    <row r="28" spans="1:18">
      <c r="A28" s="171" t="s">
        <v>51</v>
      </c>
      <c r="B28" s="33">
        <f>IF(ISERROR(TER_handel_ele_kWh/1000),0,TER_handel_ele_kWh/1000)</f>
        <v>4495.5772033733601</v>
      </c>
      <c r="C28" s="39">
        <f>IF(ISERROR(B28*3.6/1000000/'E Balans VL '!Z13*100),0,B28*3.6/1000000/'E Balans VL '!Z13*100)</f>
        <v>0.13467680437919616</v>
      </c>
      <c r="D28" s="237" t="s">
        <v>702</v>
      </c>
      <c r="F28" s="6"/>
    </row>
    <row r="29" spans="1:18">
      <c r="A29" s="231" t="s">
        <v>50</v>
      </c>
      <c r="B29" s="33">
        <f>IF(ISERROR(TER_gezond_ele_kWh/1000),0,TER_gezond_ele_kWh/1000)</f>
        <v>1178.59027059397</v>
      </c>
      <c r="C29" s="39">
        <f>IF(ISERROR(B29*3.6/1000000/'E Balans VL '!Z10*100),0,B29*3.6/1000000/'E Balans VL '!Z10*100)</f>
        <v>0.11653946790256302</v>
      </c>
      <c r="D29" s="237" t="s">
        <v>702</v>
      </c>
      <c r="F29" s="6"/>
    </row>
    <row r="30" spans="1:18">
      <c r="A30" s="231" t="s">
        <v>49</v>
      </c>
      <c r="B30" s="33">
        <f>IF(ISERROR(TER_ander_ele_kWh/1000),0,TER_ander_ele_kWh/1000)</f>
        <v>843.3484190796521</v>
      </c>
      <c r="C30" s="39">
        <f>IF(ISERROR(B30*3.6/1000000/'E Balans VL '!Z14*100),0,B30*3.6/1000000/'E Balans VL '!Z14*100)</f>
        <v>3.4110951294658028E-2</v>
      </c>
      <c r="D30" s="237" t="s">
        <v>702</v>
      </c>
      <c r="F30" s="6"/>
    </row>
    <row r="31" spans="1:18">
      <c r="A31" s="231" t="s">
        <v>54</v>
      </c>
      <c r="B31" s="33">
        <f>IF(ISERROR(TER_onderwijs_ele_kWh/1000),0,TER_onderwijs_ele_kWh/1000)</f>
        <v>279.32962019105599</v>
      </c>
      <c r="C31" s="39">
        <f>IF(ISERROR(B31*3.6/1000000/'E Balans VL '!Z11*100),0,B31*3.6/1000000/'E Balans VL '!Z11*100)</f>
        <v>7.67440630457569E-2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2578.5547652164314</v>
      </c>
      <c r="C5" s="17">
        <f>IF(ISERROR('Eigen informatie GS &amp; warmtenet'!B61),0,'Eigen informatie GS &amp; warmtenet'!B61)</f>
        <v>0</v>
      </c>
      <c r="D5" s="30">
        <f>SUM(D6:D15)</f>
        <v>1578.0557695527978</v>
      </c>
      <c r="E5" s="17">
        <f>SUM(E6:E15)</f>
        <v>11.686053712070336</v>
      </c>
      <c r="F5" s="17">
        <f>SUM(F6:F15)</f>
        <v>841.81999215402914</v>
      </c>
      <c r="G5" s="18"/>
      <c r="H5" s="17"/>
      <c r="I5" s="17"/>
      <c r="J5" s="17">
        <f>SUM(J6:J15)</f>
        <v>0.80290766125168611</v>
      </c>
      <c r="K5" s="17"/>
      <c r="L5" s="17"/>
      <c r="M5" s="17"/>
      <c r="N5" s="17">
        <f>SUM(N6:N15)</f>
        <v>80.558152513150318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525.69609389229697</v>
      </c>
      <c r="C8" s="33"/>
      <c r="D8" s="37">
        <f>IF( ISERROR(IND_metaal_Gas_kWH/1000),0,IND_metaal_Gas_kWH/1000)*0.903</f>
        <v>38.568981161727621</v>
      </c>
      <c r="E8" s="33">
        <f>C30*'E Balans VL '!I18/100/3.6*1000000</f>
        <v>2.6506514285050042</v>
      </c>
      <c r="F8" s="33">
        <f>C30*'E Balans VL '!L18/100/3.6*1000000+C30*'E Balans VL '!N18/100/3.6*1000000</f>
        <v>35.916631368944806</v>
      </c>
      <c r="G8" s="34"/>
      <c r="H8" s="33"/>
      <c r="I8" s="33"/>
      <c r="J8" s="40">
        <f>C30*'E Balans VL '!D18/100/3.6*1000000+C30*'E Balans VL '!E18/100/3.6*1000000</f>
        <v>0.46607442969001223</v>
      </c>
      <c r="K8" s="33"/>
      <c r="L8" s="33"/>
      <c r="M8" s="33"/>
      <c r="N8" s="33">
        <f>C30*'E Balans VL '!Y18/100/3.6*1000000</f>
        <v>6.9865042075864432</v>
      </c>
      <c r="O8" s="33"/>
      <c r="P8" s="33"/>
      <c r="R8" s="32"/>
    </row>
    <row r="9" spans="1:18">
      <c r="A9" s="6" t="s">
        <v>32</v>
      </c>
      <c r="B9" s="37">
        <f t="shared" si="0"/>
        <v>1280.3507886586699</v>
      </c>
      <c r="C9" s="33"/>
      <c r="D9" s="37">
        <f>IF( ISERROR(IND_andere_gas_kWh/1000),0,IND_andere_gas_kWh/1000)*0.903</f>
        <v>781.53849927936585</v>
      </c>
      <c r="E9" s="33">
        <f>C31*'E Balans VL '!I19/100/3.6*1000000</f>
        <v>4.0359682881897454</v>
      </c>
      <c r="F9" s="33">
        <f>C31*'E Balans VL '!L19/100/3.6*1000000+C31*'E Balans VL '!N19/100/3.6*1000000</f>
        <v>783.77690291251963</v>
      </c>
      <c r="G9" s="34"/>
      <c r="H9" s="33"/>
      <c r="I9" s="33"/>
      <c r="J9" s="40">
        <f>C31*'E Balans VL '!D19/100/3.6*1000000+C31*'E Balans VL '!E19/100/3.6*1000000</f>
        <v>0</v>
      </c>
      <c r="K9" s="33"/>
      <c r="L9" s="33"/>
      <c r="M9" s="33"/>
      <c r="N9" s="33">
        <f>C31*'E Balans VL '!Y19/100/3.6*1000000</f>
        <v>53.686847055471496</v>
      </c>
      <c r="O9" s="33"/>
      <c r="P9" s="33"/>
      <c r="R9" s="32"/>
    </row>
    <row r="10" spans="1:18">
      <c r="A10" s="6" t="s">
        <v>40</v>
      </c>
      <c r="B10" s="37">
        <f t="shared" si="0"/>
        <v>541.78101660356992</v>
      </c>
      <c r="C10" s="33"/>
      <c r="D10" s="37">
        <f>IF( ISERROR(IND_voed_gas_kWh/1000),0,IND_voed_gas_kWh/1000)*0.903</f>
        <v>707.47749667661924</v>
      </c>
      <c r="E10" s="33">
        <f>C32*'E Balans VL '!I20/100/3.6*1000000</f>
        <v>0.86344678494858784</v>
      </c>
      <c r="F10" s="33">
        <f>C32*'E Balans VL '!L20/100/3.6*1000000+C32*'E Balans VL '!N20/100/3.6*1000000</f>
        <v>8.8026253845293265</v>
      </c>
      <c r="G10" s="34"/>
      <c r="H10" s="33"/>
      <c r="I10" s="33"/>
      <c r="J10" s="40">
        <f>C32*'E Balans VL '!D20/100/3.6*1000000+C32*'E Balans VL '!E20/100/3.6*1000000</f>
        <v>0</v>
      </c>
      <c r="K10" s="33"/>
      <c r="L10" s="33"/>
      <c r="M10" s="33"/>
      <c r="N10" s="33">
        <f>C32*'E Balans VL '!Y20/100/3.6*1000000</f>
        <v>17.112150360237596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66.638064346462798</v>
      </c>
      <c r="C13" s="33"/>
      <c r="D13" s="37">
        <f>IF( ISERROR(IND_papier_gas_kWh/1000),0,IND_papier_gas_kWh/1000)*0.903</f>
        <v>30.983528619453949</v>
      </c>
      <c r="E13" s="33">
        <f>C35*'E Balans VL '!I23/100/3.6*1000000</f>
        <v>0</v>
      </c>
      <c r="F13" s="33">
        <f>C35*'E Balans VL '!L23/100/3.6*1000000+C35*'E Balans VL '!N23/100/3.6*1000000</f>
        <v>2.887070806482101E-3</v>
      </c>
      <c r="G13" s="34"/>
      <c r="H13" s="33"/>
      <c r="I13" s="33"/>
      <c r="J13" s="40">
        <f>C35*'E Balans VL '!D23/100/3.6*1000000+C35*'E Balans VL '!E23/100/3.6*1000000</f>
        <v>1.8361964871361591E-3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164.088801715432</v>
      </c>
      <c r="C15" s="33"/>
      <c r="D15" s="37">
        <f>IF( ISERROR(IND_rest_gas_kWh/1000),0,IND_rest_gas_kWh/1000)*0.903</f>
        <v>19.487263815631309</v>
      </c>
      <c r="E15" s="33">
        <f>C37*'E Balans VL '!I15/100/3.6*1000000</f>
        <v>4.1359872104269995</v>
      </c>
      <c r="F15" s="33">
        <f>C37*'E Balans VL '!L15/100/3.6*1000000+C37*'E Balans VL '!N15/100/3.6*1000000</f>
        <v>13.320945417228891</v>
      </c>
      <c r="G15" s="34"/>
      <c r="H15" s="33"/>
      <c r="I15" s="33"/>
      <c r="J15" s="40">
        <f>C37*'E Balans VL '!D15/100/3.6*1000000+C37*'E Balans VL '!E15/100/3.6*1000000</f>
        <v>0.33499703507453765</v>
      </c>
      <c r="K15" s="33"/>
      <c r="L15" s="33"/>
      <c r="M15" s="33"/>
      <c r="N15" s="33">
        <f>C37*'E Balans VL '!Y15/100/3.6*1000000</f>
        <v>2.7726508898547872</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2578.5547652164314</v>
      </c>
      <c r="C18" s="21">
        <f>C5+C16</f>
        <v>0</v>
      </c>
      <c r="D18" s="21">
        <f>MAX((D5+D16),0)</f>
        <v>1578.0557695527978</v>
      </c>
      <c r="E18" s="21">
        <f>MAX((E5+E16),0)</f>
        <v>11.686053712070336</v>
      </c>
      <c r="F18" s="21">
        <f>MAX((F5+F16),0)</f>
        <v>841.81999215402914</v>
      </c>
      <c r="G18" s="21"/>
      <c r="H18" s="21"/>
      <c r="I18" s="21"/>
      <c r="J18" s="21">
        <f>MAX((J5+J16),0)</f>
        <v>0.80290766125168611</v>
      </c>
      <c r="K18" s="21"/>
      <c r="L18" s="21">
        <f>MAX((L5+L16),0)</f>
        <v>0</v>
      </c>
      <c r="M18" s="21"/>
      <c r="N18" s="21">
        <f>MAX((N5+N16),0)</f>
        <v>80.558152513150318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0.19383378621385036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499.81103310166685</v>
      </c>
      <c r="C22" s="23">
        <f ca="1">C18*C20</f>
        <v>0</v>
      </c>
      <c r="D22" s="23">
        <f>D18*D20</f>
        <v>318.76726544966516</v>
      </c>
      <c r="E22" s="23">
        <f>E18*E20</f>
        <v>2.6527341926399663</v>
      </c>
      <c r="F22" s="23">
        <f>F18*F20</f>
        <v>224.76593790512578</v>
      </c>
      <c r="G22" s="23"/>
      <c r="H22" s="23"/>
      <c r="I22" s="23"/>
      <c r="J22" s="23">
        <f>J18*J20</f>
        <v>0.28422931208309687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525.69609389229697</v>
      </c>
      <c r="C30" s="39">
        <f>IF(ISERROR(B30*3.6/1000000/'E Balans VL '!Z18*100),0,B30*3.6/1000000/'E Balans VL '!Z18*100)</f>
        <v>2.6094369313904187E-2</v>
      </c>
      <c r="D30" s="237" t="s">
        <v>702</v>
      </c>
    </row>
    <row r="31" spans="1:18">
      <c r="A31" s="6" t="s">
        <v>32</v>
      </c>
      <c r="B31" s="37">
        <f>IF( ISERROR(IND_ander_ele_kWh/1000),0,IND_ander_ele_kWh/1000)</f>
        <v>1280.3507886586699</v>
      </c>
      <c r="C31" s="39">
        <f>IF(ISERROR(B31*3.6/1000000/'E Balans VL '!Z19*100),0,B31*3.6/1000000/'E Balans VL '!Z19*100)</f>
        <v>4.3205278193831749E-2</v>
      </c>
      <c r="D31" s="237" t="s">
        <v>702</v>
      </c>
    </row>
    <row r="32" spans="1:18">
      <c r="A32" s="171" t="s">
        <v>40</v>
      </c>
      <c r="B32" s="37">
        <f>IF( ISERROR(IND_voed_ele_kWh/1000),0,IND_voed_ele_kWh/1000)</f>
        <v>541.78101660356992</v>
      </c>
      <c r="C32" s="39">
        <f>IF(ISERROR(B32*3.6/1000000/'E Balans VL '!Z20*100),0,B32*3.6/1000000/'E Balans VL '!Z20*100)</f>
        <v>1.2723355014873962E-2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66.638064346462798</v>
      </c>
      <c r="C35" s="39">
        <f>IF(ISERROR(B35*3.6/1000000/'E Balans VL '!Z22*100),0,B35*3.6/1000000/'E Balans VL '!Z22*100)</f>
        <v>9.4539927370675906E-3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164.088801715432</v>
      </c>
      <c r="C37" s="39">
        <f>IF(ISERROR(B37*3.6/1000000/'E Balans VL '!Z15*100),0,B37*3.6/1000000/'E Balans VL '!Z15*100)</f>
        <v>6.1492757626286938E-4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1120.46012850906</v>
      </c>
      <c r="C5" s="17">
        <f>'Eigen informatie GS &amp; warmtenet'!B62</f>
        <v>0</v>
      </c>
      <c r="D5" s="30">
        <f>IF(ISERROR(SUM(LB_lb_gas_kWh,LB_rest_gas_kWh)/1000),0,SUM(LB_lb_gas_kWh,LB_rest_gas_kWh)/1000)*0.903</f>
        <v>137.91699196054148</v>
      </c>
      <c r="E5" s="17">
        <f>B17*'E Balans VL '!I25/3.6*1000000/100</f>
        <v>41.7853854351509</v>
      </c>
      <c r="F5" s="17">
        <f>B17*('E Balans VL '!L25/3.6*1000000+'E Balans VL '!N25/3.6*1000000)/100</f>
        <v>3635.2056197197899</v>
      </c>
      <c r="G5" s="18"/>
      <c r="H5" s="17"/>
      <c r="I5" s="17"/>
      <c r="J5" s="17">
        <f>('E Balans VL '!D25+'E Balans VL '!E25)/3.6*1000000*landbouw!B17/100</f>
        <v>294.1263153412296</v>
      </c>
      <c r="K5" s="17"/>
      <c r="L5" s="17">
        <f>L6*(-1)</f>
        <v>0</v>
      </c>
      <c r="M5" s="17"/>
      <c r="N5" s="17">
        <f>N6*(-1)</f>
        <v>124.71428571428569</v>
      </c>
      <c r="O5" s="17"/>
      <c r="P5" s="17"/>
      <c r="R5" s="32"/>
    </row>
    <row r="6" spans="1:18">
      <c r="A6" s="16" t="s">
        <v>479</v>
      </c>
      <c r="B6" s="17" t="s">
        <v>210</v>
      </c>
      <c r="C6" s="17">
        <f>'lokale energieproductie'!O40+'lokale energieproductie'!O33</f>
        <v>62.357142857142847</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1120.46012850906</v>
      </c>
      <c r="C8" s="21">
        <f>C5+C6</f>
        <v>62.357142857142847</v>
      </c>
      <c r="D8" s="21">
        <f>MAX((D5+D6),0)</f>
        <v>137.91699196054148</v>
      </c>
      <c r="E8" s="21">
        <f>MAX((E5+E6),0)</f>
        <v>41.7853854351509</v>
      </c>
      <c r="F8" s="21">
        <f>MAX((F5+F6),0)</f>
        <v>3635.2056197197899</v>
      </c>
      <c r="G8" s="21"/>
      <c r="H8" s="21"/>
      <c r="I8" s="21"/>
      <c r="J8" s="21">
        <f>MAX((J5+J6),0)</f>
        <v>294.1263153412296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0.19383378621385036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217.18302901056845</v>
      </c>
      <c r="C12" s="23">
        <f ca="1">C8*C10</f>
        <v>0</v>
      </c>
      <c r="D12" s="23">
        <f>D8*D10</f>
        <v>27.859232376029382</v>
      </c>
      <c r="E12" s="23">
        <f>E8*E10</f>
        <v>9.4852824937792555</v>
      </c>
      <c r="F12" s="23">
        <f>F8*F10</f>
        <v>970.59990046518396</v>
      </c>
      <c r="G12" s="23"/>
      <c r="H12" s="23"/>
      <c r="I12" s="23"/>
      <c r="J12" s="23">
        <f>J8*J10</f>
        <v>104.12071563079527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0.15389227478944903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361.23479796282481</v>
      </c>
      <c r="C26" s="247">
        <f>B26*'GWP N2O_CH4'!B5</f>
        <v>7585.9307572193211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54.072304945092185</v>
      </c>
      <c r="C27" s="247">
        <f>B27*'GWP N2O_CH4'!B5</f>
        <v>1135.5184038469358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4.5383376159467552</v>
      </c>
      <c r="C28" s="247">
        <f>B28*'GWP N2O_CH4'!B4</f>
        <v>1406.8846609434941</v>
      </c>
      <c r="D28" s="50"/>
    </row>
    <row r="29" spans="1:4">
      <c r="A29" s="41" t="s">
        <v>276</v>
      </c>
      <c r="B29" s="247">
        <f>B34*'ha_N2O bodem landbouw'!B4</f>
        <v>18.959629381590588</v>
      </c>
      <c r="C29" s="247">
        <f>B29*'GWP N2O_CH4'!B4</f>
        <v>5877.4851082930827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4.3209536811992504E-3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2.1657849298848037E-4</v>
      </c>
      <c r="C5" s="440" t="s">
        <v>210</v>
      </c>
      <c r="D5" s="425">
        <f>SUM(D6:D11)</f>
        <v>9.6396850603058478E-4</v>
      </c>
      <c r="E5" s="425">
        <f>SUM(E6:E11)</f>
        <v>5.1191192283521621E-4</v>
      </c>
      <c r="F5" s="438" t="s">
        <v>210</v>
      </c>
      <c r="G5" s="425">
        <f>SUM(G6:G11)</f>
        <v>0.22861157676747265</v>
      </c>
      <c r="H5" s="425">
        <f>SUM(H6:H11)</f>
        <v>6.1269984497762539E-2</v>
      </c>
      <c r="I5" s="440" t="s">
        <v>210</v>
      </c>
      <c r="J5" s="440" t="s">
        <v>210</v>
      </c>
      <c r="K5" s="440" t="s">
        <v>210</v>
      </c>
      <c r="L5" s="440" t="s">
        <v>210</v>
      </c>
      <c r="M5" s="425">
        <f>SUM(M6:M11)</f>
        <v>1.7130433230272399E-2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1.4417738722808082E-4</v>
      </c>
      <c r="C6" s="426"/>
      <c r="D6" s="893">
        <f>vkm_GW_PW*SUMIFS(TableVerdeelsleutelVkm[CNG],TableVerdeelsleutelVkm[Voertuigtype],"Lichte voertuigen")*SUMIFS(TableECFTransport[EnergieConsumptieFactor (PJ per km)],TableECFTransport[Index],CONCATENATE($A6,"_CNG_CNG"))</f>
        <v>5.2072472407272818E-4</v>
      </c>
      <c r="E6" s="893">
        <f>vkm_GW_PW*SUMIFS(TableVerdeelsleutelVkm[LPG],TableVerdeelsleutelVkm[Voertuigtype],"Lichte voertuigen")*SUMIFS(TableECFTransport[EnergieConsumptieFactor (PJ per km)],TableECFTransport[Index],CONCATENATE($A6,"_LPG_LPG"))</f>
        <v>2.8300052121817186E-4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8.8068018540009937E-2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3.3330208912943422E-2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7.2753762814856395E-3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6.0923578325498905E-2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6.4137559370496826E-7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3.4300928866987405E-3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7.2401105760399557E-5</v>
      </c>
      <c r="C8" s="426"/>
      <c r="D8" s="428">
        <f>vkm_NGW_PW*SUMIFS(TableVerdeelsleutelVkm[CNG],TableVerdeelsleutelVkm[Voertuigtype],"Lichte voertuigen")*SUMIFS(TableECFTransport[EnergieConsumptieFactor (PJ per km)],TableECFTransport[Index],CONCATENATE($A8,"_CNG_CNG"))</f>
        <v>4.432437819578566E-4</v>
      </c>
      <c r="E8" s="428">
        <f>vkm_NGW_PW*SUMIFS(TableVerdeelsleutelVkm[LPG],TableVerdeelsleutelVkm[Voertuigtype],"Lichte voertuigen")*SUMIFS(TableECFTransport[EnergieConsumptieFactor (PJ per km)],TableECFTransport[Index],CONCATENATE($A8,"_LPG_LPG"))</f>
        <v>2.2891140161704438E-4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6.6292798405889877E-2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2.7938930426085667E-2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5.6746184558815003E-3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1.3327181496073964E-2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2.0378313974654431E-7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7.503456062065186E-4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60.160692496800102</v>
      </c>
      <c r="C14" s="21"/>
      <c r="D14" s="21">
        <f t="shared" ref="D14:M14" si="0">((D5)*10^9/3600)+D12</f>
        <v>267.76902945294023</v>
      </c>
      <c r="E14" s="21">
        <f t="shared" si="0"/>
        <v>142.19775634311563</v>
      </c>
      <c r="F14" s="21"/>
      <c r="G14" s="21">
        <f t="shared" si="0"/>
        <v>63503.215768742404</v>
      </c>
      <c r="H14" s="21">
        <f t="shared" si="0"/>
        <v>17019.440138267371</v>
      </c>
      <c r="I14" s="21"/>
      <c r="J14" s="21"/>
      <c r="K14" s="21"/>
      <c r="L14" s="21"/>
      <c r="M14" s="21">
        <f t="shared" si="0"/>
        <v>4758.4536750756661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0.19383378621385036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11.661174807901943</v>
      </c>
      <c r="C18" s="23"/>
      <c r="D18" s="23">
        <f t="shared" ref="D18:M18" si="1">D14*D16</f>
        <v>54.08934394949393</v>
      </c>
      <c r="E18" s="23">
        <f t="shared" si="1"/>
        <v>32.278890689887248</v>
      </c>
      <c r="F18" s="23"/>
      <c r="G18" s="23">
        <f t="shared" si="1"/>
        <v>16955.358610254221</v>
      </c>
      <c r="H18" s="23">
        <f t="shared" si="1"/>
        <v>4237.8405944285751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2.9494428894924086E-3</v>
      </c>
      <c r="H50" s="321">
        <f t="shared" si="2"/>
        <v>0</v>
      </c>
      <c r="I50" s="321">
        <f t="shared" si="2"/>
        <v>0</v>
      </c>
      <c r="J50" s="321">
        <f t="shared" si="2"/>
        <v>0</v>
      </c>
      <c r="K50" s="321">
        <f t="shared" si="2"/>
        <v>0</v>
      </c>
      <c r="L50" s="321">
        <f t="shared" si="2"/>
        <v>0</v>
      </c>
      <c r="M50" s="321">
        <f t="shared" si="2"/>
        <v>1.6005356999641989E-4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2.9494428894924086E-3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1.6005356999641989E-4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819.28969152566901</v>
      </c>
      <c r="H54" s="21">
        <f t="shared" si="3"/>
        <v>0</v>
      </c>
      <c r="I54" s="21">
        <f t="shared" si="3"/>
        <v>0</v>
      </c>
      <c r="J54" s="21">
        <f t="shared" si="3"/>
        <v>0</v>
      </c>
      <c r="K54" s="21">
        <f t="shared" si="3"/>
        <v>0</v>
      </c>
      <c r="L54" s="21">
        <f t="shared" si="3"/>
        <v>0</v>
      </c>
      <c r="M54" s="21">
        <f t="shared" si="3"/>
        <v>44.459324999005524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0.19383378621385036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218.75034763735363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11831.4451031397</v>
      </c>
      <c r="D10" s="689">
        <f ca="1">tertiair!C16</f>
        <v>62.357142857142847</v>
      </c>
      <c r="E10" s="689">
        <f ca="1">tertiair!D16</f>
        <v>9974.9867714583488</v>
      </c>
      <c r="F10" s="689">
        <f>tertiair!E16</f>
        <v>28.507789894419403</v>
      </c>
      <c r="G10" s="689">
        <f ca="1">tertiair!F16</f>
        <v>1419.8688313909681</v>
      </c>
      <c r="H10" s="689">
        <f>tertiair!G16</f>
        <v>0</v>
      </c>
      <c r="I10" s="689">
        <f>tertiair!H16</f>
        <v>0</v>
      </c>
      <c r="J10" s="689">
        <f>tertiair!I16</f>
        <v>0</v>
      </c>
      <c r="K10" s="689">
        <f>tertiair!J16</f>
        <v>8.3287572744456702E-3</v>
      </c>
      <c r="L10" s="689">
        <f>tertiair!K16</f>
        <v>0</v>
      </c>
      <c r="M10" s="689">
        <f ca="1">tertiair!L16</f>
        <v>0</v>
      </c>
      <c r="N10" s="689">
        <f>tertiair!M16</f>
        <v>0</v>
      </c>
      <c r="O10" s="689">
        <f ca="1">tertiair!N16</f>
        <v>189.02301499104655</v>
      </c>
      <c r="P10" s="689">
        <f>tertiair!O16</f>
        <v>19.589043063364617</v>
      </c>
      <c r="Q10" s="690">
        <f>tertiair!P16</f>
        <v>210.15655322598008</v>
      </c>
      <c r="R10" s="692">
        <f ca="1">SUM(C10:Q10)</f>
        <v>23735.942578778249</v>
      </c>
      <c r="S10" s="67"/>
    </row>
    <row r="11" spans="1:19" s="451" customFormat="1">
      <c r="A11" s="811" t="s">
        <v>224</v>
      </c>
      <c r="B11" s="816"/>
      <c r="C11" s="689">
        <f>huishoudens!B8</f>
        <v>33351.517930243346</v>
      </c>
      <c r="D11" s="689">
        <f>huishoudens!C8</f>
        <v>0</v>
      </c>
      <c r="E11" s="689">
        <f>huishoudens!D8</f>
        <v>51363.323377551395</v>
      </c>
      <c r="F11" s="689">
        <f>huishoudens!E8</f>
        <v>9020.5512072704332</v>
      </c>
      <c r="G11" s="689">
        <f>huishoudens!F8</f>
        <v>29635.548798442178</v>
      </c>
      <c r="H11" s="689">
        <f>huishoudens!G8</f>
        <v>0</v>
      </c>
      <c r="I11" s="689">
        <f>huishoudens!H8</f>
        <v>0</v>
      </c>
      <c r="J11" s="689">
        <f>huishoudens!I8</f>
        <v>0</v>
      </c>
      <c r="K11" s="689">
        <f>huishoudens!J8</f>
        <v>1209.1525001709692</v>
      </c>
      <c r="L11" s="689">
        <f>huishoudens!K8</f>
        <v>0</v>
      </c>
      <c r="M11" s="689">
        <f>huishoudens!L8</f>
        <v>0</v>
      </c>
      <c r="N11" s="689">
        <f>huishoudens!M8</f>
        <v>0</v>
      </c>
      <c r="O11" s="689">
        <f>huishoudens!N8</f>
        <v>23603.785374835013</v>
      </c>
      <c r="P11" s="689">
        <f>huishoudens!O8</f>
        <v>527.73288635695042</v>
      </c>
      <c r="Q11" s="690">
        <f>huishoudens!P8</f>
        <v>484.56212815351103</v>
      </c>
      <c r="R11" s="692">
        <f>SUM(C11:Q11)</f>
        <v>149196.17420302378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2578.5547652164314</v>
      </c>
      <c r="D13" s="689">
        <f>industrie!C18</f>
        <v>0</v>
      </c>
      <c r="E13" s="689">
        <f>industrie!D18</f>
        <v>1578.0557695527978</v>
      </c>
      <c r="F13" s="689">
        <f>industrie!E18</f>
        <v>11.686053712070336</v>
      </c>
      <c r="G13" s="689">
        <f>industrie!F18</f>
        <v>841.81999215402914</v>
      </c>
      <c r="H13" s="689">
        <f>industrie!G18</f>
        <v>0</v>
      </c>
      <c r="I13" s="689">
        <f>industrie!H18</f>
        <v>0</v>
      </c>
      <c r="J13" s="689">
        <f>industrie!I18</f>
        <v>0</v>
      </c>
      <c r="K13" s="689">
        <f>industrie!J18</f>
        <v>0.80290766125168611</v>
      </c>
      <c r="L13" s="689">
        <f>industrie!K18</f>
        <v>0</v>
      </c>
      <c r="M13" s="689">
        <f>industrie!L18</f>
        <v>0</v>
      </c>
      <c r="N13" s="689">
        <f>industrie!M18</f>
        <v>0</v>
      </c>
      <c r="O13" s="689">
        <f>industrie!N18</f>
        <v>80.558152513150318</v>
      </c>
      <c r="P13" s="689">
        <f>industrie!O18</f>
        <v>0</v>
      </c>
      <c r="Q13" s="690">
        <f>industrie!P18</f>
        <v>0</v>
      </c>
      <c r="R13" s="692">
        <f>SUM(C13:Q13)</f>
        <v>5091.4776408097305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47761.517798599474</v>
      </c>
      <c r="D16" s="725">
        <f t="shared" ref="D16:R16" ca="1" si="0">SUM(D9:D15)</f>
        <v>62.357142857142847</v>
      </c>
      <c r="E16" s="725">
        <f t="shared" ca="1" si="0"/>
        <v>62916.365918562544</v>
      </c>
      <c r="F16" s="725">
        <f t="shared" si="0"/>
        <v>9060.7450508769234</v>
      </c>
      <c r="G16" s="725">
        <f t="shared" ca="1" si="0"/>
        <v>31897.237621987177</v>
      </c>
      <c r="H16" s="725">
        <f t="shared" si="0"/>
        <v>0</v>
      </c>
      <c r="I16" s="725">
        <f t="shared" si="0"/>
        <v>0</v>
      </c>
      <c r="J16" s="725">
        <f t="shared" si="0"/>
        <v>0</v>
      </c>
      <c r="K16" s="725">
        <f t="shared" si="0"/>
        <v>1209.9637365894955</v>
      </c>
      <c r="L16" s="725">
        <f t="shared" si="0"/>
        <v>0</v>
      </c>
      <c r="M16" s="725">
        <f t="shared" ca="1" si="0"/>
        <v>0</v>
      </c>
      <c r="N16" s="725">
        <f t="shared" si="0"/>
        <v>0</v>
      </c>
      <c r="O16" s="725">
        <f t="shared" ca="1" si="0"/>
        <v>23873.366542339209</v>
      </c>
      <c r="P16" s="725">
        <f t="shared" si="0"/>
        <v>547.32192942031509</v>
      </c>
      <c r="Q16" s="725">
        <f t="shared" si="0"/>
        <v>694.71868137949104</v>
      </c>
      <c r="R16" s="725">
        <f t="shared" ca="1" si="0"/>
        <v>178023.59442261176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819.28969152566901</v>
      </c>
      <c r="I19" s="689">
        <f>transport!H54</f>
        <v>0</v>
      </c>
      <c r="J19" s="689">
        <f>transport!I54</f>
        <v>0</v>
      </c>
      <c r="K19" s="689">
        <f>transport!J54</f>
        <v>0</v>
      </c>
      <c r="L19" s="689">
        <f>transport!K54</f>
        <v>0</v>
      </c>
      <c r="M19" s="689">
        <f>transport!L54</f>
        <v>0</v>
      </c>
      <c r="N19" s="689">
        <f>transport!M54</f>
        <v>44.459324999005524</v>
      </c>
      <c r="O19" s="689">
        <f>transport!N54</f>
        <v>0</v>
      </c>
      <c r="P19" s="689">
        <f>transport!O54</f>
        <v>0</v>
      </c>
      <c r="Q19" s="690">
        <f>transport!P54</f>
        <v>0</v>
      </c>
      <c r="R19" s="692">
        <f>SUM(C19:Q19)</f>
        <v>863.74901652467452</v>
      </c>
      <c r="S19" s="67"/>
    </row>
    <row r="20" spans="1:19" s="451" customFormat="1">
      <c r="A20" s="811" t="s">
        <v>306</v>
      </c>
      <c r="B20" s="816"/>
      <c r="C20" s="689">
        <f>transport!B14</f>
        <v>60.160692496800102</v>
      </c>
      <c r="D20" s="689">
        <f>transport!C14</f>
        <v>0</v>
      </c>
      <c r="E20" s="689">
        <f>transport!D14</f>
        <v>267.76902945294023</v>
      </c>
      <c r="F20" s="689">
        <f>transport!E14</f>
        <v>142.19775634311563</v>
      </c>
      <c r="G20" s="689">
        <f>transport!F14</f>
        <v>0</v>
      </c>
      <c r="H20" s="689">
        <f>transport!G14</f>
        <v>63503.215768742404</v>
      </c>
      <c r="I20" s="689">
        <f>transport!H14</f>
        <v>17019.440138267371</v>
      </c>
      <c r="J20" s="689">
        <f>transport!I14</f>
        <v>0</v>
      </c>
      <c r="K20" s="689">
        <f>transport!J14</f>
        <v>0</v>
      </c>
      <c r="L20" s="689">
        <f>transport!K14</f>
        <v>0</v>
      </c>
      <c r="M20" s="689">
        <f>transport!L14</f>
        <v>0</v>
      </c>
      <c r="N20" s="689">
        <f>transport!M14</f>
        <v>4758.4536750756661</v>
      </c>
      <c r="O20" s="689">
        <f>transport!N14</f>
        <v>0</v>
      </c>
      <c r="P20" s="689">
        <f>transport!O14</f>
        <v>0</v>
      </c>
      <c r="Q20" s="690">
        <f>transport!P14</f>
        <v>0</v>
      </c>
      <c r="R20" s="692">
        <f>SUM(C20:Q20)</f>
        <v>85751.237060378306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60.160692496800102</v>
      </c>
      <c r="D22" s="814">
        <f t="shared" ref="D22:R22" si="1">SUM(D18:D21)</f>
        <v>0</v>
      </c>
      <c r="E22" s="814">
        <f t="shared" si="1"/>
        <v>267.76902945294023</v>
      </c>
      <c r="F22" s="814">
        <f t="shared" si="1"/>
        <v>142.19775634311563</v>
      </c>
      <c r="G22" s="814">
        <f t="shared" si="1"/>
        <v>0</v>
      </c>
      <c r="H22" s="814">
        <f t="shared" si="1"/>
        <v>64322.505460268076</v>
      </c>
      <c r="I22" s="814">
        <f t="shared" si="1"/>
        <v>17019.440138267371</v>
      </c>
      <c r="J22" s="814">
        <f t="shared" si="1"/>
        <v>0</v>
      </c>
      <c r="K22" s="814">
        <f t="shared" si="1"/>
        <v>0</v>
      </c>
      <c r="L22" s="814">
        <f t="shared" si="1"/>
        <v>0</v>
      </c>
      <c r="M22" s="814">
        <f t="shared" si="1"/>
        <v>0</v>
      </c>
      <c r="N22" s="814">
        <f t="shared" si="1"/>
        <v>4802.9130000746718</v>
      </c>
      <c r="O22" s="814">
        <f t="shared" si="1"/>
        <v>0</v>
      </c>
      <c r="P22" s="814">
        <f t="shared" si="1"/>
        <v>0</v>
      </c>
      <c r="Q22" s="814">
        <f t="shared" si="1"/>
        <v>0</v>
      </c>
      <c r="R22" s="814">
        <f t="shared" si="1"/>
        <v>86614.986076902976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1120.46012850906</v>
      </c>
      <c r="D24" s="689">
        <f>+landbouw!C8</f>
        <v>62.357142857142847</v>
      </c>
      <c r="E24" s="689">
        <f>+landbouw!D8</f>
        <v>137.91699196054148</v>
      </c>
      <c r="F24" s="689">
        <f>+landbouw!E8</f>
        <v>41.7853854351509</v>
      </c>
      <c r="G24" s="689">
        <f>+landbouw!F8</f>
        <v>3635.2056197197899</v>
      </c>
      <c r="H24" s="689">
        <f>+landbouw!G8</f>
        <v>0</v>
      </c>
      <c r="I24" s="689">
        <f>+landbouw!H8</f>
        <v>0</v>
      </c>
      <c r="J24" s="689">
        <f>+landbouw!I8</f>
        <v>0</v>
      </c>
      <c r="K24" s="689">
        <f>+landbouw!J8</f>
        <v>294.1263153412296</v>
      </c>
      <c r="L24" s="689">
        <f>+landbouw!K8</f>
        <v>0</v>
      </c>
      <c r="M24" s="689">
        <f>+landbouw!L8</f>
        <v>0</v>
      </c>
      <c r="N24" s="689">
        <f>+landbouw!M8</f>
        <v>0</v>
      </c>
      <c r="O24" s="689">
        <f>+landbouw!N8</f>
        <v>0</v>
      </c>
      <c r="P24" s="689">
        <f>+landbouw!O8</f>
        <v>0</v>
      </c>
      <c r="Q24" s="690">
        <f>+landbouw!P8</f>
        <v>0</v>
      </c>
      <c r="R24" s="692">
        <f>SUM(C24:Q24)</f>
        <v>5291.8515838229141</v>
      </c>
      <c r="S24" s="67"/>
    </row>
    <row r="25" spans="1:19" s="451" customFormat="1" ht="15" thickBot="1">
      <c r="A25" s="833" t="s">
        <v>714</v>
      </c>
      <c r="B25" s="947"/>
      <c r="C25" s="948">
        <f>IF(Onbekend_ele_kWh="---",0,Onbekend_ele_kWh)/1000+IF(REST_rest_ele_kWh="---",0,REST_rest_ele_kWh)/1000</f>
        <v>555.69949771232996</v>
      </c>
      <c r="D25" s="948"/>
      <c r="E25" s="948">
        <f>IF(onbekend_gas_kWh="---",0,onbekend_gas_kWh)/1000+IF(REST_rest_gas_kWh="---",0,REST_rest_gas_kWh)/1000</f>
        <v>1273.27921738846</v>
      </c>
      <c r="F25" s="948"/>
      <c r="G25" s="948"/>
      <c r="H25" s="948"/>
      <c r="I25" s="948"/>
      <c r="J25" s="948"/>
      <c r="K25" s="948"/>
      <c r="L25" s="948"/>
      <c r="M25" s="948"/>
      <c r="N25" s="948"/>
      <c r="O25" s="948"/>
      <c r="P25" s="948"/>
      <c r="Q25" s="949"/>
      <c r="R25" s="692">
        <f>SUM(C25:Q25)</f>
        <v>1828.9787151007899</v>
      </c>
      <c r="S25" s="67"/>
    </row>
    <row r="26" spans="1:19" s="451" customFormat="1" ht="15.75" thickBot="1">
      <c r="A26" s="697" t="s">
        <v>715</v>
      </c>
      <c r="B26" s="819"/>
      <c r="C26" s="814">
        <f>SUM(C24:C25)</f>
        <v>1676.15962622139</v>
      </c>
      <c r="D26" s="814">
        <f t="shared" ref="D26:R26" si="2">SUM(D24:D25)</f>
        <v>62.357142857142847</v>
      </c>
      <c r="E26" s="814">
        <f t="shared" si="2"/>
        <v>1411.1962093490015</v>
      </c>
      <c r="F26" s="814">
        <f t="shared" si="2"/>
        <v>41.7853854351509</v>
      </c>
      <c r="G26" s="814">
        <f t="shared" si="2"/>
        <v>3635.2056197197899</v>
      </c>
      <c r="H26" s="814">
        <f t="shared" si="2"/>
        <v>0</v>
      </c>
      <c r="I26" s="814">
        <f t="shared" si="2"/>
        <v>0</v>
      </c>
      <c r="J26" s="814">
        <f t="shared" si="2"/>
        <v>0</v>
      </c>
      <c r="K26" s="814">
        <f t="shared" si="2"/>
        <v>294.1263153412296</v>
      </c>
      <c r="L26" s="814">
        <f t="shared" si="2"/>
        <v>0</v>
      </c>
      <c r="M26" s="814">
        <f t="shared" si="2"/>
        <v>0</v>
      </c>
      <c r="N26" s="814">
        <f t="shared" si="2"/>
        <v>0</v>
      </c>
      <c r="O26" s="814">
        <f t="shared" si="2"/>
        <v>0</v>
      </c>
      <c r="P26" s="814">
        <f t="shared" si="2"/>
        <v>0</v>
      </c>
      <c r="Q26" s="814">
        <f t="shared" si="2"/>
        <v>0</v>
      </c>
      <c r="R26" s="814">
        <f t="shared" si="2"/>
        <v>7120.8302989237036</v>
      </c>
      <c r="S26" s="67"/>
    </row>
    <row r="27" spans="1:19" s="451" customFormat="1" ht="17.25" thickTop="1" thickBot="1">
      <c r="A27" s="698" t="s">
        <v>115</v>
      </c>
      <c r="B27" s="806"/>
      <c r="C27" s="699">
        <f ca="1">C22+C16+C26</f>
        <v>49497.838117317668</v>
      </c>
      <c r="D27" s="699">
        <f t="shared" ref="D27:R27" ca="1" si="3">D22+D16+D26</f>
        <v>124.71428571428569</v>
      </c>
      <c r="E27" s="699">
        <f t="shared" ca="1" si="3"/>
        <v>64595.331157364482</v>
      </c>
      <c r="F27" s="699">
        <f t="shared" si="3"/>
        <v>9244.7281926551896</v>
      </c>
      <c r="G27" s="699">
        <f t="shared" ca="1" si="3"/>
        <v>35532.443241706969</v>
      </c>
      <c r="H27" s="699">
        <f t="shared" si="3"/>
        <v>64322.505460268076</v>
      </c>
      <c r="I27" s="699">
        <f t="shared" si="3"/>
        <v>17019.440138267371</v>
      </c>
      <c r="J27" s="699">
        <f t="shared" si="3"/>
        <v>0</v>
      </c>
      <c r="K27" s="699">
        <f t="shared" si="3"/>
        <v>1504.0900519307252</v>
      </c>
      <c r="L27" s="699">
        <f t="shared" si="3"/>
        <v>0</v>
      </c>
      <c r="M27" s="699">
        <f t="shared" ca="1" si="3"/>
        <v>0</v>
      </c>
      <c r="N27" s="699">
        <f t="shared" si="3"/>
        <v>4802.9130000746718</v>
      </c>
      <c r="O27" s="699">
        <f t="shared" ca="1" si="3"/>
        <v>23873.366542339209</v>
      </c>
      <c r="P27" s="699">
        <f t="shared" si="3"/>
        <v>547.32192942031509</v>
      </c>
      <c r="Q27" s="699">
        <f t="shared" si="3"/>
        <v>694.71868137949104</v>
      </c>
      <c r="R27" s="699">
        <f t="shared" ca="1" si="3"/>
        <v>271759.41079843842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2293.3338007228876</v>
      </c>
      <c r="D40" s="689">
        <f ca="1">tertiair!C20</f>
        <v>0</v>
      </c>
      <c r="E40" s="689">
        <f ca="1">tertiair!D20</f>
        <v>2014.9473278345865</v>
      </c>
      <c r="F40" s="689">
        <f>tertiair!E20</f>
        <v>6.4712683060332044</v>
      </c>
      <c r="G40" s="689">
        <f ca="1">tertiair!F20</f>
        <v>379.10497798138852</v>
      </c>
      <c r="H40" s="689">
        <f>tertiair!G20</f>
        <v>0</v>
      </c>
      <c r="I40" s="689">
        <f>tertiair!H20</f>
        <v>0</v>
      </c>
      <c r="J40" s="689">
        <f>tertiair!I20</f>
        <v>0</v>
      </c>
      <c r="K40" s="689">
        <f>tertiair!J20</f>
        <v>2.9483800751537669E-3</v>
      </c>
      <c r="L40" s="689">
        <f>tertiair!K20</f>
        <v>0</v>
      </c>
      <c r="M40" s="689">
        <f ca="1">tertiair!L20</f>
        <v>0</v>
      </c>
      <c r="N40" s="689">
        <f>tertiair!M20</f>
        <v>0</v>
      </c>
      <c r="O40" s="689">
        <f ca="1">tertiair!N20</f>
        <v>0</v>
      </c>
      <c r="P40" s="689">
        <f>tertiair!O20</f>
        <v>0</v>
      </c>
      <c r="Q40" s="772">
        <f>tertiair!P20</f>
        <v>0</v>
      </c>
      <c r="R40" s="852">
        <f t="shared" ca="1" si="4"/>
        <v>4693.8603232249716</v>
      </c>
    </row>
    <row r="41" spans="1:18">
      <c r="A41" s="824" t="s">
        <v>224</v>
      </c>
      <c r="B41" s="831"/>
      <c r="C41" s="689">
        <f ca="1">huishoudens!B12</f>
        <v>6464.6509963981862</v>
      </c>
      <c r="D41" s="689">
        <f ca="1">huishoudens!C12</f>
        <v>0</v>
      </c>
      <c r="E41" s="689">
        <f>huishoudens!D12</f>
        <v>10375.391322265383</v>
      </c>
      <c r="F41" s="689">
        <f>huishoudens!E12</f>
        <v>2047.6651240503884</v>
      </c>
      <c r="G41" s="689">
        <f>huishoudens!F12</f>
        <v>7912.6915291840623</v>
      </c>
      <c r="H41" s="689">
        <f>huishoudens!G12</f>
        <v>0</v>
      </c>
      <c r="I41" s="689">
        <f>huishoudens!H12</f>
        <v>0</v>
      </c>
      <c r="J41" s="689">
        <f>huishoudens!I12</f>
        <v>0</v>
      </c>
      <c r="K41" s="689">
        <f>huishoudens!J12</f>
        <v>428.03998506052307</v>
      </c>
      <c r="L41" s="689">
        <f>huishoudens!K12</f>
        <v>0</v>
      </c>
      <c r="M41" s="689">
        <f>huishoudens!L12</f>
        <v>0</v>
      </c>
      <c r="N41" s="689">
        <f>huishoudens!M12</f>
        <v>0</v>
      </c>
      <c r="O41" s="689">
        <f>huishoudens!N12</f>
        <v>0</v>
      </c>
      <c r="P41" s="689">
        <f>huishoudens!O12</f>
        <v>0</v>
      </c>
      <c r="Q41" s="772">
        <f>huishoudens!P12</f>
        <v>0</v>
      </c>
      <c r="R41" s="852">
        <f t="shared" ca="1" si="4"/>
        <v>27228.438956958544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499.81103310166685</v>
      </c>
      <c r="D43" s="689">
        <f ca="1">industrie!C22</f>
        <v>0</v>
      </c>
      <c r="E43" s="689">
        <f>industrie!D22</f>
        <v>318.76726544966516</v>
      </c>
      <c r="F43" s="689">
        <f>industrie!E22</f>
        <v>2.6527341926399663</v>
      </c>
      <c r="G43" s="689">
        <f>industrie!F22</f>
        <v>224.76593790512578</v>
      </c>
      <c r="H43" s="689">
        <f>industrie!G22</f>
        <v>0</v>
      </c>
      <c r="I43" s="689">
        <f>industrie!H22</f>
        <v>0</v>
      </c>
      <c r="J43" s="689">
        <f>industrie!I22</f>
        <v>0</v>
      </c>
      <c r="K43" s="689">
        <f>industrie!J22</f>
        <v>0.28422931208309687</v>
      </c>
      <c r="L43" s="689">
        <f>industrie!K22</f>
        <v>0</v>
      </c>
      <c r="M43" s="689">
        <f>industrie!L22</f>
        <v>0</v>
      </c>
      <c r="N43" s="689">
        <f>industrie!M22</f>
        <v>0</v>
      </c>
      <c r="O43" s="689">
        <f>industrie!N22</f>
        <v>0</v>
      </c>
      <c r="P43" s="689">
        <f>industrie!O22</f>
        <v>0</v>
      </c>
      <c r="Q43" s="772">
        <f>industrie!P22</f>
        <v>0</v>
      </c>
      <c r="R43" s="851">
        <f t="shared" ca="1" si="4"/>
        <v>1046.2811999611808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9257.7958302227398</v>
      </c>
      <c r="D46" s="725">
        <f t="shared" ref="D46:Q46" ca="1" si="5">SUM(D39:D45)</f>
        <v>0</v>
      </c>
      <c r="E46" s="725">
        <f t="shared" ca="1" si="5"/>
        <v>12709.105915549635</v>
      </c>
      <c r="F46" s="725">
        <f t="shared" si="5"/>
        <v>2056.7891265490616</v>
      </c>
      <c r="G46" s="725">
        <f t="shared" ca="1" si="5"/>
        <v>8516.5624450705764</v>
      </c>
      <c r="H46" s="725">
        <f t="shared" si="5"/>
        <v>0</v>
      </c>
      <c r="I46" s="725">
        <f t="shared" si="5"/>
        <v>0</v>
      </c>
      <c r="J46" s="725">
        <f t="shared" si="5"/>
        <v>0</v>
      </c>
      <c r="K46" s="725">
        <f t="shared" si="5"/>
        <v>428.32716275268132</v>
      </c>
      <c r="L46" s="725">
        <f t="shared" si="5"/>
        <v>0</v>
      </c>
      <c r="M46" s="725">
        <f t="shared" ca="1" si="5"/>
        <v>0</v>
      </c>
      <c r="N46" s="725">
        <f t="shared" si="5"/>
        <v>0</v>
      </c>
      <c r="O46" s="725">
        <f t="shared" ca="1" si="5"/>
        <v>0</v>
      </c>
      <c r="P46" s="725">
        <f t="shared" si="5"/>
        <v>0</v>
      </c>
      <c r="Q46" s="725">
        <f t="shared" si="5"/>
        <v>0</v>
      </c>
      <c r="R46" s="725">
        <f ca="1">SUM(R39:R45)</f>
        <v>32968.580480144694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218.75034763735363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218.75034763735363</v>
      </c>
    </row>
    <row r="50" spans="1:18">
      <c r="A50" s="827" t="s">
        <v>306</v>
      </c>
      <c r="B50" s="837"/>
      <c r="C50" s="695">
        <f ca="1">transport!B18</f>
        <v>11.661174807901943</v>
      </c>
      <c r="D50" s="695">
        <f>transport!C18</f>
        <v>0</v>
      </c>
      <c r="E50" s="695">
        <f>transport!D18</f>
        <v>54.08934394949393</v>
      </c>
      <c r="F50" s="695">
        <f>transport!E18</f>
        <v>32.278890689887248</v>
      </c>
      <c r="G50" s="695">
        <f>transport!F18</f>
        <v>0</v>
      </c>
      <c r="H50" s="695">
        <f>transport!G18</f>
        <v>16955.358610254221</v>
      </c>
      <c r="I50" s="695">
        <f>transport!H18</f>
        <v>4237.8405944285751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21291.228614130079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11.661174807901943</v>
      </c>
      <c r="D52" s="725">
        <f t="shared" ref="D52:Q52" ca="1" si="6">SUM(D48:D51)</f>
        <v>0</v>
      </c>
      <c r="E52" s="725">
        <f t="shared" si="6"/>
        <v>54.08934394949393</v>
      </c>
      <c r="F52" s="725">
        <f t="shared" si="6"/>
        <v>32.278890689887248</v>
      </c>
      <c r="G52" s="725">
        <f t="shared" si="6"/>
        <v>0</v>
      </c>
      <c r="H52" s="725">
        <f t="shared" si="6"/>
        <v>17174.108957891574</v>
      </c>
      <c r="I52" s="725">
        <f t="shared" si="6"/>
        <v>4237.8405944285751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21509.978961767432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217.18302901056845</v>
      </c>
      <c r="D54" s="695">
        <f ca="1">+landbouw!C12</f>
        <v>0</v>
      </c>
      <c r="E54" s="695">
        <f>+landbouw!D12</f>
        <v>27.859232376029382</v>
      </c>
      <c r="F54" s="695">
        <f>+landbouw!E12</f>
        <v>9.4852824937792555</v>
      </c>
      <c r="G54" s="695">
        <f>+landbouw!F12</f>
        <v>970.59990046518396</v>
      </c>
      <c r="H54" s="695">
        <f>+landbouw!G12</f>
        <v>0</v>
      </c>
      <c r="I54" s="695">
        <f>+landbouw!H12</f>
        <v>0</v>
      </c>
      <c r="J54" s="695">
        <f>+landbouw!I12</f>
        <v>0</v>
      </c>
      <c r="K54" s="695">
        <f>+landbouw!J12</f>
        <v>104.12071563079527</v>
      </c>
      <c r="L54" s="695">
        <f>+landbouw!K12</f>
        <v>0</v>
      </c>
      <c r="M54" s="695">
        <f>+landbouw!L12</f>
        <v>0</v>
      </c>
      <c r="N54" s="695">
        <f>+landbouw!M12</f>
        <v>0</v>
      </c>
      <c r="O54" s="695">
        <f>+landbouw!N12</f>
        <v>0</v>
      </c>
      <c r="P54" s="695">
        <f>+landbouw!O12</f>
        <v>0</v>
      </c>
      <c r="Q54" s="696">
        <f>+landbouw!P12</f>
        <v>0</v>
      </c>
      <c r="R54" s="724">
        <f ca="1">SUM(C54:Q54)</f>
        <v>1329.2481599763564</v>
      </c>
    </row>
    <row r="55" spans="1:18" ht="15" thickBot="1">
      <c r="A55" s="827" t="s">
        <v>714</v>
      </c>
      <c r="B55" s="837"/>
      <c r="C55" s="695">
        <f ca="1">C25*'EF ele_warmte'!B12</f>
        <v>107.7133376387158</v>
      </c>
      <c r="D55" s="695"/>
      <c r="E55" s="695">
        <f>E25*EF_CO2_aardgas</f>
        <v>257.20240191246893</v>
      </c>
      <c r="F55" s="695"/>
      <c r="G55" s="695"/>
      <c r="H55" s="695"/>
      <c r="I55" s="695"/>
      <c r="J55" s="695"/>
      <c r="K55" s="695"/>
      <c r="L55" s="695"/>
      <c r="M55" s="695"/>
      <c r="N55" s="695"/>
      <c r="O55" s="695"/>
      <c r="P55" s="695"/>
      <c r="Q55" s="696"/>
      <c r="R55" s="724">
        <f ca="1">SUM(C55:Q55)</f>
        <v>364.91573955118474</v>
      </c>
    </row>
    <row r="56" spans="1:18" ht="15.75" thickBot="1">
      <c r="A56" s="825" t="s">
        <v>715</v>
      </c>
      <c r="B56" s="838"/>
      <c r="C56" s="725">
        <f ca="1">SUM(C54:C55)</f>
        <v>324.89636664928423</v>
      </c>
      <c r="D56" s="725">
        <f t="shared" ref="D56:Q56" ca="1" si="7">SUM(D54:D55)</f>
        <v>0</v>
      </c>
      <c r="E56" s="725">
        <f t="shared" si="7"/>
        <v>285.06163428849834</v>
      </c>
      <c r="F56" s="725">
        <f t="shared" si="7"/>
        <v>9.4852824937792555</v>
      </c>
      <c r="G56" s="725">
        <f t="shared" si="7"/>
        <v>970.59990046518396</v>
      </c>
      <c r="H56" s="725">
        <f t="shared" si="7"/>
        <v>0</v>
      </c>
      <c r="I56" s="725">
        <f t="shared" si="7"/>
        <v>0</v>
      </c>
      <c r="J56" s="725">
        <f t="shared" si="7"/>
        <v>0</v>
      </c>
      <c r="K56" s="725">
        <f t="shared" si="7"/>
        <v>104.12071563079527</v>
      </c>
      <c r="L56" s="725">
        <f t="shared" si="7"/>
        <v>0</v>
      </c>
      <c r="M56" s="725">
        <f t="shared" si="7"/>
        <v>0</v>
      </c>
      <c r="N56" s="725">
        <f t="shared" si="7"/>
        <v>0</v>
      </c>
      <c r="O56" s="725">
        <f t="shared" si="7"/>
        <v>0</v>
      </c>
      <c r="P56" s="725">
        <f t="shared" si="7"/>
        <v>0</v>
      </c>
      <c r="Q56" s="726">
        <f t="shared" si="7"/>
        <v>0</v>
      </c>
      <c r="R56" s="727">
        <f ca="1">SUM(R54:R55)</f>
        <v>1694.1638995275412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9594.3533716799247</v>
      </c>
      <c r="D61" s="733">
        <f t="shared" ref="D61:Q61" ca="1" si="8">D46+D52+D56</f>
        <v>0</v>
      </c>
      <c r="E61" s="733">
        <f t="shared" ca="1" si="8"/>
        <v>13048.256893787628</v>
      </c>
      <c r="F61" s="733">
        <f t="shared" si="8"/>
        <v>2098.5532997327282</v>
      </c>
      <c r="G61" s="733">
        <f t="shared" ca="1" si="8"/>
        <v>9487.1623455357603</v>
      </c>
      <c r="H61" s="733">
        <f t="shared" si="8"/>
        <v>17174.108957891574</v>
      </c>
      <c r="I61" s="733">
        <f t="shared" si="8"/>
        <v>4237.8405944285751</v>
      </c>
      <c r="J61" s="733">
        <f t="shared" si="8"/>
        <v>0</v>
      </c>
      <c r="K61" s="733">
        <f t="shared" si="8"/>
        <v>532.44787838347656</v>
      </c>
      <c r="L61" s="733">
        <f t="shared" si="8"/>
        <v>0</v>
      </c>
      <c r="M61" s="733">
        <f t="shared" ca="1" si="8"/>
        <v>0</v>
      </c>
      <c r="N61" s="733">
        <f t="shared" si="8"/>
        <v>0</v>
      </c>
      <c r="O61" s="733">
        <f t="shared" ca="1" si="8"/>
        <v>0</v>
      </c>
      <c r="P61" s="733">
        <f t="shared" si="8"/>
        <v>0</v>
      </c>
      <c r="Q61" s="733">
        <f t="shared" si="8"/>
        <v>0</v>
      </c>
      <c r="R61" s="733">
        <f ca="1">R46+R52+R56</f>
        <v>56172.723341439669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0.19383378621385033</v>
      </c>
      <c r="D63" s="779">
        <f t="shared" ca="1" si="9"/>
        <v>0</v>
      </c>
      <c r="E63" s="973">
        <f t="shared" ca="1" si="9"/>
        <v>0.20200000000000004</v>
      </c>
      <c r="F63" s="779">
        <f t="shared" si="9"/>
        <v>0.22700000000000001</v>
      </c>
      <c r="G63" s="779">
        <f t="shared" ca="1" si="9"/>
        <v>0.26699999999999996</v>
      </c>
      <c r="H63" s="779">
        <f t="shared" si="9"/>
        <v>0.26699999999999996</v>
      </c>
      <c r="I63" s="779">
        <f t="shared" si="9"/>
        <v>0.24899999999999997</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5997.1744445578206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87.299999999999983</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102.70588235294116</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6084.4744445578208</v>
      </c>
      <c r="C78" s="751">
        <f>SUM(C72:C77)</f>
        <v>0</v>
      </c>
      <c r="D78" s="752">
        <f t="shared" ref="D78:H78" si="10">SUM(D76:D77)</f>
        <v>0</v>
      </c>
      <c r="E78" s="752">
        <f t="shared" si="10"/>
        <v>0</v>
      </c>
      <c r="F78" s="752">
        <f t="shared" si="10"/>
        <v>0</v>
      </c>
      <c r="G78" s="752">
        <f t="shared" si="10"/>
        <v>0</v>
      </c>
      <c r="H78" s="752">
        <f t="shared" si="10"/>
        <v>0</v>
      </c>
      <c r="I78" s="752">
        <f>SUM(I76:I77)</f>
        <v>0</v>
      </c>
      <c r="J78" s="752">
        <f>SUM(J76:J77)</f>
        <v>102.70588235294116</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124.71428571428569</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146.72268907563023</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124.71428571428569</v>
      </c>
      <c r="C90" s="751">
        <f>SUM(C87:C89)</f>
        <v>0</v>
      </c>
      <c r="D90" s="751">
        <f t="shared" ref="D90:H90" si="12">SUM(D87:D89)</f>
        <v>0</v>
      </c>
      <c r="E90" s="751">
        <f t="shared" si="12"/>
        <v>0</v>
      </c>
      <c r="F90" s="751">
        <f t="shared" si="12"/>
        <v>0</v>
      </c>
      <c r="G90" s="751">
        <f t="shared" si="12"/>
        <v>0</v>
      </c>
      <c r="H90" s="751">
        <f t="shared" si="12"/>
        <v>0</v>
      </c>
      <c r="I90" s="751">
        <f>SUM(I87:I89)</f>
        <v>0</v>
      </c>
      <c r="J90" s="751">
        <f>SUM(J87:J89)</f>
        <v>146.72268907563023</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5997.1744445578206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87.299999999999983</v>
      </c>
      <c r="C8" s="551">
        <f>B49</f>
        <v>0</v>
      </c>
      <c r="D8" s="552"/>
      <c r="E8" s="552">
        <f>E49</f>
        <v>0</v>
      </c>
      <c r="F8" s="553"/>
      <c r="G8" s="554"/>
      <c r="H8" s="552">
        <f>I49</f>
        <v>0</v>
      </c>
      <c r="I8" s="552">
        <f>G49+F49</f>
        <v>0</v>
      </c>
      <c r="J8" s="552">
        <f>H49+D49+C49</f>
        <v>102.70588235294116</v>
      </c>
      <c r="K8" s="552"/>
      <c r="L8" s="552"/>
      <c r="M8" s="552"/>
      <c r="N8" s="555"/>
      <c r="O8" s="556">
        <f>C8*$C$12+D8*$D$12+E8*$E$12+F8*$F$12+G8*$G$12+H8*$H$12+I8*$I$12+J8*$J$12</f>
        <v>0</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6084.4744445578208</v>
      </c>
      <c r="C10" s="566">
        <f t="shared" ref="C10:L10" si="0">SUM(C8:C9)</f>
        <v>0</v>
      </c>
      <c r="D10" s="566">
        <f t="shared" si="0"/>
        <v>0</v>
      </c>
      <c r="E10" s="566">
        <f t="shared" si="0"/>
        <v>0</v>
      </c>
      <c r="F10" s="566">
        <f t="shared" si="0"/>
        <v>0</v>
      </c>
      <c r="G10" s="566">
        <f t="shared" si="0"/>
        <v>0</v>
      </c>
      <c r="H10" s="566">
        <f t="shared" si="0"/>
        <v>0</v>
      </c>
      <c r="I10" s="566">
        <f t="shared" si="0"/>
        <v>0</v>
      </c>
      <c r="J10" s="566">
        <f t="shared" si="0"/>
        <v>102.70588235294116</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124.71428571428569</v>
      </c>
      <c r="C17" s="582">
        <f>B50</f>
        <v>0</v>
      </c>
      <c r="D17" s="583"/>
      <c r="E17" s="583">
        <f>E50</f>
        <v>0</v>
      </c>
      <c r="F17" s="584"/>
      <c r="G17" s="585"/>
      <c r="H17" s="582">
        <f>I50</f>
        <v>0</v>
      </c>
      <c r="I17" s="583">
        <f>G50+F50</f>
        <v>0</v>
      </c>
      <c r="J17" s="583">
        <f>H50+D50+C50</f>
        <v>146.72268907563023</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124.71428571428569</v>
      </c>
      <c r="C20" s="565">
        <f>SUM(C17:C19)</f>
        <v>0</v>
      </c>
      <c r="D20" s="565">
        <f t="shared" ref="D20:L20" si="1">SUM(D17:D19)</f>
        <v>0</v>
      </c>
      <c r="E20" s="565">
        <f t="shared" si="1"/>
        <v>0</v>
      </c>
      <c r="F20" s="565">
        <f t="shared" si="1"/>
        <v>0</v>
      </c>
      <c r="G20" s="565">
        <f t="shared" si="1"/>
        <v>0</v>
      </c>
      <c r="H20" s="565">
        <f t="shared" si="1"/>
        <v>0</v>
      </c>
      <c r="I20" s="565">
        <f t="shared" si="1"/>
        <v>0</v>
      </c>
      <c r="J20" s="565">
        <f t="shared" si="1"/>
        <v>146.72268907563023</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41027</v>
      </c>
      <c r="C28" s="794">
        <v>9550</v>
      </c>
      <c r="D28" s="643" t="s">
        <v>865</v>
      </c>
      <c r="E28" s="642" t="s">
        <v>866</v>
      </c>
      <c r="F28" s="642" t="s">
        <v>867</v>
      </c>
      <c r="G28" s="642" t="s">
        <v>868</v>
      </c>
      <c r="H28" s="642" t="s">
        <v>869</v>
      </c>
      <c r="I28" s="642" t="s">
        <v>866</v>
      </c>
      <c r="J28" s="793">
        <v>40920</v>
      </c>
      <c r="K28" s="793">
        <v>41030</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96" customFormat="1" ht="63.75">
      <c r="A29" s="595"/>
      <c r="B29" s="794">
        <v>41027</v>
      </c>
      <c r="C29" s="794">
        <v>9552</v>
      </c>
      <c r="D29" s="643" t="s">
        <v>871</v>
      </c>
      <c r="E29" s="642" t="s">
        <v>872</v>
      </c>
      <c r="F29" s="642" t="s">
        <v>873</v>
      </c>
      <c r="G29" s="642" t="s">
        <v>868</v>
      </c>
      <c r="H29" s="642" t="s">
        <v>869</v>
      </c>
      <c r="I29" s="642" t="s">
        <v>874</v>
      </c>
      <c r="J29" s="793">
        <v>41379</v>
      </c>
      <c r="K29" s="793">
        <v>41379</v>
      </c>
      <c r="L29" s="642" t="s">
        <v>870</v>
      </c>
      <c r="M29" s="642">
        <v>9.6999999999999993</v>
      </c>
      <c r="N29" s="642">
        <v>43.649999999999991</v>
      </c>
      <c r="O29" s="642">
        <v>62.357142857142847</v>
      </c>
      <c r="P29" s="642">
        <v>0</v>
      </c>
      <c r="Q29" s="642">
        <v>124.71428571428569</v>
      </c>
      <c r="R29" s="642">
        <v>0</v>
      </c>
      <c r="S29" s="642">
        <v>0</v>
      </c>
      <c r="T29" s="642">
        <v>0</v>
      </c>
      <c r="U29" s="642">
        <v>0</v>
      </c>
      <c r="V29" s="642">
        <v>0</v>
      </c>
      <c r="W29" s="642">
        <v>0</v>
      </c>
      <c r="X29" s="642">
        <v>1600</v>
      </c>
      <c r="Y29" s="642" t="s">
        <v>49</v>
      </c>
      <c r="Z29" s="644" t="s">
        <v>155</v>
      </c>
    </row>
    <row r="30" spans="1:26" s="576" customFormat="1">
      <c r="A30" s="598" t="s">
        <v>279</v>
      </c>
      <c r="B30" s="599"/>
      <c r="C30" s="599"/>
      <c r="D30" s="599"/>
      <c r="E30" s="599"/>
      <c r="F30" s="599"/>
      <c r="G30" s="599"/>
      <c r="H30" s="599"/>
      <c r="I30" s="599"/>
      <c r="J30" s="599"/>
      <c r="K30" s="599"/>
      <c r="L30" s="600"/>
      <c r="M30" s="600">
        <f>SUM(M28:M29)</f>
        <v>19.399999999999999</v>
      </c>
      <c r="N30" s="600">
        <f>SUM(N28:N29)</f>
        <v>87.299999999999983</v>
      </c>
      <c r="O30" s="600">
        <f>SUM(O28:O29)</f>
        <v>124.71428571428569</v>
      </c>
      <c r="P30" s="600">
        <f>SUM(P28:P29)</f>
        <v>0</v>
      </c>
      <c r="Q30" s="600">
        <f>SUM(Q28:Q29)</f>
        <v>249.42857142857139</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9.6999999999999993</v>
      </c>
      <c r="N32" s="600">
        <f ca="1">SUMIF($Z$28:AD29,"tertiair",N28:N29)</f>
        <v>43.649999999999991</v>
      </c>
      <c r="O32" s="600">
        <f ca="1">SUMIF($Z$28:AE29,"tertiair",O28:O29)</f>
        <v>62.357142857142847</v>
      </c>
      <c r="P32" s="600">
        <f ca="1">SUMIF($Z$28:AF29,"tertiair",P28:P29)</f>
        <v>0</v>
      </c>
      <c r="Q32" s="600">
        <f ca="1">SUMIF($Z$28:AG29,"tertiair",Q28:Q29)</f>
        <v>124.71428571428569</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9.6999999999999993</v>
      </c>
      <c r="N33" s="605">
        <f>SUMIF($Z$28:$Z$29,"landbouw",N28:N29)</f>
        <v>43.649999999999991</v>
      </c>
      <c r="O33" s="605">
        <f>SUMIF($Z$28:$Z$29,"landbouw",O28:O29)</f>
        <v>62.357142857142847</v>
      </c>
      <c r="P33" s="605">
        <f>SUMIF($Z$28:$Z$29,"landbouw",P28:P29)</f>
        <v>0</v>
      </c>
      <c r="Q33" s="605">
        <f>SUMIF($Z$28:$Z$29,"landbouw",Q28:Q29)</f>
        <v>124.71428571428569</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0</v>
      </c>
      <c r="C49" s="634">
        <f t="shared" si="2"/>
        <v>102.70588235294116</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0</v>
      </c>
      <c r="C50" s="637">
        <f t="shared" si="3"/>
        <v>146.72268907563023</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33351.517930243346</v>
      </c>
      <c r="C4" s="455">
        <f>huishoudens!C8</f>
        <v>0</v>
      </c>
      <c r="D4" s="455">
        <f>huishoudens!D8</f>
        <v>51363.323377551395</v>
      </c>
      <c r="E4" s="455">
        <f>huishoudens!E8</f>
        <v>9020.5512072704332</v>
      </c>
      <c r="F4" s="455">
        <f>huishoudens!F8</f>
        <v>29635.548798442178</v>
      </c>
      <c r="G4" s="455">
        <f>huishoudens!G8</f>
        <v>0</v>
      </c>
      <c r="H4" s="455">
        <f>huishoudens!H8</f>
        <v>0</v>
      </c>
      <c r="I4" s="455">
        <f>huishoudens!I8</f>
        <v>0</v>
      </c>
      <c r="J4" s="455">
        <f>huishoudens!J8</f>
        <v>1209.1525001709692</v>
      </c>
      <c r="K4" s="455">
        <f>huishoudens!K8</f>
        <v>0</v>
      </c>
      <c r="L4" s="455">
        <f>huishoudens!L8</f>
        <v>0</v>
      </c>
      <c r="M4" s="455">
        <f>huishoudens!M8</f>
        <v>0</v>
      </c>
      <c r="N4" s="455">
        <f>huishoudens!N8</f>
        <v>23603.785374835013</v>
      </c>
      <c r="O4" s="455">
        <f>huishoudens!O8</f>
        <v>527.73288635695042</v>
      </c>
      <c r="P4" s="456">
        <f>huishoudens!P8</f>
        <v>484.56212815351103</v>
      </c>
      <c r="Q4" s="457">
        <f>SUM(B4:P4)</f>
        <v>149196.17420302378</v>
      </c>
    </row>
    <row r="5" spans="1:17">
      <c r="A5" s="454" t="s">
        <v>155</v>
      </c>
      <c r="B5" s="455">
        <f ca="1">tertiair!B16</f>
        <v>10445.510103139701</v>
      </c>
      <c r="C5" s="455">
        <f ca="1">tertiair!C16</f>
        <v>62.357142857142847</v>
      </c>
      <c r="D5" s="455">
        <f ca="1">tertiair!D16</f>
        <v>9974.9867714583488</v>
      </c>
      <c r="E5" s="455">
        <f>tertiair!E16</f>
        <v>28.507789894419403</v>
      </c>
      <c r="F5" s="455">
        <f ca="1">tertiair!F16</f>
        <v>1419.8688313909681</v>
      </c>
      <c r="G5" s="455">
        <f>tertiair!G16</f>
        <v>0</v>
      </c>
      <c r="H5" s="455">
        <f>tertiair!H16</f>
        <v>0</v>
      </c>
      <c r="I5" s="455">
        <f>tertiair!I16</f>
        <v>0</v>
      </c>
      <c r="J5" s="455">
        <f>tertiair!J16</f>
        <v>8.3287572744456702E-3</v>
      </c>
      <c r="K5" s="455">
        <f>tertiair!K16</f>
        <v>0</v>
      </c>
      <c r="L5" s="455">
        <f ca="1">tertiair!L16</f>
        <v>0</v>
      </c>
      <c r="M5" s="455">
        <f>tertiair!M16</f>
        <v>0</v>
      </c>
      <c r="N5" s="455">
        <f ca="1">tertiair!N16</f>
        <v>189.02301499104655</v>
      </c>
      <c r="O5" s="455">
        <f>tertiair!O16</f>
        <v>19.589043063364617</v>
      </c>
      <c r="P5" s="456">
        <f>tertiair!P16</f>
        <v>210.15655322598008</v>
      </c>
      <c r="Q5" s="454">
        <f t="shared" ref="Q5:Q14" ca="1" si="0">SUM(B5:P5)</f>
        <v>22350.007578778248</v>
      </c>
    </row>
    <row r="6" spans="1:17">
      <c r="A6" s="454" t="s">
        <v>193</v>
      </c>
      <c r="B6" s="455">
        <f>'openbare verlichting'!B8</f>
        <v>1385.9349999999999</v>
      </c>
      <c r="C6" s="455"/>
      <c r="D6" s="455"/>
      <c r="E6" s="455"/>
      <c r="F6" s="455"/>
      <c r="G6" s="455"/>
      <c r="H6" s="455"/>
      <c r="I6" s="455"/>
      <c r="J6" s="455"/>
      <c r="K6" s="455"/>
      <c r="L6" s="455"/>
      <c r="M6" s="455"/>
      <c r="N6" s="455"/>
      <c r="O6" s="455"/>
      <c r="P6" s="456"/>
      <c r="Q6" s="454">
        <f t="shared" si="0"/>
        <v>1385.9349999999999</v>
      </c>
    </row>
    <row r="7" spans="1:17">
      <c r="A7" s="454" t="s">
        <v>111</v>
      </c>
      <c r="B7" s="455">
        <f>landbouw!B8</f>
        <v>1120.46012850906</v>
      </c>
      <c r="C7" s="455">
        <f>landbouw!C8</f>
        <v>62.357142857142847</v>
      </c>
      <c r="D7" s="455">
        <f>landbouw!D8</f>
        <v>137.91699196054148</v>
      </c>
      <c r="E7" s="455">
        <f>landbouw!E8</f>
        <v>41.7853854351509</v>
      </c>
      <c r="F7" s="455">
        <f>landbouw!F8</f>
        <v>3635.2056197197899</v>
      </c>
      <c r="G7" s="455">
        <f>landbouw!G8</f>
        <v>0</v>
      </c>
      <c r="H7" s="455">
        <f>landbouw!H8</f>
        <v>0</v>
      </c>
      <c r="I7" s="455">
        <f>landbouw!I8</f>
        <v>0</v>
      </c>
      <c r="J7" s="455">
        <f>landbouw!J8</f>
        <v>294.1263153412296</v>
      </c>
      <c r="K7" s="455">
        <f>landbouw!K8</f>
        <v>0</v>
      </c>
      <c r="L7" s="455">
        <f>landbouw!L8</f>
        <v>0</v>
      </c>
      <c r="M7" s="455">
        <f>landbouw!M8</f>
        <v>0</v>
      </c>
      <c r="N7" s="455">
        <f>landbouw!N8</f>
        <v>0</v>
      </c>
      <c r="O7" s="455">
        <f>landbouw!O8</f>
        <v>0</v>
      </c>
      <c r="P7" s="456">
        <f>landbouw!P8</f>
        <v>0</v>
      </c>
      <c r="Q7" s="454">
        <f t="shared" si="0"/>
        <v>5291.8515838229141</v>
      </c>
    </row>
    <row r="8" spans="1:17">
      <c r="A8" s="454" t="s">
        <v>626</v>
      </c>
      <c r="B8" s="455">
        <f>industrie!B18</f>
        <v>2578.5547652164314</v>
      </c>
      <c r="C8" s="455">
        <f>industrie!C18</f>
        <v>0</v>
      </c>
      <c r="D8" s="455">
        <f>industrie!D18</f>
        <v>1578.0557695527978</v>
      </c>
      <c r="E8" s="455">
        <f>industrie!E18</f>
        <v>11.686053712070336</v>
      </c>
      <c r="F8" s="455">
        <f>industrie!F18</f>
        <v>841.81999215402914</v>
      </c>
      <c r="G8" s="455">
        <f>industrie!G18</f>
        <v>0</v>
      </c>
      <c r="H8" s="455">
        <f>industrie!H18</f>
        <v>0</v>
      </c>
      <c r="I8" s="455">
        <f>industrie!I18</f>
        <v>0</v>
      </c>
      <c r="J8" s="455">
        <f>industrie!J18</f>
        <v>0.80290766125168611</v>
      </c>
      <c r="K8" s="455">
        <f>industrie!K18</f>
        <v>0</v>
      </c>
      <c r="L8" s="455">
        <f>industrie!L18</f>
        <v>0</v>
      </c>
      <c r="M8" s="455">
        <f>industrie!M18</f>
        <v>0</v>
      </c>
      <c r="N8" s="455">
        <f>industrie!N18</f>
        <v>80.558152513150318</v>
      </c>
      <c r="O8" s="455">
        <f>industrie!O18</f>
        <v>0</v>
      </c>
      <c r="P8" s="456">
        <f>industrie!P18</f>
        <v>0</v>
      </c>
      <c r="Q8" s="454">
        <f t="shared" si="0"/>
        <v>5091.4776408097305</v>
      </c>
    </row>
    <row r="9" spans="1:17" s="460" customFormat="1">
      <c r="A9" s="458" t="s">
        <v>552</v>
      </c>
      <c r="B9" s="459">
        <f>transport!B14</f>
        <v>60.160692496800102</v>
      </c>
      <c r="C9" s="459">
        <f>transport!C14</f>
        <v>0</v>
      </c>
      <c r="D9" s="459">
        <f>transport!D14</f>
        <v>267.76902945294023</v>
      </c>
      <c r="E9" s="459">
        <f>transport!E14</f>
        <v>142.19775634311563</v>
      </c>
      <c r="F9" s="459">
        <f>transport!F14</f>
        <v>0</v>
      </c>
      <c r="G9" s="459">
        <f>transport!G14</f>
        <v>63503.215768742404</v>
      </c>
      <c r="H9" s="459">
        <f>transport!H14</f>
        <v>17019.440138267371</v>
      </c>
      <c r="I9" s="459">
        <f>transport!I14</f>
        <v>0</v>
      </c>
      <c r="J9" s="459">
        <f>transport!J14</f>
        <v>0</v>
      </c>
      <c r="K9" s="459">
        <f>transport!K14</f>
        <v>0</v>
      </c>
      <c r="L9" s="459">
        <f>transport!L14</f>
        <v>0</v>
      </c>
      <c r="M9" s="459">
        <f>transport!M14</f>
        <v>4758.4536750756661</v>
      </c>
      <c r="N9" s="459">
        <f>transport!N14</f>
        <v>0</v>
      </c>
      <c r="O9" s="459">
        <f>transport!O14</f>
        <v>0</v>
      </c>
      <c r="P9" s="459">
        <f>transport!P14</f>
        <v>0</v>
      </c>
      <c r="Q9" s="458">
        <f>SUM(B9:P9)</f>
        <v>85751.237060378306</v>
      </c>
    </row>
    <row r="10" spans="1:17">
      <c r="A10" s="454" t="s">
        <v>542</v>
      </c>
      <c r="B10" s="455">
        <f>transport!B54</f>
        <v>0</v>
      </c>
      <c r="C10" s="455">
        <f>transport!C54</f>
        <v>0</v>
      </c>
      <c r="D10" s="455">
        <f>transport!D54</f>
        <v>0</v>
      </c>
      <c r="E10" s="455">
        <f>transport!E54</f>
        <v>0</v>
      </c>
      <c r="F10" s="455">
        <f>transport!F54</f>
        <v>0</v>
      </c>
      <c r="G10" s="455">
        <f>transport!G54</f>
        <v>819.28969152566901</v>
      </c>
      <c r="H10" s="455">
        <f>transport!H54</f>
        <v>0</v>
      </c>
      <c r="I10" s="455">
        <f>transport!I54</f>
        <v>0</v>
      </c>
      <c r="J10" s="455">
        <f>transport!J54</f>
        <v>0</v>
      </c>
      <c r="K10" s="455">
        <f>transport!K54</f>
        <v>0</v>
      </c>
      <c r="L10" s="455">
        <f>transport!L54</f>
        <v>0</v>
      </c>
      <c r="M10" s="455">
        <f>transport!M54</f>
        <v>44.459324999005524</v>
      </c>
      <c r="N10" s="455">
        <f>transport!N54</f>
        <v>0</v>
      </c>
      <c r="O10" s="455">
        <f>transport!O54</f>
        <v>0</v>
      </c>
      <c r="P10" s="456">
        <f>transport!P54</f>
        <v>0</v>
      </c>
      <c r="Q10" s="454">
        <f t="shared" si="0"/>
        <v>863.74901652467452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555.69949771232996</v>
      </c>
      <c r="C14" s="462"/>
      <c r="D14" s="462">
        <f>'SEAP template'!E25</f>
        <v>1273.27921738846</v>
      </c>
      <c r="E14" s="462"/>
      <c r="F14" s="462"/>
      <c r="G14" s="462"/>
      <c r="H14" s="462"/>
      <c r="I14" s="462"/>
      <c r="J14" s="462"/>
      <c r="K14" s="462"/>
      <c r="L14" s="462"/>
      <c r="M14" s="462"/>
      <c r="N14" s="462"/>
      <c r="O14" s="462"/>
      <c r="P14" s="463"/>
      <c r="Q14" s="454">
        <f t="shared" si="0"/>
        <v>1828.9787151007899</v>
      </c>
    </row>
    <row r="15" spans="1:17" s="466" customFormat="1">
      <c r="A15" s="464" t="s">
        <v>546</v>
      </c>
      <c r="B15" s="465">
        <f ca="1">SUM(B4:B14)</f>
        <v>49497.838117317668</v>
      </c>
      <c r="C15" s="465">
        <f t="shared" ref="C15:Q15" ca="1" si="1">SUM(C4:C14)</f>
        <v>124.71428571428569</v>
      </c>
      <c r="D15" s="465">
        <f t="shared" ca="1" si="1"/>
        <v>64595.331157364482</v>
      </c>
      <c r="E15" s="465">
        <f t="shared" si="1"/>
        <v>9244.7281926551896</v>
      </c>
      <c r="F15" s="465">
        <f t="shared" ca="1" si="1"/>
        <v>35532.443241706969</v>
      </c>
      <c r="G15" s="465">
        <f t="shared" si="1"/>
        <v>64322.505460268076</v>
      </c>
      <c r="H15" s="465">
        <f t="shared" si="1"/>
        <v>17019.440138267371</v>
      </c>
      <c r="I15" s="465">
        <f t="shared" si="1"/>
        <v>0</v>
      </c>
      <c r="J15" s="465">
        <f t="shared" si="1"/>
        <v>1504.0900519307252</v>
      </c>
      <c r="K15" s="465">
        <f t="shared" si="1"/>
        <v>0</v>
      </c>
      <c r="L15" s="465">
        <f t="shared" ca="1" si="1"/>
        <v>0</v>
      </c>
      <c r="M15" s="465">
        <f t="shared" si="1"/>
        <v>4802.9130000746718</v>
      </c>
      <c r="N15" s="465">
        <f t="shared" ca="1" si="1"/>
        <v>23873.366542339209</v>
      </c>
      <c r="O15" s="465">
        <f t="shared" si="1"/>
        <v>547.32192942031509</v>
      </c>
      <c r="P15" s="465">
        <f t="shared" si="1"/>
        <v>694.71868137949104</v>
      </c>
      <c r="Q15" s="465">
        <f t="shared" ca="1" si="1"/>
        <v>271759.41079843848</v>
      </c>
    </row>
    <row r="17" spans="1:17">
      <c r="A17" s="467" t="s">
        <v>547</v>
      </c>
      <c r="B17" s="784">
        <f ca="1">huishoudens!B10</f>
        <v>0.19383378621385036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6464.6509963981862</v>
      </c>
      <c r="C22" s="455">
        <f t="shared" ref="C22:C32" ca="1" si="3">C4*$C$17</f>
        <v>0</v>
      </c>
      <c r="D22" s="455">
        <f t="shared" ref="D22:D32" si="4">D4*$D$17</f>
        <v>10375.391322265383</v>
      </c>
      <c r="E22" s="455">
        <f t="shared" ref="E22:E32" si="5">E4*$E$17</f>
        <v>2047.6651240503884</v>
      </c>
      <c r="F22" s="455">
        <f t="shared" ref="F22:F32" si="6">F4*$F$17</f>
        <v>7912.6915291840623</v>
      </c>
      <c r="G22" s="455">
        <f t="shared" ref="G22:G32" si="7">G4*$G$17</f>
        <v>0</v>
      </c>
      <c r="H22" s="455">
        <f t="shared" ref="H22:H32" si="8">H4*$H$17</f>
        <v>0</v>
      </c>
      <c r="I22" s="455">
        <f t="shared" ref="I22:I32" si="9">I4*$I$17</f>
        <v>0</v>
      </c>
      <c r="J22" s="455">
        <f t="shared" ref="J22:J32" si="10">J4*$J$17</f>
        <v>428.03998506052307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27228.438956958544</v>
      </c>
    </row>
    <row r="23" spans="1:17">
      <c r="A23" s="454" t="s">
        <v>155</v>
      </c>
      <c r="B23" s="455">
        <f t="shared" ca="1" si="2"/>
        <v>2024.6927722265948</v>
      </c>
      <c r="C23" s="455">
        <f t="shared" ca="1" si="3"/>
        <v>0</v>
      </c>
      <c r="D23" s="455">
        <f t="shared" ca="1" si="4"/>
        <v>2014.9473278345865</v>
      </c>
      <c r="E23" s="455">
        <f t="shared" si="5"/>
        <v>6.4712683060332044</v>
      </c>
      <c r="F23" s="455">
        <f t="shared" ca="1" si="6"/>
        <v>379.10497798138852</v>
      </c>
      <c r="G23" s="455">
        <f t="shared" si="7"/>
        <v>0</v>
      </c>
      <c r="H23" s="455">
        <f t="shared" si="8"/>
        <v>0</v>
      </c>
      <c r="I23" s="455">
        <f t="shared" si="9"/>
        <v>0</v>
      </c>
      <c r="J23" s="455">
        <f t="shared" si="10"/>
        <v>2.9483800751537669E-3</v>
      </c>
      <c r="K23" s="455">
        <f t="shared" si="11"/>
        <v>0</v>
      </c>
      <c r="L23" s="455">
        <f t="shared" ca="1" si="12"/>
        <v>0</v>
      </c>
      <c r="M23" s="455">
        <f t="shared" si="13"/>
        <v>0</v>
      </c>
      <c r="N23" s="455">
        <f t="shared" ca="1" si="14"/>
        <v>0</v>
      </c>
      <c r="O23" s="455">
        <f t="shared" si="15"/>
        <v>0</v>
      </c>
      <c r="P23" s="456">
        <f t="shared" si="16"/>
        <v>0</v>
      </c>
      <c r="Q23" s="454">
        <f t="shared" ref="Q23:Q31" ca="1" si="17">SUM(B23:P23)</f>
        <v>4425.2192947286785</v>
      </c>
    </row>
    <row r="24" spans="1:17">
      <c r="A24" s="454" t="s">
        <v>193</v>
      </c>
      <c r="B24" s="455">
        <f t="shared" ca="1" si="2"/>
        <v>268.64102849629268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268.64102849629268</v>
      </c>
    </row>
    <row r="25" spans="1:17">
      <c r="A25" s="454" t="s">
        <v>111</v>
      </c>
      <c r="B25" s="455">
        <f t="shared" ca="1" si="2"/>
        <v>217.18302901056845</v>
      </c>
      <c r="C25" s="455">
        <f t="shared" ca="1" si="3"/>
        <v>0</v>
      </c>
      <c r="D25" s="455">
        <f t="shared" si="4"/>
        <v>27.859232376029382</v>
      </c>
      <c r="E25" s="455">
        <f t="shared" si="5"/>
        <v>9.4852824937792555</v>
      </c>
      <c r="F25" s="455">
        <f t="shared" si="6"/>
        <v>970.59990046518396</v>
      </c>
      <c r="G25" s="455">
        <f t="shared" si="7"/>
        <v>0</v>
      </c>
      <c r="H25" s="455">
        <f t="shared" si="8"/>
        <v>0</v>
      </c>
      <c r="I25" s="455">
        <f t="shared" si="9"/>
        <v>0</v>
      </c>
      <c r="J25" s="455">
        <f t="shared" si="10"/>
        <v>104.12071563079527</v>
      </c>
      <c r="K25" s="455">
        <f t="shared" si="11"/>
        <v>0</v>
      </c>
      <c r="L25" s="455">
        <f t="shared" si="12"/>
        <v>0</v>
      </c>
      <c r="M25" s="455">
        <f t="shared" si="13"/>
        <v>0</v>
      </c>
      <c r="N25" s="455">
        <f t="shared" si="14"/>
        <v>0</v>
      </c>
      <c r="O25" s="455">
        <f t="shared" si="15"/>
        <v>0</v>
      </c>
      <c r="P25" s="456">
        <f t="shared" si="16"/>
        <v>0</v>
      </c>
      <c r="Q25" s="454">
        <f t="shared" ca="1" si="17"/>
        <v>1329.2481599763564</v>
      </c>
    </row>
    <row r="26" spans="1:17">
      <c r="A26" s="454" t="s">
        <v>626</v>
      </c>
      <c r="B26" s="455">
        <f t="shared" ca="1" si="2"/>
        <v>499.81103310166685</v>
      </c>
      <c r="C26" s="455">
        <f t="shared" ca="1" si="3"/>
        <v>0</v>
      </c>
      <c r="D26" s="455">
        <f t="shared" si="4"/>
        <v>318.76726544966516</v>
      </c>
      <c r="E26" s="455">
        <f t="shared" si="5"/>
        <v>2.6527341926399663</v>
      </c>
      <c r="F26" s="455">
        <f t="shared" si="6"/>
        <v>224.76593790512578</v>
      </c>
      <c r="G26" s="455">
        <f t="shared" si="7"/>
        <v>0</v>
      </c>
      <c r="H26" s="455">
        <f t="shared" si="8"/>
        <v>0</v>
      </c>
      <c r="I26" s="455">
        <f t="shared" si="9"/>
        <v>0</v>
      </c>
      <c r="J26" s="455">
        <f t="shared" si="10"/>
        <v>0.28422931208309687</v>
      </c>
      <c r="K26" s="455">
        <f t="shared" si="11"/>
        <v>0</v>
      </c>
      <c r="L26" s="455">
        <f t="shared" si="12"/>
        <v>0</v>
      </c>
      <c r="M26" s="455">
        <f t="shared" si="13"/>
        <v>0</v>
      </c>
      <c r="N26" s="455">
        <f t="shared" si="14"/>
        <v>0</v>
      </c>
      <c r="O26" s="455">
        <f t="shared" si="15"/>
        <v>0</v>
      </c>
      <c r="P26" s="456">
        <f t="shared" si="16"/>
        <v>0</v>
      </c>
      <c r="Q26" s="454">
        <f t="shared" ca="1" si="17"/>
        <v>1046.2811999611808</v>
      </c>
    </row>
    <row r="27" spans="1:17" s="460" customFormat="1">
      <c r="A27" s="458" t="s">
        <v>552</v>
      </c>
      <c r="B27" s="778">
        <f t="shared" ca="1" si="2"/>
        <v>11.661174807901943</v>
      </c>
      <c r="C27" s="459">
        <f t="shared" ca="1" si="3"/>
        <v>0</v>
      </c>
      <c r="D27" s="459">
        <f t="shared" si="4"/>
        <v>54.08934394949393</v>
      </c>
      <c r="E27" s="459">
        <f t="shared" si="5"/>
        <v>32.278890689887248</v>
      </c>
      <c r="F27" s="459">
        <f t="shared" si="6"/>
        <v>0</v>
      </c>
      <c r="G27" s="459">
        <f t="shared" si="7"/>
        <v>16955.358610254221</v>
      </c>
      <c r="H27" s="459">
        <f t="shared" si="8"/>
        <v>4237.8405944285751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21291.228614130079</v>
      </c>
    </row>
    <row r="28" spans="1:17" ht="16.5" customHeight="1">
      <c r="A28" s="454" t="s">
        <v>542</v>
      </c>
      <c r="B28" s="455">
        <f t="shared" ca="1" si="2"/>
        <v>0</v>
      </c>
      <c r="C28" s="455">
        <f t="shared" ca="1" si="3"/>
        <v>0</v>
      </c>
      <c r="D28" s="455">
        <f t="shared" si="4"/>
        <v>0</v>
      </c>
      <c r="E28" s="455">
        <f t="shared" si="5"/>
        <v>0</v>
      </c>
      <c r="F28" s="455">
        <f t="shared" si="6"/>
        <v>0</v>
      </c>
      <c r="G28" s="455">
        <f t="shared" si="7"/>
        <v>218.75034763735363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218.75034763735363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107.7133376387158</v>
      </c>
      <c r="C32" s="455">
        <f t="shared" ca="1" si="3"/>
        <v>0</v>
      </c>
      <c r="D32" s="455">
        <f t="shared" si="4"/>
        <v>257.20240191246893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364.91573955118474</v>
      </c>
    </row>
    <row r="33" spans="1:17" s="466" customFormat="1">
      <c r="A33" s="464" t="s">
        <v>546</v>
      </c>
      <c r="B33" s="465">
        <f ca="1">SUM(B22:B32)</f>
        <v>9594.3533716799266</v>
      </c>
      <c r="C33" s="465">
        <f t="shared" ref="C33:Q33" ca="1" si="19">SUM(C22:C32)</f>
        <v>0</v>
      </c>
      <c r="D33" s="465">
        <f t="shared" ca="1" si="19"/>
        <v>13048.256893787628</v>
      </c>
      <c r="E33" s="465">
        <f t="shared" si="19"/>
        <v>2098.5532997327282</v>
      </c>
      <c r="F33" s="465">
        <f t="shared" ca="1" si="19"/>
        <v>9487.1623455357603</v>
      </c>
      <c r="G33" s="465">
        <f t="shared" si="19"/>
        <v>17174.108957891574</v>
      </c>
      <c r="H33" s="465">
        <f t="shared" si="19"/>
        <v>4237.8405944285751</v>
      </c>
      <c r="I33" s="465">
        <f t="shared" si="19"/>
        <v>0</v>
      </c>
      <c r="J33" s="465">
        <f t="shared" si="19"/>
        <v>532.44787838347656</v>
      </c>
      <c r="K33" s="465">
        <f t="shared" si="19"/>
        <v>0</v>
      </c>
      <c r="L33" s="465">
        <f t="shared" ca="1" si="19"/>
        <v>0</v>
      </c>
      <c r="M33" s="465">
        <f t="shared" si="19"/>
        <v>0</v>
      </c>
      <c r="N33" s="465">
        <f t="shared" ca="1" si="19"/>
        <v>0</v>
      </c>
      <c r="O33" s="465">
        <f t="shared" si="19"/>
        <v>0</v>
      </c>
      <c r="P33" s="465">
        <f t="shared" si="19"/>
        <v>0</v>
      </c>
      <c r="Q33" s="465">
        <f t="shared" ca="1" si="19"/>
        <v>56172.723341439669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5997.1744445578206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87.299999999999983</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102.70588235294116</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6084.4744445578208</v>
      </c>
      <c r="C10" s="1028">
        <f>SUM(C4:C9)</f>
        <v>0</v>
      </c>
      <c r="D10" s="1028">
        <f t="shared" ref="D10:H10" si="0">SUM(D8:D9)</f>
        <v>0</v>
      </c>
      <c r="E10" s="1028">
        <f t="shared" si="0"/>
        <v>0</v>
      </c>
      <c r="F10" s="1028">
        <f t="shared" si="0"/>
        <v>0</v>
      </c>
      <c r="G10" s="1028">
        <f t="shared" si="0"/>
        <v>0</v>
      </c>
      <c r="H10" s="1028">
        <f t="shared" si="0"/>
        <v>0</v>
      </c>
      <c r="I10" s="1028">
        <f>SUM(I8:I9)</f>
        <v>0</v>
      </c>
      <c r="J10" s="1028">
        <f>SUM(J8:J9)</f>
        <v>102.70588235294116</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0.19383378621385036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124.71428571428569</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146.72268907563023</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124.71428571428569</v>
      </c>
      <c r="C20" s="1028">
        <f>SUM(C17:C19)</f>
        <v>0</v>
      </c>
      <c r="D20" s="1028">
        <f t="shared" ref="D20:H20" si="2">SUM(D17:D19)</f>
        <v>0</v>
      </c>
      <c r="E20" s="1028">
        <f t="shared" si="2"/>
        <v>0</v>
      </c>
      <c r="F20" s="1028">
        <f t="shared" si="2"/>
        <v>0</v>
      </c>
      <c r="G20" s="1028">
        <f t="shared" si="2"/>
        <v>0</v>
      </c>
      <c r="H20" s="1028">
        <f t="shared" si="2"/>
        <v>0</v>
      </c>
      <c r="I20" s="1028">
        <f>SUM(I17:I19)</f>
        <v>0</v>
      </c>
      <c r="J20" s="1028">
        <f>SUM(J17:J19)</f>
        <v>146.72268907563023</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0.19383378621385036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2020-06-20T15:23:47Z</dcterms:modified>
</cp:coreProperties>
</file>