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<sst xmlns="http://schemas.openxmlformats.org/spreadsheetml/2006/main" count="2366" uniqueCount="865">
  <si>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</si>
  <si>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</si>
  <si>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</si>
  <si>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</si>
  <si>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</si>
  <si>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</si>
  <si>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</si>
  <si>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</si>
  <si>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</si>
  <si>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</si>
  <si>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</si>
  <si>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</si>
  <si>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</si>
  <si>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</si>
  <si>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</si>
  <si>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</si>
  <si>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</si>
  <si>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</si>
  <si>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</si>
  <si>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</si>
  <si>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</si>
  <si>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</si>
  <si>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</si>
  <si>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</si>
  <si>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</si>
  <si>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</si>
  <si>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</si>
  <si>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</si>
  <si>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</si>
  <si>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</si>
  <si>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</si>
  <si>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</si>
  <si>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</si>
  <si>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</si>
  <si>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</si>
  <si>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</si>
  <si>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</si>
  <si>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</si>
  <si>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</si>
  <si>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</si>
  <si>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</si>
  <si>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</si>
  <si>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</si>
  <si>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</si>
  <si>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</si>
  <si>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</si>
  <si>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</si>
  <si>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</si>
  <si>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</si>
  <si>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</si>
  <si>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</si>
  <si>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</si>
  <si>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</si>
  <si>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</si>
  <si>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</si>
  <si>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</si>
  <si>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</si>
  <si>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</si>
  <si>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</si>
  <si>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</si>
  <si>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</si>
  <si>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</si>
  <si>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</si>
  <si>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</si>
  <si>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</si>
  <si>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</si>
  <si>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</si>
  <si>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</si>
  <si>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</si>
  <si>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</si>
  <si>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</si>
  <si>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</si>
  <si>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</si>
  <si>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</si>
  <si>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</si>
  <si>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</si>
  <si>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</si>
  <si>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</si>
  <si>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</si>
  <si>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</si>
  <si>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</si>
  <si>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</si>
  <si>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</si>
  <si>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</si>
  <si>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</si>
  <si>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</si>
  <si>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</si>
  <si>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</si>
  <si>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</si>
  <si>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</si>
  <si>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</si>
  <si>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</si>
  <si>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</si>
  <si>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</si>
  <si>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</si>
  <si>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</si>
  <si>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</si>
  <si>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</si>
  <si>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</si>
  <si>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</si>
  <si>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</si>
  <si>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</si>
  <si>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</si>
  <si>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</si>
  <si>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</si>
  <si>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</si>
  <si>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</si>
  <si>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</si>
  <si>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</si>
  <si>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</si>
  <si>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</si>
  <si>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</si>
  <si>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</si>
  <si>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</si>
  <si>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</si>
  <si>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</si>
  <si>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</si>
  <si>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</si>
  <si>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</si>
  <si>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</si>
  <si>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</si>
  <si>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</si>
  <si>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</si>
  <si>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</si>
  <si>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</si>
  <si>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</si>
  <si>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</si>
  <si>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</si>
  <si>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</si>
  <si>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</si>
  <si>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</si>
  <si>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</si>
  <si>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</si>
  <si>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</si>
  <si>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</si>
  <si>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</si>
  <si>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</si>
  <si>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</si>
  <si>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</si>
  <si>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</si>
  <si>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</si>
  <si>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</si>
  <si>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</si>
  <si>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</si>
  <si>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</si>
  <si>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</si>
  <si>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</si>
  <si>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</si>
  <si>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</si>
  <si>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</si>
  <si>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</si>
  <si>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</si>
  <si>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</si>
  <si>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</si>
  <si>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</si>
  <si>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</si>
  <si>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</si>
  <si>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</si>
  <si>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</si>
  <si>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</si>
  <si>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</si>
  <si>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</si>
  <si>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</si>
  <si>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</si>
  <si>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</si>
  <si>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</si>
  <si>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</si>
  <si>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</si>
  <si>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</si>
  <si>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</si>
  <si>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</si>
  <si>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</si>
  <si>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</si>
  <si>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</si>
  <si>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</si>
  <si>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</si>
  <si>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</si>
  <si>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</si>
  <si>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</si>
  <si>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</si>
  <si>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</si>
  <si>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</si>
  <si>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</si>
  <si>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</si>
  <si>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</si>
  <si>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</si>
  <si>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</si>
  <si>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</si>
  <si>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</si>
  <si>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</si>
  <si>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</si>
  <si>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</si>
  <si>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</si>
  <si>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</si>
  <si>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</si>
  <si>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</si>
  <si>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</si>
  <si>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</si>
  <si>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</si>
  <si>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</si>
  <si>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</si>
  <si>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</si>
  <si>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</si>
  <si>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</si>
  <si>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</si>
  <si>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</si>
  <si>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</si>
  <si>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</si>
  <si>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</si>
  <si>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</si>
  <si>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</si>
  <si>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</si>
  <si>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</si>
  <si>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</si>
  <si>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</si>
  <si>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</si>
  <si>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</si>
  <si>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</si>
  <si>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</si>
  <si>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</si>
  <si>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</si>
  <si>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</si>
  <si>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</si>
  <si>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</si>
  <si>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</si>
  <si>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</si>
  <si>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</si>
  <si>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</si>
  <si>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</si>
  <si>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</si>
  <si>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</si>
  <si>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</si>
  <si>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</si>
  <si>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</si>
  <si>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</si>
  <si>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</si>
  <si>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</si>
  <si>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</si>
  <si>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</si>
  <si>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</si>
  <si>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</si>
  <si>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</si>
  <si>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</si>
  <si>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</si>
  <si>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</si>
  <si>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</si>
  <si>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</si>
  <si>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</si>
  <si>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</si>
  <si>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</si>
  <si>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</si>
  <si>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</si>
  <si>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</si>
  <si>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</si>
  <si>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</si>
  <si>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</si>
  <si>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</si>
  <si>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</si>
  <si>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</si>
  <si>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</si>
  <si>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</si>
  <si>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</si>
  <si>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</si>
  <si>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</si>
  <si>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</si>
  <si>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</si>
  <si>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</si>
  <si>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</si>
  <si>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</si>
  <si>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</si>
  <si>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</si>
  <si>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</si>
  <si>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</si>
  <si>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</si>
  <si>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</si>
  <si>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</si>
  <si>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</si>
  <si>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</si>
  <si>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</si>
  <si>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</si>
  <si>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</si>
  <si>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</si>
  <si>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</si>
  <si>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</si>
  <si>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</si>
  <si>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</si>
  <si>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</si>
  <si>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</si>
  <si>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</si>
  <si>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</si>
  <si>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</si>
  <si>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</si>
  <si>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</si>
  <si>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</si>
  <si>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</si>
  <si>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</si>
  <si>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</si>
  <si>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</si>
  <si>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</si>
  <si>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</si>
  <si>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</si>
  <si>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</si>
  <si>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</si>
  <si>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</si>
  <si>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</si>
  <si>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</si>
  <si>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</si>
  <si>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</si>
  <si>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</si>
  <si>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</si>
  <si>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</si>
  <si>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</si>
  <si>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</si>
  <si>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</si>
  <si>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</si>
  <si>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</si>
  <si>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</si>
  <si>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</si>
  <si>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</si>
  <si>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</si>
  <si>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</si>
  <si>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</si>
  <si>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</si>
  <si>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</si>
  <si>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</si>
  <si>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</si>
  <si>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</si>
  <si>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</si>
  <si>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</si>
  <si>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</si>
  <si>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</si>
  <si>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</si>
  <si>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</si>
  <si>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</si>
  <si>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</si>
  <si>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</si>
  <si>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</si>
  <si>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</si>
  <si>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</si>
  <si>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</si>
  <si>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</si>
  <si>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</si>
  <si>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</si>
  <si>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</si>
  <si>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</si>
  <si>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</si>
  <si>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</si>
  <si>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</si>
  <si>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</si>
  <si>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</si>
  <si>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</si>
  <si>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</si>
  <si>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</si>
  <si>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</si>
  <si>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</si>
  <si>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</si>
  <si>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</si>
  <si>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</si>
  <si>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</si>
  <si>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</si>
  <si>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</si>
  <si>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</si>
  <si>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</si>
  <si>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</si>
  <si>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</si>
  <si>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</si>
  <si>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</si>
  <si>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</si>
  <si>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</si>
  <si>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</si>
  <si>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</si>
  <si>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</si>
  <si>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</si>
  <si>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</si>
  <si>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</si>
  <si>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</si>
  <si>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</si>
  <si>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</si>
  <si>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</si>
  <si>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</si>
  <si>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</si>
  <si>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</si>
  <si>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</si>
  <si>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</si>
  <si>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</si>
  <si>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</si>
  <si>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</si>
  <si>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</si>
  <si>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</si>
  <si>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</si>
  <si>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</si>
  <si>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</si>
  <si>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</si>
  <si>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</si>
  <si>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</si>
  <si>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</si>
  <si>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</si>
  <si>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</si>
  <si>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</si>
  <si>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</si>
  <si>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</si>
  <si>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</si>
  <si>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</si>
  <si>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</si>
  <si>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</si>
  <si>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</si>
  <si>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</si>
  <si>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</si>
  <si>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</si>
  <si>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</si>
  <si>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</si>
  <si>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</si>
  <si>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</si>
  <si>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</si>
  <si>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</si>
  <si>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</si>
  <si>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</si>
  <si>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</si>
  <si>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</si>
  <si>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</si>
  <si>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</si>
  <si>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</si>
  <si>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</si>
  <si>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</si>
  <si>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</si>
  <si>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</si>
  <si>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</si>
  <si>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</si>
  <si>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</si>
  <si>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</si>
  <si>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</si>
  <si>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</si>
  <si>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</si>
  <si>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</si>
  <si>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</si>
  <si>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</si>
  <si>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</si>
  <si>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</si>
  <si>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</si>
  <si>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</si>
  <si>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</si>
  <si>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</si>
  <si>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</si>
  <si>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</si>
  <si>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</si>
  <si>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</si>
  <si>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</si>
  <si>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</si>
  <si>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</si>
  <si>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</si>
  <si>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</si>
  <si>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</si>
  <si>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</si>
  <si>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</si>
  <si>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</si>
  <si>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</si>
  <si>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</si>
  <si>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</si>
  <si>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</si>
  <si>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</si>
  <si>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</si>
  <si>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</si>
  <si>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</si>
  <si>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</si>
  <si>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</si>
  <si>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</si>
  <si>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</si>
  <si>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</si>
  <si>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</si>
  <si>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</si>
  <si>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</si>
  <si>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</si>
  <si>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</si>
  <si>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</si>
  <si>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</si>
  <si>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</si>
  <si>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</si>
  <si>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</si>
  <si>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</si>
  <si>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</si>
  <si>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</si>
  <si>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</si>
  <si>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</si>
  <si>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</si>
  <si>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</si>
  <si>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</si>
  <si>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</si>
  <si>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</si>
  <si>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</si>
  <si>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</si>
  <si>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</si>
  <si>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</si>
  <si>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</si>
  <si>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</si>
  <si>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</si>
  <si>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</si>
  <si>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</si>
  <si>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</si>
  <si>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</si>
  <si>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</si>
  <si>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</si>
  <si>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</si>
  <si>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</si>
  <si>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</si>
  <si>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</si>
  <si>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</si>
  <si>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</si>
  <si>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</si>
  <si>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</si>
  <si>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</si>
  <si>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</si>
  <si>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</si>
  <si>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</si>
  <si>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</si>
  <si>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</si>
  <si>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</si>
  <si>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</si>
  <si>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</si>
  <si>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</si>
  <si>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</si>
  <si>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</si>
  <si>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</si>
  <si>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</si>
  <si>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</si>
  <si>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</si>
  <si>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</si>
  <si>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</si>
  <si>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</si>
  <si>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</si>
  <si>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</si>
  <si>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</si>
  <si>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</si>
  <si>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</si>
  <si>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</si>
  <si>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</si>
  <si>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</si>
  <si>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</si>
  <si>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</si>
  <si>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</si>
  <si>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</si>
  <si>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</si>
  <si>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</si>
  <si>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</si>
  <si>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</si>
  <si>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</si>
  <si>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</si>
  <si>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</si>
  <si>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</si>
  <si>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</si>
  <si>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</si>
  <si>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</si>
  <si>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</si>
  <si>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</si>
  <si>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</si>
  <si>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</si>
  <si>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</si>
  <si>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</si>
  <si>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</si>
  <si>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</si>
  <si>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</si>
  <si>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</si>
  <si>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</si>
  <si>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</si>
  <si>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</si>
  <si>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</si>
  <si>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</si>
  <si>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</si>
  <si>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</si>
  <si>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</si>
  <si>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</si>
  <si>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</si>
  <si>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</si>
  <si>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</si>
  <si>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</si>
  <si>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</si>
  <si>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</si>
  <si>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</si>
  <si>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</si>
  <si>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</si>
  <si>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</si>
  <si>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</si>
  <si>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</si>
  <si>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</si>
  <si>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</si>
  <si>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</si>
  <si>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</si>
  <si>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</si>
  <si>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</si>
  <si>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</si>
  <si>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</si>
  <si>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</si>
  <si>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</si>
  <si>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</si>
  <si>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</si>
  <si>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</si>
  <si>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</si>
  <si>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</si>
  <si>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</si>
  <si>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</si>
  <si>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</si>
  <si>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</si>
  <si>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</si>
  <si>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</si>
  <si>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</si>
  <si>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</si>
  <si>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</si>
  <si>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</si>
  <si>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</si>
  <si>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</si>
  <si>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</si>
  <si>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</si>
  <si>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</si>
  <si>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</si>
  <si>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</si>
  <si>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</si>
  <si>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</si>
  <si>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</si>
  <si>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</si>
  <si>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</si>
  <si>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</si>
  <si>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</si>
  <si>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</si>
  <si>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</si>
  <si>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</si>
  <si>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</si>
  <si>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</si>
  <si>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</si>
  <si>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</si>
  <si>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</si>
  <si>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</si>
  <si>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</si>
  <si>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</si>
  <si>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</si>
  <si>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</si>
  <si>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</si>
  <si>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</si>
  <si>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</si>
  <si>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</si>
  <si>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</si>
  <si>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</si>
  <si>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</si>
  <si>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</si>
  <si>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</si>
  <si>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</si>
  <si>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</si>
  <si>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</si>
  <si>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</si>
  <si>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</si>
  <si>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</si>
  <si>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</si>
  <si>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</si>
  <si>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</si>
  <si>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</si>
  <si>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</si>
  <si>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</si>
  <si>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</si>
  <si>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</si>
  <si>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</si>
  <si>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</si>
  <si>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</si>
  <si>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</si>
  <si>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</si>
  <si>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</si>
  <si>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</si>
  <si>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</si>
  <si>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</si>
  <si>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</si>
  <si>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</si>
  <si>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</si>
  <si>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</si>
  <si>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</si>
  <si>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</si>
  <si>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</si>
  <si>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</si>
  <si>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</si>
  <si>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</si>
  <si>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</si>
  <si>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</si>
  <si>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</si>
  <si>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</si>
  <si>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</si>
  <si>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</si>
  <si>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</si>
  <si>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</si>
  <si>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</si>
  <si>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</si>
  <si>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</si>
  <si>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</si>
  <si>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</si>
  <si>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</si>
  <si>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</si>
  <si>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</si>
  <si>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</si>
  <si>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</si>
  <si>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</si>
  <si>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</si>
  <si>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</si>
  <si>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</si>
  <si>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</si>
  <si>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</si>
  <si>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</si>
  <si>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</si>
  <si>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</si>
  <si>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</si>
  <si>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</si>
  <si>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</si>
  <si>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</si>
  <si>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</si>
  <si>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</si>
  <si>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</si>
  <si>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</si>
  <si>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</si>
  <si>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</si>
  <si>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</si>
  <si>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</si>
  <si>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</si>
  <si>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</si>
  <si>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</si>
  <si>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</si>
  <si>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</si>
  <si>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</si>
  <si>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</si>
  <si>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</si>
  <si>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</si>
  <si>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</si>
  <si>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</si>
  <si>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</si>
  <si>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</si>
  <si>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</si>
  <si>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</si>
  <si>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</si>
  <si>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</si>
  <si>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</si>
  <si>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</si>
  <si>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</si>
  <si>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</si>
  <si>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</si>
  <si>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</si>
  <si>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</si>
  <si>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</si>
  <si>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</si>
  <si>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</si>
  <si>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</si>
  <si>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</si>
  <si>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</si>
  <si>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</si>
  <si>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</si>
  <si>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</si>
  <si>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</si>
  <si>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</si>
  <si>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</si>
  <si>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</si>
  <si>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</si>
  <si>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</si>
  <si>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</si>
  <si>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</si>
  <si>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</si>
  <si>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</si>
  <si>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</si>
  <si>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</si>
  <si>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</si>
  <si>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</si>
  <si>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</si>
  <si>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</si>
  <si>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</si>
  <si>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</si>
  <si>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</si>
  <si>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</si>
  <si>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</si>
  <si>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</si>
  <si>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</si>
  <si>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</si>
  <si>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</si>
  <si>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</si>
  <si>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</si>
  <si>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</si>
  <si>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</si>
  <si>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</si>
  <si>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</si>
  <si>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</si>
  <si>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</si>
  <si>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</si>
  <si>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</si>
  <si>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</si>
  <si>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</si>
  <si>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</si>
  <si>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</si>
  <si>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</si>
  <si>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</si>
  <si>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</si>
  <si>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</si>
  <si>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</si>
  <si>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</si>
  <si>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</si>
  <si>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</si>
  <si>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</si>
  <si>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</si>
  <si>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</si>
  <si>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</si>
  <si>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</si>
  <si>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</si>
  <si>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</si>
  <si>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</si>
  <si>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</si>
  <si>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</si>
  <si>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</si>
  <si>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</si>
  <si>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</si>
  <si>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</si>
  <si>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</si>
  <si>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</si>
  <si>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</si>
  <si>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</si>
  <si>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</si>
  <si>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</si>
  <si>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</si>
  <si>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</si>
  <si>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</si>
  <si>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</si>
  <si>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</si>
  <si>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</si>
  <si>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</si>
  <si>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</si>
  <si>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</si>
  <si>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</si>
  <si>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</si>
  <si>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</si>
  <si>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</si>
  <si>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</si>
  <si>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</si>
  <si>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</si>
  <si>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</si>
  <si>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</si>
  <si>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</si>
  <si>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</si>
  <si>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</si>
  <si>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</si>
  <si>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</si>
  <si>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</si>
  <si>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</si>
  <si>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</si>
  <si>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</si>
  <si>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</si>
  <si>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</si>
  <si>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</si>
  <si>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</si>
  <si>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</si>
  <si>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</si>
  <si>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</si>
  <si>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</si>
  <si>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</si>
  <si>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</si>
  <si>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</si>
  <si>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</si>
  <si>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</si>
  <si>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</si>
  <si>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</si>
  <si>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</si>
  <si>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</si>
  <si>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</si>
  <si>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</si>
  <si>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</si>
  <si>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41018</t>
  </si>
  <si>
    <t>GERAARDSBERGEN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</si>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</sst>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268410.65938896203</c:v>
                </c:pt>
                <c:pt idx="1">
                  <c:v>88170.479406669037</c:v>
                </c:pt>
                <c:pt idx="2">
                  <c:v>1998.3320000000001</c:v>
                </c:pt>
                <c:pt idx="3">
                  <c:v>6413.2078453305103</c:v>
                </c:pt>
                <c:pt idx="4">
                  <c:v>18708.336006048874</c:v>
                </c:pt>
                <c:pt idx="5">
                  <c:v>159869.48014901098</c:v>
                </c:pt>
                <c:pt idx="6">
                  <c:v>1934.5718577605073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268410.65938896203</c:v>
                </c:pt>
                <c:pt idx="1">
                  <c:v>88170.479406669037</c:v>
                </c:pt>
                <c:pt idx="2">
                  <c:v>1998.3320000000001</c:v>
                </c:pt>
                <c:pt idx="3">
                  <c:v>6413.2078453305103</c:v>
                </c:pt>
                <c:pt idx="4">
                  <c:v>18708.336006048874</c:v>
                </c:pt>
                <c:pt idx="5">
                  <c:v>159869.48014901098</c:v>
                </c:pt>
                <c:pt idx="6">
                  <c:v>1934.5718577605073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50340.256400485203</c:v>
                </c:pt>
                <c:pt idx="1">
                  <c:v>17718.144756095175</c:v>
                </c:pt>
                <c:pt idx="2">
                  <c:v>397.84558030366992</c:v>
                </c:pt>
                <c:pt idx="3">
                  <c:v>1622.2399579328955</c:v>
                </c:pt>
                <c:pt idx="4">
                  <c:v>3875.3339893273383</c:v>
                </c:pt>
                <c:pt idx="5">
                  <c:v>39695.463351398721</c:v>
                </c:pt>
                <c:pt idx="6">
                  <c:v>489.94355804567556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50340.256400485203</c:v>
                </c:pt>
                <c:pt idx="1">
                  <c:v>17718.144756095175</c:v>
                </c:pt>
                <c:pt idx="2">
                  <c:v>397.84558030366992</c:v>
                </c:pt>
                <c:pt idx="3">
                  <c:v>1622.2399579328955</c:v>
                </c:pt>
                <c:pt idx="4">
                  <c:v>3875.3339893273383</c:v>
                </c:pt>
                <c:pt idx="5">
                  <c:v>39695.463351398721</c:v>
                </c:pt>
                <c:pt idx="6">
                  <c:v>489.94355804567556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41018</v>
      </c>
      <c r="B6" s="392"/>
      <c r="C6" s="393"/>
    </row>
    <row r="7" spans="1:7" s="390" customFormat="1" ht="15.75" customHeight="1">
      <c r="A7" s="394" t="str">
        <f>txtMunicipality</f>
        <v>GERAARDSBERGEN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0.19908883023625198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0.19908883023625198</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14495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4293.99</v>
      </c>
      <c r="C14" s="332"/>
      <c r="D14" s="332"/>
      <c r="E14" s="332"/>
      <c r="F14" s="332"/>
    </row>
    <row r="15" spans="1:6">
      <c r="A15" s="1310" t="s">
        <v>183</v>
      </c>
      <c r="B15" s="1311">
        <v>41</v>
      </c>
      <c r="C15" s="332"/>
      <c r="D15" s="332"/>
      <c r="E15" s="332"/>
      <c r="F15" s="332"/>
    </row>
    <row r="16" spans="1:6">
      <c r="A16" s="1310" t="s">
        <v>6</v>
      </c>
      <c r="B16" s="1311">
        <v>1842</v>
      </c>
      <c r="C16" s="332"/>
      <c r="D16" s="332"/>
      <c r="E16" s="332"/>
      <c r="F16" s="332"/>
    </row>
    <row r="17" spans="1:6">
      <c r="A17" s="1310" t="s">
        <v>7</v>
      </c>
      <c r="B17" s="1311">
        <v>1013</v>
      </c>
      <c r="C17" s="332"/>
      <c r="D17" s="332"/>
      <c r="E17" s="332"/>
      <c r="F17" s="332"/>
    </row>
    <row r="18" spans="1:6">
      <c r="A18" s="1310" t="s">
        <v>8</v>
      </c>
      <c r="B18" s="1311">
        <v>1539</v>
      </c>
      <c r="C18" s="332"/>
      <c r="D18" s="332"/>
      <c r="E18" s="332"/>
      <c r="F18" s="332"/>
    </row>
    <row r="19" spans="1:6">
      <c r="A19" s="1310" t="s">
        <v>9</v>
      </c>
      <c r="B19" s="1311">
        <v>1520</v>
      </c>
      <c r="C19" s="332"/>
      <c r="D19" s="332"/>
      <c r="E19" s="332"/>
      <c r="F19" s="332"/>
    </row>
    <row r="20" spans="1:6">
      <c r="A20" s="1310" t="s">
        <v>10</v>
      </c>
      <c r="B20" s="1311">
        <v>1224</v>
      </c>
      <c r="C20" s="332"/>
      <c r="D20" s="332"/>
      <c r="E20" s="332"/>
      <c r="F20" s="332"/>
    </row>
    <row r="21" spans="1:6">
      <c r="A21" s="1310" t="s">
        <v>11</v>
      </c>
      <c r="B21" s="1311">
        <v>1746</v>
      </c>
      <c r="C21" s="332"/>
      <c r="D21" s="332"/>
      <c r="E21" s="332"/>
      <c r="F21" s="332"/>
    </row>
    <row r="22" spans="1:6">
      <c r="A22" s="1310" t="s">
        <v>12</v>
      </c>
      <c r="B22" s="1311">
        <v>4075</v>
      </c>
      <c r="C22" s="332"/>
      <c r="D22" s="332"/>
      <c r="E22" s="332"/>
      <c r="F22" s="332"/>
    </row>
    <row r="23" spans="1:6">
      <c r="A23" s="1310" t="s">
        <v>13</v>
      </c>
      <c r="B23" s="1311">
        <v>48</v>
      </c>
      <c r="C23" s="332"/>
      <c r="D23" s="332"/>
      <c r="E23" s="332"/>
      <c r="F23" s="332"/>
    </row>
    <row r="24" spans="1:6">
      <c r="A24" s="1310" t="s">
        <v>14</v>
      </c>
      <c r="B24" s="1311">
        <v>3</v>
      </c>
      <c r="C24" s="332"/>
      <c r="D24" s="332"/>
      <c r="E24" s="332"/>
      <c r="F24" s="332"/>
    </row>
    <row r="25" spans="1:6">
      <c r="A25" s="1310" t="s">
        <v>15</v>
      </c>
      <c r="B25" s="1311">
        <v>418</v>
      </c>
      <c r="C25" s="332"/>
      <c r="D25" s="332"/>
      <c r="E25" s="332"/>
      <c r="F25" s="332"/>
    </row>
    <row r="26" spans="1:6">
      <c r="A26" s="1310" t="s">
        <v>16</v>
      </c>
      <c r="B26" s="1311">
        <v>268</v>
      </c>
      <c r="C26" s="332"/>
      <c r="D26" s="332"/>
      <c r="E26" s="332"/>
      <c r="F26" s="332"/>
    </row>
    <row r="27" spans="1:6">
      <c r="A27" s="1310" t="s">
        <v>17</v>
      </c>
      <c r="B27" s="1311">
        <v>12</v>
      </c>
      <c r="C27" s="332"/>
      <c r="D27" s="332"/>
      <c r="E27" s="332"/>
      <c r="F27" s="332"/>
    </row>
    <row r="28" spans="1:6" s="43" customFormat="1">
      <c r="A28" s="1312" t="s">
        <v>18</v>
      </c>
      <c r="B28" s="1313">
        <v>12434</v>
      </c>
      <c r="C28" s="338"/>
      <c r="D28" s="338"/>
      <c r="E28" s="338"/>
      <c r="F28" s="338"/>
    </row>
    <row r="29" spans="1:6">
      <c r="A29" s="1312" t="s">
        <v>699</v>
      </c>
      <c r="B29" s="1313">
        <v>164</v>
      </c>
      <c r="C29" s="338"/>
      <c r="D29" s="338"/>
      <c r="E29" s="338"/>
      <c r="F29" s="338"/>
    </row>
    <row r="30" spans="1:6">
      <c r="A30" s="1305" t="s">
        <v>700</v>
      </c>
      <c r="B30" s="1314">
        <v>22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7</v>
      </c>
      <c r="F36" s="1311">
        <v>38472.991995532</v>
      </c>
    </row>
    <row r="37" spans="1:6">
      <c r="A37" s="1310" t="s">
        <v>24</v>
      </c>
      <c r="B37" s="1310" t="s">
        <v>27</v>
      </c>
      <c r="C37" s="1311">
        <v>0</v>
      </c>
      <c r="D37" s="1311">
        <v>0</v>
      </c>
      <c r="E37" s="1311">
        <v>0</v>
      </c>
      <c r="F37" s="1311">
        <v>0</v>
      </c>
    </row>
    <row r="38" spans="1:6">
      <c r="A38" s="1310" t="s">
        <v>24</v>
      </c>
      <c r="B38" s="1310" t="s">
        <v>28</v>
      </c>
      <c r="C38" s="1311">
        <v>2</v>
      </c>
      <c r="D38" s="1311">
        <v>63529.188415901997</v>
      </c>
      <c r="E38" s="1311">
        <v>2</v>
      </c>
      <c r="F38" s="1311">
        <v>7122.9093250202004</v>
      </c>
    </row>
    <row r="39" spans="1:6">
      <c r="A39" s="1310" t="s">
        <v>29</v>
      </c>
      <c r="B39" s="1310" t="s">
        <v>30</v>
      </c>
      <c r="C39" s="1311">
        <v>8794</v>
      </c>
      <c r="D39" s="1311">
        <v>126320728.187521</v>
      </c>
      <c r="E39" s="1311">
        <v>14233</v>
      </c>
      <c r="F39" s="1311">
        <v>49996152.656949803</v>
      </c>
    </row>
    <row r="40" spans="1:6">
      <c r="A40" s="1310" t="s">
        <v>29</v>
      </c>
      <c r="B40" s="1310" t="s">
        <v>28</v>
      </c>
      <c r="C40" s="1311">
        <v>0</v>
      </c>
      <c r="D40" s="1311">
        <v>0</v>
      </c>
      <c r="E40" s="1311">
        <v>0</v>
      </c>
      <c r="F40" s="1311">
        <v>0</v>
      </c>
    </row>
    <row r="41" spans="1:6">
      <c r="A41" s="1310" t="s">
        <v>31</v>
      </c>
      <c r="B41" s="1310" t="s">
        <v>32</v>
      </c>
      <c r="C41" s="1311">
        <v>127</v>
      </c>
      <c r="D41" s="1311">
        <v>6776287.9197504604</v>
      </c>
      <c r="E41" s="1311">
        <v>293</v>
      </c>
      <c r="F41" s="1311">
        <v>4315310.2954578297</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10</v>
      </c>
      <c r="D44" s="1311">
        <v>778496.87001302303</v>
      </c>
      <c r="E44" s="1311">
        <v>42</v>
      </c>
      <c r="F44" s="1311">
        <v>1054961.59259692</v>
      </c>
    </row>
    <row r="45" spans="1:6">
      <c r="A45" s="1310" t="s">
        <v>31</v>
      </c>
      <c r="B45" s="1310" t="s">
        <v>36</v>
      </c>
      <c r="C45" s="1311">
        <v>8</v>
      </c>
      <c r="D45" s="1311">
        <v>111158.535930549</v>
      </c>
      <c r="E45" s="1311">
        <v>14</v>
      </c>
      <c r="F45" s="1311">
        <v>437434.19088884199</v>
      </c>
    </row>
    <row r="46" spans="1:6">
      <c r="A46" s="1310" t="s">
        <v>31</v>
      </c>
      <c r="B46" s="1310" t="s">
        <v>37</v>
      </c>
      <c r="C46" s="1311">
        <v>0</v>
      </c>
      <c r="D46" s="1311">
        <v>0</v>
      </c>
      <c r="E46" s="1311">
        <v>0</v>
      </c>
      <c r="F46" s="1311">
        <v>0</v>
      </c>
    </row>
    <row r="47" spans="1:6">
      <c r="A47" s="1310" t="s">
        <v>31</v>
      </c>
      <c r="B47" s="1310" t="s">
        <v>38</v>
      </c>
      <c r="C47" s="1311">
        <v>6</v>
      </c>
      <c r="D47" s="1311">
        <v>268616.75036483002</v>
      </c>
      <c r="E47" s="1311">
        <v>6</v>
      </c>
      <c r="F47" s="1311">
        <v>132972.95420248399</v>
      </c>
    </row>
    <row r="48" spans="1:6">
      <c r="A48" s="1310" t="s">
        <v>31</v>
      </c>
      <c r="B48" s="1310" t="s">
        <v>28</v>
      </c>
      <c r="C48" s="1311">
        <v>0</v>
      </c>
      <c r="D48" s="1311">
        <v>0</v>
      </c>
      <c r="E48" s="1311">
        <v>1</v>
      </c>
      <c r="F48" s="1311">
        <v>351461.84025036998</v>
      </c>
    </row>
    <row r="49" spans="1:6">
      <c r="A49" s="1310" t="s">
        <v>31</v>
      </c>
      <c r="B49" s="1310" t="s">
        <v>39</v>
      </c>
      <c r="C49" s="1311">
        <v>5</v>
      </c>
      <c r="D49" s="1311">
        <v>123228.439073538</v>
      </c>
      <c r="E49" s="1311">
        <v>5</v>
      </c>
      <c r="F49" s="1311">
        <v>42056.649801124797</v>
      </c>
    </row>
    <row r="50" spans="1:6">
      <c r="A50" s="1310" t="s">
        <v>31</v>
      </c>
      <c r="B50" s="1310" t="s">
        <v>40</v>
      </c>
      <c r="C50" s="1311">
        <v>22</v>
      </c>
      <c r="D50" s="1311">
        <v>882701.09508727305</v>
      </c>
      <c r="E50" s="1311">
        <v>45</v>
      </c>
      <c r="F50" s="1311">
        <v>1174091.24706218</v>
      </c>
    </row>
    <row r="51" spans="1:6">
      <c r="A51" s="1310" t="s">
        <v>41</v>
      </c>
      <c r="B51" s="1310" t="s">
        <v>42</v>
      </c>
      <c r="C51" s="1311">
        <v>19</v>
      </c>
      <c r="D51" s="1311">
        <v>492890.464460266</v>
      </c>
      <c r="E51" s="1311">
        <v>98</v>
      </c>
      <c r="F51" s="1311">
        <v>1313355.0965951299</v>
      </c>
    </row>
    <row r="52" spans="1:6">
      <c r="A52" s="1310" t="s">
        <v>41</v>
      </c>
      <c r="B52" s="1310" t="s">
        <v>28</v>
      </c>
      <c r="C52" s="1311">
        <v>0</v>
      </c>
      <c r="D52" s="1311">
        <v>0</v>
      </c>
      <c r="E52" s="1311">
        <v>0</v>
      </c>
      <c r="F52" s="1311">
        <v>0</v>
      </c>
    </row>
    <row r="53" spans="1:6">
      <c r="A53" s="1310" t="s">
        <v>43</v>
      </c>
      <c r="B53" s="1310" t="s">
        <v>44</v>
      </c>
      <c r="C53" s="1311">
        <v>289</v>
      </c>
      <c r="D53" s="1311">
        <v>3089080.3548219502</v>
      </c>
      <c r="E53" s="1311">
        <v>576</v>
      </c>
      <c r="F53" s="1311">
        <v>1381398.0606893599</v>
      </c>
    </row>
    <row r="54" spans="1:6">
      <c r="A54" s="1310" t="s">
        <v>45</v>
      </c>
      <c r="B54" s="1310" t="s">
        <v>46</v>
      </c>
      <c r="C54" s="1311">
        <v>0</v>
      </c>
      <c r="D54" s="1311">
        <v>0</v>
      </c>
      <c r="E54" s="1311">
        <v>1</v>
      </c>
      <c r="F54" s="1311">
        <v>1998332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100</v>
      </c>
      <c r="D57" s="1311">
        <v>10929331.6275797</v>
      </c>
      <c r="E57" s="1311">
        <v>217</v>
      </c>
      <c r="F57" s="1311">
        <v>4897309.3248781404</v>
      </c>
    </row>
    <row r="58" spans="1:6">
      <c r="A58" s="1310" t="s">
        <v>48</v>
      </c>
      <c r="B58" s="1310" t="s">
        <v>50</v>
      </c>
      <c r="C58" s="1311">
        <v>63</v>
      </c>
      <c r="D58" s="1311">
        <v>7518513.4834690001</v>
      </c>
      <c r="E58" s="1311">
        <v>81</v>
      </c>
      <c r="F58" s="1311">
        <v>4066772.08299655</v>
      </c>
    </row>
    <row r="59" spans="1:6">
      <c r="A59" s="1310" t="s">
        <v>48</v>
      </c>
      <c r="B59" s="1310" t="s">
        <v>51</v>
      </c>
      <c r="C59" s="1311">
        <v>224</v>
      </c>
      <c r="D59" s="1311">
        <v>10144910.5795151</v>
      </c>
      <c r="E59" s="1311">
        <v>404</v>
      </c>
      <c r="F59" s="1311">
        <v>11653460.891718199</v>
      </c>
    </row>
    <row r="60" spans="1:6">
      <c r="A60" s="1310" t="s">
        <v>48</v>
      </c>
      <c r="B60" s="1310" t="s">
        <v>52</v>
      </c>
      <c r="C60" s="1311">
        <v>146</v>
      </c>
      <c r="D60" s="1311">
        <v>7536082.5557495896</v>
      </c>
      <c r="E60" s="1311">
        <v>209</v>
      </c>
      <c r="F60" s="1311">
        <v>3583342.37611057</v>
      </c>
    </row>
    <row r="61" spans="1:6">
      <c r="A61" s="1310" t="s">
        <v>48</v>
      </c>
      <c r="B61" s="1310" t="s">
        <v>53</v>
      </c>
      <c r="C61" s="1311">
        <v>270</v>
      </c>
      <c r="D61" s="1311">
        <v>11170574.6464373</v>
      </c>
      <c r="E61" s="1311">
        <v>531</v>
      </c>
      <c r="F61" s="1311">
        <v>5626887.5557476403</v>
      </c>
    </row>
    <row r="62" spans="1:6">
      <c r="A62" s="1310" t="s">
        <v>48</v>
      </c>
      <c r="B62" s="1310" t="s">
        <v>54</v>
      </c>
      <c r="C62" s="1311">
        <v>36</v>
      </c>
      <c r="D62" s="1311">
        <v>6025327.4625790296</v>
      </c>
      <c r="E62" s="1311">
        <v>47</v>
      </c>
      <c r="F62" s="1311">
        <v>2598082.2221859898</v>
      </c>
    </row>
    <row r="63" spans="1:6">
      <c r="A63" s="1310" t="s">
        <v>48</v>
      </c>
      <c r="B63" s="1310" t="s">
        <v>28</v>
      </c>
      <c r="C63" s="1311">
        <v>0</v>
      </c>
      <c r="D63" s="1311">
        <v>0</v>
      </c>
      <c r="E63" s="1311">
        <v>1</v>
      </c>
      <c r="F63" s="1311">
        <v>47302.591999999997</v>
      </c>
    </row>
    <row r="64" spans="1:6">
      <c r="A64" s="1310" t="s">
        <v>55</v>
      </c>
      <c r="B64" s="1310" t="s">
        <v>56</v>
      </c>
      <c r="C64" s="1311">
        <v>0</v>
      </c>
      <c r="D64" s="1311">
        <v>0</v>
      </c>
      <c r="E64" s="1311">
        <v>0</v>
      </c>
      <c r="F64" s="1311">
        <v>0</v>
      </c>
    </row>
    <row r="65" spans="1:6">
      <c r="A65" s="1310" t="s">
        <v>55</v>
      </c>
      <c r="B65" s="1310" t="s">
        <v>28</v>
      </c>
      <c r="C65" s="1311">
        <v>1</v>
      </c>
      <c r="D65" s="1311">
        <v>116480.137919374</v>
      </c>
      <c r="E65" s="1311">
        <v>1</v>
      </c>
      <c r="F65" s="1311">
        <v>245.45460728329999</v>
      </c>
    </row>
    <row r="66" spans="1:6">
      <c r="A66" s="1310" t="s">
        <v>55</v>
      </c>
      <c r="B66" s="1310" t="s">
        <v>57</v>
      </c>
      <c r="C66" s="1311">
        <v>3</v>
      </c>
      <c r="D66" s="1311">
        <v>412938.34142294899</v>
      </c>
      <c r="E66" s="1311">
        <v>15</v>
      </c>
      <c r="F66" s="1311">
        <v>569023.18586133595</v>
      </c>
    </row>
    <row r="67" spans="1:6">
      <c r="A67" s="1312" t="s">
        <v>55</v>
      </c>
      <c r="B67" s="1312" t="s">
        <v>58</v>
      </c>
      <c r="C67" s="1311">
        <v>10</v>
      </c>
      <c r="D67" s="1311">
        <v>1202091.96828647</v>
      </c>
      <c r="E67" s="1311">
        <v>101</v>
      </c>
      <c r="F67" s="1311">
        <v>565982.32520983496</v>
      </c>
    </row>
    <row r="68" spans="1:6">
      <c r="A68" s="1305" t="s">
        <v>55</v>
      </c>
      <c r="B68" s="1305" t="s">
        <v>59</v>
      </c>
      <c r="C68" s="1314">
        <v>8</v>
      </c>
      <c r="D68" s="1314">
        <v>200133.21109586899</v>
      </c>
      <c r="E68" s="1314">
        <v>17</v>
      </c>
      <c r="F68" s="1314">
        <v>126819.64603038901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112354604</v>
      </c>
      <c r="E73" s="453"/>
      <c r="F73" s="332"/>
    </row>
    <row r="74" spans="1:6">
      <c r="A74" s="1310" t="s">
        <v>63</v>
      </c>
      <c r="B74" s="1310" t="s">
        <v>648</v>
      </c>
      <c r="C74" s="1324" t="s">
        <v>650</v>
      </c>
      <c r="D74" s="1325">
        <v>12922783.376176834</v>
      </c>
      <c r="E74" s="453"/>
      <c r="F74" s="332"/>
    </row>
    <row r="75" spans="1:6">
      <c r="A75" s="1310" t="s">
        <v>64</v>
      </c>
      <c r="B75" s="1310" t="s">
        <v>647</v>
      </c>
      <c r="C75" s="1324" t="s">
        <v>651</v>
      </c>
      <c r="D75" s="1325">
        <v>54275794</v>
      </c>
      <c r="E75" s="453"/>
      <c r="F75" s="332"/>
    </row>
    <row r="76" spans="1:6">
      <c r="A76" s="1310" t="s">
        <v>64</v>
      </c>
      <c r="B76" s="1310" t="s">
        <v>648</v>
      </c>
      <c r="C76" s="1324" t="s">
        <v>652</v>
      </c>
      <c r="D76" s="1325">
        <v>1314930.3761768346</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536603.24764633097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8081.7474688097427</v>
      </c>
      <c r="C91" s="332"/>
      <c r="D91" s="332"/>
      <c r="E91" s="332"/>
      <c r="F91" s="332"/>
    </row>
    <row r="92" spans="1:6">
      <c r="A92" s="1305" t="s">
        <v>68</v>
      </c>
      <c r="B92" s="1306">
        <v>2116.8602474195964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4938</v>
      </c>
      <c r="C97" s="332"/>
      <c r="D97" s="332"/>
      <c r="E97" s="332"/>
      <c r="F97" s="332"/>
    </row>
    <row r="98" spans="1:6">
      <c r="A98" s="1310" t="s">
        <v>71</v>
      </c>
      <c r="B98" s="1311">
        <v>2</v>
      </c>
      <c r="C98" s="332"/>
      <c r="D98" s="332"/>
      <c r="E98" s="332"/>
      <c r="F98" s="332"/>
    </row>
    <row r="99" spans="1:6">
      <c r="A99" s="1310" t="s">
        <v>72</v>
      </c>
      <c r="B99" s="1311">
        <v>288</v>
      </c>
      <c r="C99" s="332"/>
      <c r="D99" s="332"/>
      <c r="E99" s="332"/>
      <c r="F99" s="332"/>
    </row>
    <row r="100" spans="1:6">
      <c r="A100" s="1310" t="s">
        <v>73</v>
      </c>
      <c r="B100" s="1311">
        <v>1062</v>
      </c>
      <c r="C100" s="332"/>
      <c r="D100" s="332"/>
      <c r="E100" s="332"/>
      <c r="F100" s="332"/>
    </row>
    <row r="101" spans="1:6">
      <c r="A101" s="1310" t="s">
        <v>74</v>
      </c>
      <c r="B101" s="1311">
        <v>192</v>
      </c>
      <c r="C101" s="332"/>
      <c r="D101" s="332"/>
      <c r="E101" s="332"/>
      <c r="F101" s="332"/>
    </row>
    <row r="102" spans="1:6">
      <c r="A102" s="1310" t="s">
        <v>75</v>
      </c>
      <c r="B102" s="1311">
        <v>251</v>
      </c>
      <c r="C102" s="332"/>
      <c r="D102" s="332"/>
      <c r="E102" s="332"/>
      <c r="F102" s="332"/>
    </row>
    <row r="103" spans="1:6">
      <c r="A103" s="1310" t="s">
        <v>76</v>
      </c>
      <c r="B103" s="1311">
        <v>406</v>
      </c>
      <c r="C103" s="332"/>
      <c r="D103" s="332"/>
      <c r="E103" s="332"/>
      <c r="F103" s="332"/>
    </row>
    <row r="104" spans="1:6">
      <c r="A104" s="1310" t="s">
        <v>77</v>
      </c>
      <c r="B104" s="1311">
        <v>5242</v>
      </c>
      <c r="C104" s="332"/>
      <c r="D104" s="332"/>
      <c r="E104" s="332"/>
      <c r="F104" s="332"/>
    </row>
    <row r="105" spans="1:6">
      <c r="A105" s="1305" t="s">
        <v>78</v>
      </c>
      <c r="B105" s="1314">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45</v>
      </c>
      <c r="C123" s="1311">
        <v>52</v>
      </c>
      <c r="D123" s="332"/>
      <c r="E123" s="332"/>
      <c r="F123" s="332"/>
    </row>
    <row r="124" spans="1:6" s="43" customFormat="1">
      <c r="A124" s="1312" t="s">
        <v>88</v>
      </c>
      <c r="B124" s="1333">
        <v>2</v>
      </c>
      <c r="C124" s="1333">
        <v>3</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238</v>
      </c>
      <c r="C129" s="332"/>
      <c r="D129" s="332"/>
      <c r="E129" s="332"/>
      <c r="F129" s="332"/>
    </row>
    <row r="130" spans="1:6">
      <c r="A130" s="1310" t="s">
        <v>294</v>
      </c>
      <c r="B130" s="1311">
        <v>3</v>
      </c>
      <c r="C130" s="332"/>
      <c r="D130" s="332"/>
      <c r="E130" s="332"/>
      <c r="F130" s="332"/>
    </row>
    <row r="131" spans="1:6">
      <c r="A131" s="1310" t="s">
        <v>295</v>
      </c>
      <c r="B131" s="1311">
        <v>0</v>
      </c>
      <c r="C131" s="332"/>
      <c r="D131" s="332"/>
      <c r="E131" s="332"/>
      <c r="F131" s="332"/>
    </row>
    <row r="132" spans="1:6">
      <c r="A132" s="1305" t="s">
        <v>296</v>
      </c>
      <c r="B132" s="1306">
        <v>42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102864.99212907111</v>
      </c>
      <c r="C3" s="43" t="s">
        <v>169</v>
      </c>
      <c r="D3" s="43"/>
      <c r="E3" s="154"/>
      <c r="F3" s="43"/>
      <c r="G3" s="43"/>
      <c r="H3" s="43"/>
      <c r="I3" s="43"/>
      <c r="J3" s="43"/>
      <c r="K3" s="96"/>
    </row>
    <row r="4" spans="1:11">
      <c r="A4" s="360" t="s">
        <v>170</v>
      </c>
      <c r="B4" s="49">
        <f>IF(ISERROR('SEAP template'!B78+'SEAP template'!C78),0,'SEAP template'!B78+'SEAP template'!C78)</f>
        <v>10198.607716229339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0.19908883023625198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1998.3320000000001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1998.3320000000001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0.19908883023625198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397.84558030366992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49996.152656949802</v>
      </c>
      <c r="C5" s="17">
        <f>IF(ISERROR('Eigen informatie GS &amp; warmtenet'!B59),0,'Eigen informatie GS &amp; warmtenet'!B59)</f>
        <v>0</v>
      </c>
      <c r="D5" s="30">
        <f>(SUM(HH_hh_gas_kWh,HH_rest_gas_kWh)/1000)*0.903</f>
        <v>114067.61755333147</v>
      </c>
      <c r="E5" s="17">
        <f>B46*B57</f>
        <v>25656.778399340612</v>
      </c>
      <c r="F5" s="17">
        <f>B51*B62</f>
        <v>36743.185843180174</v>
      </c>
      <c r="G5" s="18"/>
      <c r="H5" s="17"/>
      <c r="I5" s="17"/>
      <c r="J5" s="17">
        <f>B50*B61+C50*C61</f>
        <v>286.48909411716329</v>
      </c>
      <c r="K5" s="17"/>
      <c r="L5" s="17"/>
      <c r="M5" s="17"/>
      <c r="N5" s="17">
        <f>B48*B59+C48*C59</f>
        <v>32059.866236568734</v>
      </c>
      <c r="O5" s="17">
        <f>B69*B70*B71</f>
        <v>581.29975828040028</v>
      </c>
      <c r="P5" s="17">
        <f>B77*B78*B79/1000-B77*B78*B79/1000/B80</f>
        <v>937.52237838396695</v>
      </c>
    </row>
    <row r="6" spans="1:16">
      <c r="A6" s="16" t="s">
        <v>612</v>
      </c>
      <c r="B6" s="786">
        <f>kWh_PV_kleiner_dan_10kW</f>
        <v>8081.7474688097427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58077.900125759545</v>
      </c>
      <c r="C8" s="21">
        <f>C5</f>
        <v>0</v>
      </c>
      <c r="D8" s="21">
        <f>D5</f>
        <v>114067.61755333147</v>
      </c>
      <c r="E8" s="21">
        <f>E5</f>
        <v>25656.778399340612</v>
      </c>
      <c r="F8" s="21">
        <f>F5</f>
        <v>36743.185843180174</v>
      </c>
      <c r="G8" s="21"/>
      <c r="H8" s="21"/>
      <c r="I8" s="21"/>
      <c r="J8" s="21">
        <f>J5</f>
        <v>286.48909411716329</v>
      </c>
      <c r="K8" s="21"/>
      <c r="L8" s="21">
        <f>L5</f>
        <v>0</v>
      </c>
      <c r="M8" s="21">
        <f>M5</f>
        <v>0</v>
      </c>
      <c r="N8" s="21">
        <f>N5</f>
        <v>32059.866236568734</v>
      </c>
      <c r="O8" s="21">
        <f>O5</f>
        <v>581.29975828040028</v>
      </c>
      <c r="P8" s="21">
        <f>P5</f>
        <v>937.52237838396695</v>
      </c>
    </row>
    <row r="9" spans="1:16">
      <c r="B9" s="19"/>
      <c r="C9" s="19"/>
      <c r="D9" s="258"/>
      <c r="E9" s="19"/>
      <c r="F9" s="19"/>
      <c r="G9" s="19"/>
      <c r="H9" s="19"/>
      <c r="I9" s="19"/>
      <c r="J9" s="19"/>
      <c r="K9" s="19"/>
      <c r="L9" s="19"/>
      <c r="M9" s="19"/>
      <c r="N9" s="19"/>
      <c r="O9" s="19"/>
      <c r="P9" s="19"/>
    </row>
    <row r="10" spans="1:16">
      <c r="A10" s="24" t="s">
        <v>213</v>
      </c>
      <c r="B10" s="25">
        <f ca="1">'EF ele_warmte'!B12</f>
        <v>0.19908883023625198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11562.66119861534</v>
      </c>
      <c r="C12" s="23">
        <f ca="1">C10*C8</f>
        <v>0</v>
      </c>
      <c r="D12" s="23">
        <f>D8*D10</f>
        <v>23041.658745772958</v>
      </c>
      <c r="E12" s="23">
        <f>E10*E8</f>
        <v>5824.0886966503194</v>
      </c>
      <c r="F12" s="23">
        <f>F10*F8</f>
        <v>9810.4306201291074</v>
      </c>
      <c r="G12" s="23"/>
      <c r="H12" s="23"/>
      <c r="I12" s="23"/>
      <c r="J12" s="23">
        <f>J10*J8</f>
        <v>101.4171393174758</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4938</v>
      </c>
      <c r="C18" s="166" t="s">
        <v>110</v>
      </c>
      <c r="D18" s="228"/>
      <c r="E18" s="15"/>
    </row>
    <row r="19" spans="1:7">
      <c r="A19" s="171" t="s">
        <v>71</v>
      </c>
      <c r="B19" s="37">
        <f>aantalw2001_ander</f>
        <v>2</v>
      </c>
      <c r="C19" s="166" t="s">
        <v>110</v>
      </c>
      <c r="D19" s="229"/>
      <c r="E19" s="15"/>
    </row>
    <row r="20" spans="1:7">
      <c r="A20" s="171" t="s">
        <v>72</v>
      </c>
      <c r="B20" s="37">
        <f>aantalw2001_propaan</f>
        <v>288</v>
      </c>
      <c r="C20" s="167">
        <f>IF(ISERROR(B20/SUM($B$20,$B$21,$B$22)*100),0,B20/SUM($B$20,$B$21,$B$22)*100)</f>
        <v>18.677042801556421</v>
      </c>
      <c r="D20" s="229"/>
      <c r="E20" s="15"/>
    </row>
    <row r="21" spans="1:7">
      <c r="A21" s="171" t="s">
        <v>73</v>
      </c>
      <c r="B21" s="37">
        <f>aantalw2001_elektriciteit</f>
        <v>1062</v>
      </c>
      <c r="C21" s="167">
        <f>IF(ISERROR(B21/SUM($B$20,$B$21,$B$22)*100),0,B21/SUM($B$20,$B$21,$B$22)*100)</f>
        <v>68.871595330739297</v>
      </c>
      <c r="D21" s="229"/>
      <c r="E21" s="15"/>
    </row>
    <row r="22" spans="1:7">
      <c r="A22" s="171" t="s">
        <v>74</v>
      </c>
      <c r="B22" s="37">
        <f>aantalw2001_hout</f>
        <v>192</v>
      </c>
      <c r="C22" s="167">
        <f>IF(ISERROR(B22/SUM($B$20,$B$21,$B$22)*100),0,B22/SUM($B$20,$B$21,$B$22)*100)</f>
        <v>12.45136186770428</v>
      </c>
      <c r="D22" s="229"/>
      <c r="E22" s="15"/>
    </row>
    <row r="23" spans="1:7">
      <c r="A23" s="171" t="s">
        <v>75</v>
      </c>
      <c r="B23" s="37">
        <f>aantalw2001_niet_gespec</f>
        <v>251</v>
      </c>
      <c r="C23" s="166" t="s">
        <v>110</v>
      </c>
      <c r="D23" s="228"/>
      <c r="E23" s="15"/>
    </row>
    <row r="24" spans="1:7">
      <c r="A24" s="171" t="s">
        <v>76</v>
      </c>
      <c r="B24" s="37">
        <f>aantalw2001_steenkool</f>
        <v>406</v>
      </c>
      <c r="C24" s="166" t="s">
        <v>110</v>
      </c>
      <c r="D24" s="229"/>
      <c r="E24" s="15"/>
    </row>
    <row r="25" spans="1:7">
      <c r="A25" s="171" t="s">
        <v>77</v>
      </c>
      <c r="B25" s="37">
        <f>aantalw2001_stookolie</f>
        <v>5242</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838</v>
      </c>
      <c r="B28" s="37">
        <f>aantalHuishoudens</f>
        <v>14495</v>
      </c>
      <c r="C28" s="36"/>
      <c r="D28" s="228"/>
    </row>
    <row r="29" spans="1:7" s="15" customFormat="1">
      <c r="A29" s="230" t="s">
        <v>839</v>
      </c>
      <c r="B29" s="37">
        <f>SUM(HH_hh_gas_aantal,HH_rest_gas_aantal)</f>
        <v>8794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8794</v>
      </c>
      <c r="C32" s="167">
        <f>IF(ISERROR(B32/SUM($B$32,$B$34,$B$35,$B$36,$B$38,$B$39)*100),0,B32/SUM($B$32,$B$34,$B$35,$B$36,$B$38,$B$39)*100)</f>
        <v>61.044009440510891</v>
      </c>
      <c r="D32" s="233"/>
      <c r="G32" s="15"/>
    </row>
    <row r="33" spans="1:7">
      <c r="A33" s="171" t="s">
        <v>71</v>
      </c>
      <c r="B33" s="34" t="s">
        <v>110</v>
      </c>
      <c r="C33" s="167"/>
      <c r="D33" s="233"/>
      <c r="G33" s="15"/>
    </row>
    <row r="34" spans="1:7">
      <c r="A34" s="171" t="s">
        <v>72</v>
      </c>
      <c r="B34" s="33">
        <f>IF((($B$28-$B$32-$B$39-$B$77-$B$38)*C20/100)&lt;0,0,($B$28-$B$32-$B$39-$B$77-$B$38)*C20/100)</f>
        <v>713.46303501945522</v>
      </c>
      <c r="C34" s="167">
        <f>IF(ISERROR(B34/SUM($B$32,$B$34,$B$35,$B$36,$B$38,$B$39)*100),0,B34/SUM($B$32,$B$34,$B$35,$B$36,$B$38,$B$39)*100)</f>
        <v>4.9525408511693412</v>
      </c>
      <c r="D34" s="233"/>
      <c r="G34" s="15"/>
    </row>
    <row r="35" spans="1:7">
      <c r="A35" s="171" t="s">
        <v>73</v>
      </c>
      <c r="B35" s="33">
        <f>IF((($B$28-$B$32-$B$39-$B$77-$B$38)*C21/100)&lt;0,0,($B$28-$B$32-$B$39-$B$77-$B$38)*C21/100)</f>
        <v>2630.8949416342411</v>
      </c>
      <c r="C35" s="167">
        <f>IF(ISERROR(B35/SUM($B$32,$B$34,$B$35,$B$36,$B$38,$B$39)*100),0,B35/SUM($B$32,$B$34,$B$35,$B$36,$B$38,$B$39)*100)</f>
        <v>18.262494388686946</v>
      </c>
      <c r="D35" s="233"/>
      <c r="G35" s="15"/>
    </row>
    <row r="36" spans="1:7">
      <c r="A36" s="171" t="s">
        <v>74</v>
      </c>
      <c r="B36" s="33">
        <f>IF((($B$28-$B$32-$B$39-$B$77-$B$38)*C22/100)&lt;0,0,($B$28-$B$32-$B$39-$B$77-$B$38)*C22/100)</f>
        <v>475.64202334630352</v>
      </c>
      <c r="C36" s="167">
        <f>IF(ISERROR(B36/SUM($B$32,$B$34,$B$35,$B$36,$B$38,$B$39)*100),0,B36/SUM($B$32,$B$34,$B$35,$B$36,$B$38,$B$39)*100)</f>
        <v>3.3016939007795605</v>
      </c>
      <c r="D36" s="233"/>
      <c r="G36" s="15"/>
    </row>
    <row r="37" spans="1:7">
      <c r="A37" s="171" t="s">
        <v>75</v>
      </c>
      <c r="B37" s="34" t="s">
        <v>110</v>
      </c>
      <c r="C37" s="167"/>
      <c r="D37" s="173"/>
      <c r="G37" s="15"/>
    </row>
    <row r="38" spans="1:7">
      <c r="A38" s="171" t="s">
        <v>76</v>
      </c>
      <c r="B38" s="33">
        <f>IF((B24-(B29-B18)*0.1)&lt;0,0,B24-(B29-B18)*0.1)</f>
        <v>20.399999999999977</v>
      </c>
      <c r="C38" s="167">
        <f>IF(ISERROR(B38/SUM($B$32,$B$34,$B$35,$B$36,$B$38,$B$39)*100),0,B38/SUM($B$32,$B$34,$B$35,$B$36,$B$38,$B$39)*100)</f>
        <v>0.14160766347355253</v>
      </c>
      <c r="D38" s="234"/>
      <c r="G38" s="15"/>
    </row>
    <row r="39" spans="1:7">
      <c r="A39" s="171" t="s">
        <v>77</v>
      </c>
      <c r="B39" s="33">
        <f>IF((B25-(B29-B18))&lt;0,0,B25-(B29-B18)*0.9)</f>
        <v>1771.6</v>
      </c>
      <c r="C39" s="167">
        <f>IF(ISERROR(B39/SUM($B$32,$B$34,$B$35,$B$36,$B$38,$B$39)*100),0,B39/SUM($B$32,$B$34,$B$35,$B$36,$B$38,$B$39)*100)</f>
        <v>12.297653755379702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8794</v>
      </c>
      <c r="C44" s="34" t="s">
        <v>110</v>
      </c>
      <c r="D44" s="174"/>
    </row>
    <row r="45" spans="1:7">
      <c r="A45" s="171" t="s">
        <v>71</v>
      </c>
      <c r="B45" s="33" t="str">
        <f t="shared" si="0"/>
        <v>-</v>
      </c>
      <c r="C45" s="34" t="s">
        <v>110</v>
      </c>
      <c r="D45" s="174"/>
    </row>
    <row r="46" spans="1:7">
      <c r="A46" s="171" t="s">
        <v>72</v>
      </c>
      <c r="B46" s="33">
        <f t="shared" si="0"/>
        <v>713.46303501945522</v>
      </c>
      <c r="C46" s="34" t="s">
        <v>110</v>
      </c>
      <c r="D46" s="174"/>
    </row>
    <row r="47" spans="1:7">
      <c r="A47" s="171" t="s">
        <v>73</v>
      </c>
      <c r="B47" s="33">
        <f t="shared" si="0"/>
        <v>2630.8949416342411</v>
      </c>
      <c r="C47" s="34" t="s">
        <v>110</v>
      </c>
      <c r="D47" s="174"/>
    </row>
    <row r="48" spans="1:7">
      <c r="A48" s="171" t="s">
        <v>74</v>
      </c>
      <c r="B48" s="33">
        <f t="shared" si="0"/>
        <v>475.64202334630352</v>
      </c>
      <c r="C48" s="33">
        <f>B48*10</f>
        <v>4756.4202334630354</v>
      </c>
      <c r="D48" s="234"/>
    </row>
    <row r="49" spans="1:6">
      <c r="A49" s="171" t="s">
        <v>75</v>
      </c>
      <c r="B49" s="33" t="str">
        <f t="shared" si="0"/>
        <v>-</v>
      </c>
      <c r="C49" s="34" t="s">
        <v>110</v>
      </c>
      <c r="D49" s="234"/>
    </row>
    <row r="50" spans="1:6">
      <c r="A50" s="171" t="s">
        <v>76</v>
      </c>
      <c r="B50" s="33">
        <f t="shared" si="0"/>
        <v>20.399999999999977</v>
      </c>
      <c r="C50" s="33">
        <f>B50*2</f>
        <v>40.799999999999955</v>
      </c>
      <c r="D50" s="234"/>
    </row>
    <row r="51" spans="1:6">
      <c r="A51" s="171" t="s">
        <v>77</v>
      </c>
      <c r="B51" s="33">
        <f t="shared" si="0"/>
        <v>1771.6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293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32473.15704563709</v>
      </c>
      <c r="C5" s="17">
        <f>IF(ISERROR('Eigen informatie GS &amp; warmtenet'!B60),0,'Eigen informatie GS &amp; warmtenet'!B60)</f>
        <v>0</v>
      </c>
      <c r="D5" s="30">
        <f>SUM(D6:D12)</f>
        <v>48152.240540862738</v>
      </c>
      <c r="E5" s="17">
        <f>SUM(E6:E12)</f>
        <v>112.63180935831805</v>
      </c>
      <c r="F5" s="17">
        <f>SUM(F6:F12)</f>
        <v>5620.8417257925294</v>
      </c>
      <c r="G5" s="18"/>
      <c r="H5" s="17"/>
      <c r="I5" s="17"/>
      <c r="J5" s="17">
        <f>SUM(J6:J12)</f>
        <v>4.846055357867772E-2</v>
      </c>
      <c r="K5" s="17"/>
      <c r="L5" s="17"/>
      <c r="M5" s="17"/>
      <c r="N5" s="17">
        <f>SUM(N6:N12)</f>
        <v>1796.8680421672514</v>
      </c>
      <c r="O5" s="17">
        <f>B38*B39*B40</f>
        <v>14.691782297523464</v>
      </c>
      <c r="P5" s="17">
        <f>B46*B47*B48/1000-B46*B47*B48/1000/B49</f>
        <v>0</v>
      </c>
      <c r="R5" s="32"/>
    </row>
    <row r="6" spans="1:18">
      <c r="A6" s="32" t="s">
        <v>53</v>
      </c>
      <c r="B6" s="37">
        <f>B26</f>
        <v>5626.8875557476404</v>
      </c>
      <c r="C6" s="33"/>
      <c r="D6" s="37">
        <f>IF(ISERROR(TER_kantoor_gas_kWh/1000),0,TER_kantoor_gas_kWh/1000)*0.903</f>
        <v>10087.028905732883</v>
      </c>
      <c r="E6" s="33">
        <f>$C$26*'E Balans VL '!I12/100/3.6*1000000</f>
        <v>1.348068509383574</v>
      </c>
      <c r="F6" s="33">
        <f>$C$26*('E Balans VL '!L12+'E Balans VL '!N12)/100/3.6*1000000</f>
        <v>533.59113795556129</v>
      </c>
      <c r="G6" s="34"/>
      <c r="H6" s="33"/>
      <c r="I6" s="33"/>
      <c r="J6" s="33">
        <f>$C$26*('E Balans VL '!D12+'E Balans VL '!E12)/100/3.6*1000000</f>
        <v>0</v>
      </c>
      <c r="K6" s="33"/>
      <c r="L6" s="33"/>
      <c r="M6" s="33"/>
      <c r="N6" s="33">
        <f>$C$26*'E Balans VL '!Y12/100/3.6*1000000</f>
        <v>2.8581678348994246</v>
      </c>
      <c r="O6" s="33"/>
      <c r="P6" s="33"/>
      <c r="R6" s="32"/>
    </row>
    <row r="7" spans="1:18">
      <c r="A7" s="32" t="s">
        <v>52</v>
      </c>
      <c r="B7" s="37">
        <f t="shared" ref="B7:B12" si="0">B27</f>
        <v>3583.3423761105701</v>
      </c>
      <c r="C7" s="33"/>
      <c r="D7" s="37">
        <f>IF(ISERROR(TER_horeca_gas_kWh/1000),0,TER_horeca_gas_kWh/1000)*0.903</f>
        <v>6805.0825478418801</v>
      </c>
      <c r="E7" s="33">
        <f>$C$27*'E Balans VL '!I9/100/3.6*1000000</f>
        <v>0</v>
      </c>
      <c r="F7" s="33">
        <f>$C$27*('E Balans VL '!L9+'E Balans VL '!N9)/100/3.6*1000000</f>
        <v>293.82565151649095</v>
      </c>
      <c r="G7" s="34"/>
      <c r="H7" s="33"/>
      <c r="I7" s="33"/>
      <c r="J7" s="33">
        <f>$C$27*('E Balans VL '!D9+'E Balans VL '!E9)/100/3.6*1000000</f>
        <v>0</v>
      </c>
      <c r="K7" s="33"/>
      <c r="L7" s="33"/>
      <c r="M7" s="33"/>
      <c r="N7" s="33">
        <f>$C$27*'E Balans VL '!Y9/100/3.6*1000000</f>
        <v>1.0984384064168486</v>
      </c>
      <c r="O7" s="33"/>
      <c r="P7" s="33"/>
      <c r="R7" s="32"/>
    </row>
    <row r="8" spans="1:18">
      <c r="A8" s="6" t="s">
        <v>51</v>
      </c>
      <c r="B8" s="37">
        <f t="shared" si="0"/>
        <v>11653.460891718199</v>
      </c>
      <c r="C8" s="33"/>
      <c r="D8" s="37">
        <f>IF(ISERROR(TER_handel_gas_kWh/1000),0,TER_handel_gas_kWh/1000)*0.903</f>
        <v>9160.8542533021355</v>
      </c>
      <c r="E8" s="33">
        <f>$C$28*'E Balans VL '!I13/100/3.6*1000000</f>
        <v>40.955545799186055</v>
      </c>
      <c r="F8" s="33">
        <f>$C$28*('E Balans VL '!L13+'E Balans VL '!N13)/100/3.6*1000000</f>
        <v>1066.2707439295564</v>
      </c>
      <c r="G8" s="34"/>
      <c r="H8" s="33"/>
      <c r="I8" s="33"/>
      <c r="J8" s="33">
        <f>$C$28*('E Balans VL '!D13+'E Balans VL '!E13)/100/3.6*1000000</f>
        <v>0</v>
      </c>
      <c r="K8" s="33"/>
      <c r="L8" s="33"/>
      <c r="M8" s="33"/>
      <c r="N8" s="33">
        <f>$C$28*'E Balans VL '!Y13/100/3.6*1000000</f>
        <v>4.2203818347129936</v>
      </c>
      <c r="O8" s="33"/>
      <c r="P8" s="33"/>
      <c r="R8" s="32"/>
    </row>
    <row r="9" spans="1:18">
      <c r="A9" s="32" t="s">
        <v>50</v>
      </c>
      <c r="B9" s="37">
        <f t="shared" si="0"/>
        <v>4066.7720829965501</v>
      </c>
      <c r="C9" s="33"/>
      <c r="D9" s="37">
        <f>IF(ISERROR(TER_gezond_gas_kWh/1000),0,TER_gezond_gas_kWh/1000)*0.903</f>
        <v>6789.2176755725068</v>
      </c>
      <c r="E9" s="33">
        <f>$C$29*'E Balans VL '!I10/100/3.6*1000000</f>
        <v>0</v>
      </c>
      <c r="F9" s="33">
        <f>$C$29*('E Balans VL '!L10+'E Balans VL '!N10)/100/3.6*1000000</f>
        <v>498.51157944995145</v>
      </c>
      <c r="G9" s="34"/>
      <c r="H9" s="33"/>
      <c r="I9" s="33"/>
      <c r="J9" s="33">
        <f>$C$29*('E Balans VL '!D10+'E Balans VL '!E10)/100/3.6*1000000</f>
        <v>0</v>
      </c>
      <c r="K9" s="33"/>
      <c r="L9" s="33"/>
      <c r="M9" s="33"/>
      <c r="N9" s="33">
        <f>$C$29*'E Balans VL '!Y10/100/3.6*1000000</f>
        <v>29.989610162309347</v>
      </c>
      <c r="O9" s="33"/>
      <c r="P9" s="33"/>
      <c r="R9" s="32"/>
    </row>
    <row r="10" spans="1:18">
      <c r="A10" s="32" t="s">
        <v>49</v>
      </c>
      <c r="B10" s="37">
        <f t="shared" si="0"/>
        <v>4897.3093248781406</v>
      </c>
      <c r="C10" s="33"/>
      <c r="D10" s="37">
        <f>IF(ISERROR(TER_ander_gas_kWh/1000),0,TER_ander_gas_kWh/1000)*0.903</f>
        <v>9869.1864597044696</v>
      </c>
      <c r="E10" s="33">
        <f>$C$30*'E Balans VL '!I14/100/3.6*1000000</f>
        <v>70.140279280766066</v>
      </c>
      <c r="F10" s="33">
        <f>$C$30*('E Balans VL '!L14+'E Balans VL '!N14)/100/3.6*1000000</f>
        <v>2915.5347578007204</v>
      </c>
      <c r="G10" s="34"/>
      <c r="H10" s="33"/>
      <c r="I10" s="33"/>
      <c r="J10" s="33">
        <f>$C$30*('E Balans VL '!D14+'E Balans VL '!E14)/100/3.6*1000000</f>
        <v>4.8364945901365398E-2</v>
      </c>
      <c r="K10" s="33"/>
      <c r="L10" s="33"/>
      <c r="M10" s="33"/>
      <c r="N10" s="33">
        <f>$C$30*'E Balans VL '!Y14/100/3.6*1000000</f>
        <v>1747.8837109563187</v>
      </c>
      <c r="O10" s="33"/>
      <c r="P10" s="33"/>
      <c r="R10" s="32"/>
    </row>
    <row r="11" spans="1:18">
      <c r="A11" s="32" t="s">
        <v>54</v>
      </c>
      <c r="B11" s="37">
        <f t="shared" si="0"/>
        <v>2598.0822221859898</v>
      </c>
      <c r="C11" s="33"/>
      <c r="D11" s="37">
        <f>IF(ISERROR(TER_onderwijs_gas_kWh/1000),0,TER_onderwijs_gas_kWh/1000)*0.903</f>
        <v>5440.8706987088644</v>
      </c>
      <c r="E11" s="33">
        <f>$C$31*'E Balans VL '!I11/100/3.6*1000000</f>
        <v>0</v>
      </c>
      <c r="F11" s="33">
        <f>$C$31*('E Balans VL '!L11+'E Balans VL '!N11)/100/3.6*1000000</f>
        <v>303.74675080910197</v>
      </c>
      <c r="G11" s="34"/>
      <c r="H11" s="33"/>
      <c r="I11" s="33"/>
      <c r="J11" s="33">
        <f>$C$31*('E Balans VL '!D11+'E Balans VL '!E11)/100/3.6*1000000</f>
        <v>0</v>
      </c>
      <c r="K11" s="33"/>
      <c r="L11" s="33"/>
      <c r="M11" s="33"/>
      <c r="N11" s="33">
        <f>$C$31*'E Balans VL '!Y11/100/3.6*1000000</f>
        <v>7.3159011967315521</v>
      </c>
      <c r="O11" s="33"/>
      <c r="P11" s="33"/>
      <c r="R11" s="32"/>
    </row>
    <row r="12" spans="1:18">
      <c r="A12" s="32" t="s">
        <v>259</v>
      </c>
      <c r="B12" s="37">
        <f t="shared" si="0"/>
        <v>47.302591999999997</v>
      </c>
      <c r="C12" s="33"/>
      <c r="D12" s="37">
        <f>IF(ISERROR(TER_rest_gas_kWh/1000),0,TER_rest_gas_kWh/1000)*0.903</f>
        <v>0</v>
      </c>
      <c r="E12" s="33">
        <f>$C$32*'E Balans VL '!I8/100/3.6*1000000</f>
        <v>0.18791576898236093</v>
      </c>
      <c r="F12" s="33">
        <f>$C$32*('E Balans VL '!L8+'E Balans VL '!N8)/100/3.6*1000000</f>
        <v>9.3611043311465441</v>
      </c>
      <c r="G12" s="34"/>
      <c r="H12" s="33"/>
      <c r="I12" s="33"/>
      <c r="J12" s="33">
        <f>$C$32*('E Balans VL '!D8+'E Balans VL '!E8)/100/3.6*1000000</f>
        <v>9.5607677312318828E-5</v>
      </c>
      <c r="K12" s="33"/>
      <c r="L12" s="33"/>
      <c r="M12" s="33"/>
      <c r="N12" s="33">
        <f>$C$32*'E Balans VL '!Y8/100/3.6*1000000</f>
        <v>3.5018317758624224</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32473.15704563709</v>
      </c>
      <c r="C16" s="21">
        <f t="shared" ca="1" si="1"/>
        <v>0</v>
      </c>
      <c r="D16" s="21">
        <f t="shared" ca="1" si="1"/>
        <v>48152.240540862738</v>
      </c>
      <c r="E16" s="21">
        <f t="shared" si="1"/>
        <v>112.63180935831805</v>
      </c>
      <c r="F16" s="21">
        <f t="shared" ca="1" si="1"/>
        <v>5620.8417257925294</v>
      </c>
      <c r="G16" s="21">
        <f t="shared" si="1"/>
        <v>0</v>
      </c>
      <c r="H16" s="21">
        <f t="shared" si="1"/>
        <v>0</v>
      </c>
      <c r="I16" s="21">
        <f t="shared" si="1"/>
        <v>0</v>
      </c>
      <c r="J16" s="21">
        <f t="shared" si="1"/>
        <v>4.846055357867772E-2</v>
      </c>
      <c r="K16" s="21">
        <f t="shared" si="1"/>
        <v>0</v>
      </c>
      <c r="L16" s="21">
        <f t="shared" ca="1" si="1"/>
        <v>0</v>
      </c>
      <c r="M16" s="21">
        <f t="shared" si="1"/>
        <v>0</v>
      </c>
      <c r="N16" s="21">
        <f t="shared" ca="1" si="1"/>
        <v>1796.8680421672514</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0.19908883023625198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6465.0428502939931</v>
      </c>
      <c r="C20" s="23">
        <f t="shared" ref="C20:P20" ca="1" si="2">C16*C18</f>
        <v>0</v>
      </c>
      <c r="D20" s="23">
        <f t="shared" ca="1" si="2"/>
        <v>9726.7525892542744</v>
      </c>
      <c r="E20" s="23">
        <f t="shared" si="2"/>
        <v>25.567420724338199</v>
      </c>
      <c r="F20" s="23">
        <f t="shared" ca="1" si="2"/>
        <v>1500.7647407866054</v>
      </c>
      <c r="G20" s="23">
        <f t="shared" si="2"/>
        <v>0</v>
      </c>
      <c r="H20" s="23">
        <f t="shared" si="2"/>
        <v>0</v>
      </c>
      <c r="I20" s="23">
        <f t="shared" si="2"/>
        <v>0</v>
      </c>
      <c r="J20" s="23">
        <f t="shared" si="2"/>
        <v>1.7155035966851914E-2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5626.8875557476404</v>
      </c>
      <c r="C26" s="39">
        <f>IF(ISERROR(B26*3.6/1000000/'E Balans VL '!Z12*100),0,B26*3.6/1000000/'E Balans VL '!Z12*100)</f>
        <v>0.15869312982475886</v>
      </c>
      <c r="D26" s="237" t="s">
        <v>702</v>
      </c>
      <c r="F26" s="6"/>
    </row>
    <row r="27" spans="1:18">
      <c r="A27" s="231" t="s">
        <v>52</v>
      </c>
      <c r="B27" s="33">
        <f>IF(ISERROR(TER_horeca_ele_kWh/1000),0,TER_horeca_ele_kWh/1000)</f>
        <v>3583.3423761105701</v>
      </c>
      <c r="C27" s="39">
        <f>IF(ISERROR(B27*3.6/1000000/'E Balans VL '!Z9*100),0,B27*3.6/1000000/'E Balans VL '!Z9*100)</f>
        <v>0.2656608169841026</v>
      </c>
      <c r="D27" s="237" t="s">
        <v>702</v>
      </c>
      <c r="F27" s="6"/>
    </row>
    <row r="28" spans="1:18">
      <c r="A28" s="171" t="s">
        <v>51</v>
      </c>
      <c r="B28" s="33">
        <f>IF(ISERROR(TER_handel_ele_kWh/1000),0,TER_handel_ele_kWh/1000)</f>
        <v>11653.460891718199</v>
      </c>
      <c r="C28" s="39">
        <f>IF(ISERROR(B28*3.6/1000000/'E Balans VL '!Z13*100),0,B28*3.6/1000000/'E Balans VL '!Z13*100)</f>
        <v>0.34910998117813907</v>
      </c>
      <c r="D28" s="237" t="s">
        <v>702</v>
      </c>
      <c r="F28" s="6"/>
    </row>
    <row r="29" spans="1:18">
      <c r="A29" s="231" t="s">
        <v>50</v>
      </c>
      <c r="B29" s="33">
        <f>IF(ISERROR(TER_gezond_ele_kWh/1000),0,TER_gezond_ele_kWh/1000)</f>
        <v>4066.7720829965501</v>
      </c>
      <c r="C29" s="39">
        <f>IF(ISERROR(B29*3.6/1000000/'E Balans VL '!Z10*100),0,B29*3.6/1000000/'E Balans VL '!Z10*100)</f>
        <v>0.40212401753033833</v>
      </c>
      <c r="D29" s="237" t="s">
        <v>702</v>
      </c>
      <c r="F29" s="6"/>
    </row>
    <row r="30" spans="1:18">
      <c r="A30" s="231" t="s">
        <v>49</v>
      </c>
      <c r="B30" s="33">
        <f>IF(ISERROR(TER_ander_ele_kWh/1000),0,TER_ander_ele_kWh/1000)</f>
        <v>4897.3093248781406</v>
      </c>
      <c r="C30" s="39">
        <f>IF(ISERROR(B30*3.6/1000000/'E Balans VL '!Z14*100),0,B30*3.6/1000000/'E Balans VL '!Z14*100)</f>
        <v>0.19808168969842485</v>
      </c>
      <c r="D30" s="237" t="s">
        <v>702</v>
      </c>
      <c r="F30" s="6"/>
    </row>
    <row r="31" spans="1:18">
      <c r="A31" s="231" t="s">
        <v>54</v>
      </c>
      <c r="B31" s="33">
        <f>IF(ISERROR(TER_onderwijs_ele_kWh/1000),0,TER_onderwijs_ele_kWh/1000)</f>
        <v>2598.0822221859898</v>
      </c>
      <c r="C31" s="39">
        <f>IF(ISERROR(B31*3.6/1000000/'E Balans VL '!Z11*100),0,B31*3.6/1000000/'E Balans VL '!Z11*100)</f>
        <v>0.71380681261487655</v>
      </c>
      <c r="D31" s="237" t="s">
        <v>702</v>
      </c>
    </row>
    <row r="32" spans="1:18">
      <c r="A32" s="231" t="s">
        <v>259</v>
      </c>
      <c r="B32" s="33">
        <f>IF(ISERROR(TER_rest_ele_kWh/1000),0,TER_rest_ele_kWh/1000)</f>
        <v>47.302591999999997</v>
      </c>
      <c r="C32" s="39">
        <f>IF(ISERROR(B32*3.6/1000000/'E Balans VL '!Z8*100),0,B32*3.6/1000000/'E Balans VL '!Z8*100)</f>
        <v>3.9156727909482115E-4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7508.2887702597509</v>
      </c>
      <c r="C5" s="17">
        <f>IF(ISERROR('Eigen informatie GS &amp; warmtenet'!B61),0,'Eigen informatie GS &amp; warmtenet'!B61)</f>
        <v>0</v>
      </c>
      <c r="D5" s="30">
        <f>SUM(D6:D15)</f>
        <v>8073.2621180283659</v>
      </c>
      <c r="E5" s="17">
        <f>SUM(E6:E15)</f>
        <v>31.606134695076612</v>
      </c>
      <c r="F5" s="17">
        <f>SUM(F6:F15)</f>
        <v>2778.8674787864843</v>
      </c>
      <c r="G5" s="18"/>
      <c r="H5" s="17"/>
      <c r="I5" s="17"/>
      <c r="J5" s="17">
        <f>SUM(J6:J15)</f>
        <v>1.6565077029199284</v>
      </c>
      <c r="K5" s="17"/>
      <c r="L5" s="17"/>
      <c r="M5" s="17"/>
      <c r="N5" s="17">
        <f>SUM(N6:N15)</f>
        <v>314.65499657627532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1054.9615925969199</v>
      </c>
      <c r="C8" s="33"/>
      <c r="D8" s="37">
        <f>IF( ISERROR(IND_metaal_Gas_kWH/1000),0,IND_metaal_Gas_kWH/1000)*0.903</f>
        <v>702.98267362175977</v>
      </c>
      <c r="E8" s="33">
        <f>C30*'E Balans VL '!I18/100/3.6*1000000</f>
        <v>5.3193004188611006</v>
      </c>
      <c r="F8" s="33">
        <f>C30*'E Balans VL '!L18/100/3.6*1000000+C30*'E Balans VL '!N18/100/3.6*1000000</f>
        <v>72.077131768571661</v>
      </c>
      <c r="G8" s="34"/>
      <c r="H8" s="33"/>
      <c r="I8" s="33"/>
      <c r="J8" s="40">
        <f>C30*'E Balans VL '!D18/100/3.6*1000000+C30*'E Balans VL '!E18/100/3.6*1000000</f>
        <v>0.93531344122030446</v>
      </c>
      <c r="K8" s="33"/>
      <c r="L8" s="33"/>
      <c r="M8" s="33"/>
      <c r="N8" s="33">
        <f>C30*'E Balans VL '!Y18/100/3.6*1000000</f>
        <v>14.02044582631143</v>
      </c>
      <c r="O8" s="33"/>
      <c r="P8" s="33"/>
      <c r="R8" s="32"/>
    </row>
    <row r="9" spans="1:18">
      <c r="A9" s="6" t="s">
        <v>32</v>
      </c>
      <c r="B9" s="37">
        <f t="shared" si="0"/>
        <v>4315.3102954578299</v>
      </c>
      <c r="C9" s="33"/>
      <c r="D9" s="37">
        <f>IF( ISERROR(IND_andere_gas_kWh/1000),0,IND_andere_gas_kWh/1000)*0.903</f>
        <v>6118.9879915346664</v>
      </c>
      <c r="E9" s="33">
        <f>C31*'E Balans VL '!I19/100/3.6*1000000</f>
        <v>13.602877945982661</v>
      </c>
      <c r="F9" s="33">
        <f>C31*'E Balans VL '!L19/100/3.6*1000000+C31*'E Balans VL '!N19/100/3.6*1000000</f>
        <v>2641.6514664889419</v>
      </c>
      <c r="G9" s="34"/>
      <c r="H9" s="33"/>
      <c r="I9" s="33"/>
      <c r="J9" s="40">
        <f>C31*'E Balans VL '!D19/100/3.6*1000000+C31*'E Balans VL '!E19/100/3.6*1000000</f>
        <v>0</v>
      </c>
      <c r="K9" s="33"/>
      <c r="L9" s="33"/>
      <c r="M9" s="33"/>
      <c r="N9" s="33">
        <f>C31*'E Balans VL '!Y19/100/3.6*1000000</f>
        <v>180.94682010689857</v>
      </c>
      <c r="O9" s="33"/>
      <c r="P9" s="33"/>
      <c r="R9" s="32"/>
    </row>
    <row r="10" spans="1:18">
      <c r="A10" s="6" t="s">
        <v>40</v>
      </c>
      <c r="B10" s="37">
        <f t="shared" si="0"/>
        <v>1174.0912470621799</v>
      </c>
      <c r="C10" s="33"/>
      <c r="D10" s="37">
        <f>IF( ISERROR(IND_voed_gas_kWh/1000),0,IND_voed_gas_kWh/1000)*0.903</f>
        <v>797.07908886380756</v>
      </c>
      <c r="E10" s="33">
        <f>C32*'E Balans VL '!I20/100/3.6*1000000</f>
        <v>1.8711717122674789</v>
      </c>
      <c r="F10" s="33">
        <f>C32*'E Balans VL '!L20/100/3.6*1000000+C32*'E Balans VL '!N20/100/3.6*1000000</f>
        <v>19.076130573813721</v>
      </c>
      <c r="G10" s="34"/>
      <c r="H10" s="33"/>
      <c r="I10" s="33"/>
      <c r="J10" s="40">
        <f>C32*'E Balans VL '!D20/100/3.6*1000000+C32*'E Balans VL '!E20/100/3.6*1000000</f>
        <v>0</v>
      </c>
      <c r="K10" s="33"/>
      <c r="L10" s="33"/>
      <c r="M10" s="33"/>
      <c r="N10" s="33">
        <f>C32*'E Balans VL '!Y20/100/3.6*1000000</f>
        <v>37.083665430581107</v>
      </c>
      <c r="O10" s="33"/>
      <c r="P10" s="33"/>
      <c r="R10" s="32"/>
    </row>
    <row r="11" spans="1:18">
      <c r="A11" s="6" t="s">
        <v>39</v>
      </c>
      <c r="B11" s="37">
        <f t="shared" si="0"/>
        <v>42.056649801124799</v>
      </c>
      <c r="C11" s="33"/>
      <c r="D11" s="37">
        <f>IF( ISERROR(IND_textiel_gas_kWh/1000),0,IND_textiel_gas_kWh/1000)*0.903</f>
        <v>111.27528048340481</v>
      </c>
      <c r="E11" s="33">
        <f>C33*'E Balans VL '!I21/100/3.6*1000000</f>
        <v>6.1016513906874452E-2</v>
      </c>
      <c r="F11" s="33">
        <f>C33*'E Balans VL '!L21/100/3.6*1000000+C33*'E Balans VL '!N21/100/3.6*1000000</f>
        <v>0.8230756587272724</v>
      </c>
      <c r="G11" s="34"/>
      <c r="H11" s="33"/>
      <c r="I11" s="33"/>
      <c r="J11" s="40">
        <f>C33*'E Balans VL '!D21/100/3.6*1000000+C33*'E Balans VL '!E21/100/3.6*1000000</f>
        <v>0</v>
      </c>
      <c r="K11" s="33"/>
      <c r="L11" s="33"/>
      <c r="M11" s="33"/>
      <c r="N11" s="33">
        <f>C33*'E Balans VL '!Y21/100/3.6*1000000</f>
        <v>2.0489045289334502</v>
      </c>
      <c r="O11" s="33"/>
      <c r="P11" s="33"/>
      <c r="R11" s="32"/>
    </row>
    <row r="12" spans="1:18">
      <c r="A12" s="6" t="s">
        <v>36</v>
      </c>
      <c r="B12" s="37">
        <f t="shared" si="0"/>
        <v>437.43419088884201</v>
      </c>
      <c r="C12" s="33"/>
      <c r="D12" s="37">
        <f>IF( ISERROR(IND_min_gas_kWh/1000),0,IND_min_gas_kWh/1000)*0.903</f>
        <v>100.37615794528574</v>
      </c>
      <c r="E12" s="33">
        <f>C34*'E Balans VL '!I22/100/3.6*1000000</f>
        <v>1.8928961942640805</v>
      </c>
      <c r="F12" s="33">
        <f>C34*'E Balans VL '!L22/100/3.6*1000000+C34*'E Balans VL '!N22/100/3.6*1000000</f>
        <v>16.70177738973862</v>
      </c>
      <c r="G12" s="34"/>
      <c r="H12" s="33"/>
      <c r="I12" s="33"/>
      <c r="J12" s="40">
        <f>C34*'E Balans VL '!D22/100/3.6*1000000+C34*'E Balans VL '!E22/100/3.6*1000000</f>
        <v>0</v>
      </c>
      <c r="K12" s="33"/>
      <c r="L12" s="33"/>
      <c r="M12" s="33"/>
      <c r="N12" s="33">
        <f>C34*'E Balans VL '!Y22/100/3.6*1000000</f>
        <v>74.616419136701225</v>
      </c>
      <c r="O12" s="33"/>
      <c r="P12" s="33"/>
      <c r="R12" s="32"/>
    </row>
    <row r="13" spans="1:18">
      <c r="A13" s="6" t="s">
        <v>38</v>
      </c>
      <c r="B13" s="37">
        <f t="shared" si="0"/>
        <v>132.972954202484</v>
      </c>
      <c r="C13" s="33"/>
      <c r="D13" s="37">
        <f>IF( ISERROR(IND_papier_gas_kWh/1000),0,IND_papier_gas_kWh/1000)*0.903</f>
        <v>242.56092557944152</v>
      </c>
      <c r="E13" s="33">
        <f>C35*'E Balans VL '!I23/100/3.6*1000000</f>
        <v>0</v>
      </c>
      <c r="F13" s="33">
        <f>C35*'E Balans VL '!L23/100/3.6*1000000+C35*'E Balans VL '!N23/100/3.6*1000000</f>
        <v>5.7610066843133152E-3</v>
      </c>
      <c r="G13" s="34"/>
      <c r="H13" s="33"/>
      <c r="I13" s="33"/>
      <c r="J13" s="40">
        <f>C35*'E Balans VL '!D23/100/3.6*1000000+C35*'E Balans VL '!E23/100/3.6*1000000</f>
        <v>3.6640390711420619E-3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351.46184025036996</v>
      </c>
      <c r="C15" s="33"/>
      <c r="D15" s="37">
        <f>IF( ISERROR(IND_rest_gas_kWh/1000),0,IND_rest_gas_kWh/1000)*0.903</f>
        <v>0</v>
      </c>
      <c r="E15" s="33">
        <f>C37*'E Balans VL '!I15/100/3.6*1000000</f>
        <v>8.8588719097944217</v>
      </c>
      <c r="F15" s="33">
        <f>C37*'E Balans VL '!L15/100/3.6*1000000+C37*'E Balans VL '!N15/100/3.6*1000000</f>
        <v>28.532135900006946</v>
      </c>
      <c r="G15" s="34"/>
      <c r="H15" s="33"/>
      <c r="I15" s="33"/>
      <c r="J15" s="40">
        <f>C37*'E Balans VL '!D15/100/3.6*1000000+C37*'E Balans VL '!E15/100/3.6*1000000</f>
        <v>0.71753022262848198</v>
      </c>
      <c r="K15" s="33"/>
      <c r="L15" s="33"/>
      <c r="M15" s="33"/>
      <c r="N15" s="33">
        <f>C37*'E Balans VL '!Y15/100/3.6*1000000</f>
        <v>5.9387415468495233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7508.2887702597509</v>
      </c>
      <c r="C18" s="21">
        <f>C5+C16</f>
        <v>0</v>
      </c>
      <c r="D18" s="21">
        <f>MAX((D5+D16),0)</f>
        <v>8073.2621180283659</v>
      </c>
      <c r="E18" s="21">
        <f>MAX((E5+E16),0)</f>
        <v>31.606134695076612</v>
      </c>
      <c r="F18" s="21">
        <f>MAX((F5+F16),0)</f>
        <v>2778.8674787864843</v>
      </c>
      <c r="G18" s="21"/>
      <c r="H18" s="21"/>
      <c r="I18" s="21"/>
      <c r="J18" s="21">
        <f>MAX((J5+J16),0)</f>
        <v>1.6565077029199284</v>
      </c>
      <c r="K18" s="21"/>
      <c r="L18" s="21">
        <f>MAX((L5+L16),0)</f>
        <v>0</v>
      </c>
      <c r="M18" s="21"/>
      <c r="N18" s="21">
        <f>MAX((N5+N16),0)</f>
        <v>314.65499657627532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0.19908883023625198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1494.8164283470007</v>
      </c>
      <c r="C22" s="23">
        <f ca="1">C18*C20</f>
        <v>0</v>
      </c>
      <c r="D22" s="23">
        <f>D18*D20</f>
        <v>1630.7989478417301</v>
      </c>
      <c r="E22" s="23">
        <f>E18*E20</f>
        <v>7.1745925757823912</v>
      </c>
      <c r="F22" s="23">
        <f>F18*F20</f>
        <v>741.9576168359913</v>
      </c>
      <c r="G22" s="23"/>
      <c r="H22" s="23"/>
      <c r="I22" s="23"/>
      <c r="J22" s="23">
        <f>J18*J20</f>
        <v>0.5864037268336546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1054.9615925969199</v>
      </c>
      <c r="C30" s="39">
        <f>IF(ISERROR(B30*3.6/1000000/'E Balans VL '!Z18*100),0,B30*3.6/1000000/'E Balans VL '!Z18*100)</f>
        <v>5.2365915838150638E-2</v>
      </c>
      <c r="D30" s="237" t="s">
        <v>702</v>
      </c>
    </row>
    <row r="31" spans="1:18">
      <c r="A31" s="6" t="s">
        <v>32</v>
      </c>
      <c r="B31" s="37">
        <f>IF( ISERROR(IND_ander_ele_kWh/1000),0,IND_ander_ele_kWh/1000)</f>
        <v>4315.3102954578299</v>
      </c>
      <c r="C31" s="39">
        <f>IF(ISERROR(B31*3.6/1000000/'E Balans VL '!Z19*100),0,B31*3.6/1000000/'E Balans VL '!Z19*100)</f>
        <v>0.14561960945350438</v>
      </c>
      <c r="D31" s="237" t="s">
        <v>702</v>
      </c>
    </row>
    <row r="32" spans="1:18">
      <c r="A32" s="171" t="s">
        <v>40</v>
      </c>
      <c r="B32" s="37">
        <f>IF( ISERROR(IND_voed_ele_kWh/1000),0,IND_voed_ele_kWh/1000)</f>
        <v>1174.0912470621799</v>
      </c>
      <c r="C32" s="39">
        <f>IF(ISERROR(B32*3.6/1000000/'E Balans VL '!Z20*100),0,B32*3.6/1000000/'E Balans VL '!Z20*100)</f>
        <v>2.7572726430831869E-2</v>
      </c>
      <c r="D32" s="237" t="s">
        <v>702</v>
      </c>
    </row>
    <row r="33" spans="1:5">
      <c r="A33" s="171" t="s">
        <v>39</v>
      </c>
      <c r="B33" s="37">
        <f>IF( ISERROR(IND_textiel_ele_kWh/1000),0,IND_textiel_ele_kWh/1000)</f>
        <v>42.056649801124799</v>
      </c>
      <c r="C33" s="39">
        <f>IF(ISERROR(B33*3.6/1000000/'E Balans VL '!Z21*100),0,B33*3.6/1000000/'E Balans VL '!Z21*100)</f>
        <v>4.6156640064036148E-3</v>
      </c>
      <c r="D33" s="237" t="s">
        <v>702</v>
      </c>
    </row>
    <row r="34" spans="1:5">
      <c r="A34" s="171" t="s">
        <v>36</v>
      </c>
      <c r="B34" s="37">
        <f>IF( ISERROR(IND_min_ele_kWh/1000),0,IND_min_ele_kWh/1000)</f>
        <v>437.43419088884201</v>
      </c>
      <c r="C34" s="39">
        <f>IF(ISERROR(B34*3.6/1000000/'E Balans VL '!Z22*100),0,B34*3.6/1000000/'E Balans VL '!Z22*100)</f>
        <v>6.2059120476653913E-2</v>
      </c>
      <c r="D34" s="237" t="s">
        <v>702</v>
      </c>
    </row>
    <row r="35" spans="1:5">
      <c r="A35" s="171" t="s">
        <v>38</v>
      </c>
      <c r="B35" s="37">
        <f>IF( ISERROR(IND_papier_ele_kWh/1000),0,IND_papier_ele_kWh/1000)</f>
        <v>132.972954202484</v>
      </c>
      <c r="C35" s="39">
        <f>IF(ISERROR(B35*3.6/1000000/'E Balans VL '!Z22*100),0,B35*3.6/1000000/'E Balans VL '!Z22*100)</f>
        <v>1.8864973879203537E-2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351.46184025036996</v>
      </c>
      <c r="C37" s="39">
        <f>IF(ISERROR(B37*3.6/1000000/'E Balans VL '!Z15*100),0,B37*3.6/1000000/'E Balans VL '!Z15*100)</f>
        <v>1.3171135099691699E-3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1313.3550965951299</v>
      </c>
      <c r="C5" s="17">
        <f>'Eigen informatie GS &amp; warmtenet'!B62</f>
        <v>0</v>
      </c>
      <c r="D5" s="30">
        <f>IF(ISERROR(SUM(LB_lb_gas_kWh,LB_rest_gas_kWh)/1000),0,SUM(LB_lb_gas_kWh,LB_rest_gas_kWh)/1000)*0.903</f>
        <v>445.08008940762022</v>
      </c>
      <c r="E5" s="17">
        <f>B17*'E Balans VL '!I25/3.6*1000000/100</f>
        <v>48.979028818698026</v>
      </c>
      <c r="F5" s="17">
        <f>B17*('E Balans VL '!L25/3.6*1000000+'E Balans VL '!N25/3.6*1000000)/100</f>
        <v>4261.0314337406953</v>
      </c>
      <c r="G5" s="18"/>
      <c r="H5" s="17"/>
      <c r="I5" s="17"/>
      <c r="J5" s="17">
        <f>('E Balans VL '!D25+'E Balans VL '!E25)/3.6*1000000*landbouw!B17/100</f>
        <v>344.76219676836695</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1313.3550965951299</v>
      </c>
      <c r="C8" s="21">
        <f>C5+C6</f>
        <v>0</v>
      </c>
      <c r="D8" s="21">
        <f>MAX((D5+D6),0)</f>
        <v>445.08008940762022</v>
      </c>
      <c r="E8" s="21">
        <f>MAX((E5+E6),0)</f>
        <v>48.979028818698026</v>
      </c>
      <c r="F8" s="21">
        <f>MAX((F5+F6),0)</f>
        <v>4261.0314337406953</v>
      </c>
      <c r="G8" s="21"/>
      <c r="H8" s="21"/>
      <c r="I8" s="21"/>
      <c r="J8" s="21">
        <f>MAX((J5+J6),0)</f>
        <v>344.76219676836695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0.19908883023625198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261.47432986594413</v>
      </c>
      <c r="C12" s="23">
        <f ca="1">C8*C10</f>
        <v>0</v>
      </c>
      <c r="D12" s="23">
        <f>D8*D10</f>
        <v>89.906178060339286</v>
      </c>
      <c r="E12" s="23">
        <f>E8*E10</f>
        <v>11.118239541844453</v>
      </c>
      <c r="F12" s="23">
        <f>F8*F10</f>
        <v>1137.6953928087657</v>
      </c>
      <c r="G12" s="23"/>
      <c r="H12" s="23"/>
      <c r="I12" s="23"/>
      <c r="J12" s="23">
        <f>J8*J10</f>
        <v>122.04581765600189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0.18038589529311111</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578.84376184516259</v>
      </c>
      <c r="C26" s="247">
        <f>B26*'GWP N2O_CH4'!B5</f>
        <v>12155.718998748414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117.26088352032859</v>
      </c>
      <c r="C27" s="247">
        <f>B27*'GWP N2O_CH4'!B5</f>
        <v>2462.4785539269005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6.7015477489710653</v>
      </c>
      <c r="C28" s="247">
        <f>B28*'GWP N2O_CH4'!B4</f>
        <v>2077.4798021810302</v>
      </c>
      <c r="D28" s="50"/>
    </row>
    <row r="29" spans="1:4">
      <c r="A29" s="41" t="s">
        <v>276</v>
      </c>
      <c r="B29" s="247">
        <f>B34*'ha_N2O bodem landbouw'!B4</f>
        <v>27.875251307353338</v>
      </c>
      <c r="C29" s="247">
        <f>B29*'GWP N2O_CH4'!B4</f>
        <v>8641.3279052795351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6.3528493794195607E-3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4.0521970846878511E-4</v>
      </c>
      <c r="C5" s="440" t="s">
        <v>210</v>
      </c>
      <c r="D5" s="425">
        <f>SUM(D6:D11)</f>
        <v>1.7948739178150789E-3</v>
      </c>
      <c r="E5" s="425">
        <f>SUM(E6:E11)</f>
        <v>9.5362743243577498E-4</v>
      </c>
      <c r="F5" s="438" t="s">
        <v>210</v>
      </c>
      <c r="G5" s="425">
        <f>SUM(G6:G11)</f>
        <v>0.42634175318312545</v>
      </c>
      <c r="H5" s="425">
        <f>SUM(H6:H11)</f>
        <v>0.1140992260595647</v>
      </c>
      <c r="I5" s="440" t="s">
        <v>210</v>
      </c>
      <c r="J5" s="440" t="s">
        <v>210</v>
      </c>
      <c r="K5" s="440" t="s">
        <v>210</v>
      </c>
      <c r="L5" s="440" t="s">
        <v>210</v>
      </c>
      <c r="M5" s="425">
        <f>SUM(M6:M11)</f>
        <v>3.1935428235029747E-2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2.7322925723315979E-4</v>
      </c>
      <c r="C6" s="426"/>
      <c r="D6" s="893">
        <f>vkm_GW_PW*SUMIFS(TableVerdeelsleutelVkm[CNG],TableVerdeelsleutelVkm[Voertuigtype],"Lichte voertuigen")*SUMIFS(TableECFTransport[EnergieConsumptieFactor (PJ per km)],TableECFTransport[Index],CONCATENATE($A6,"_CNG_CNG"))</f>
        <v>9.8682069578815952E-4</v>
      </c>
      <c r="E6" s="893">
        <f>vkm_GW_PW*SUMIFS(TableVerdeelsleutelVkm[LPG],TableVerdeelsleutelVkm[Voertuigtype],"Lichte voertuigen")*SUMIFS(TableECFTransport[EnergieConsumptieFactor (PJ per km)],TableECFTransport[Index],CONCATENATE($A6,"_LPG_LPG"))</f>
        <v>5.3631171777801588E-4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0.16689690217244041</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6.3163776232836893E-2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1.3787499521942406E-2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0.12344882162821227</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1.299612784412479E-6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6.9503620203648798E-3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1.319904512356253E-4</v>
      </c>
      <c r="C8" s="426"/>
      <c r="D8" s="428">
        <f>vkm_NGW_PW*SUMIFS(TableVerdeelsleutelVkm[CNG],TableVerdeelsleutelVkm[Voertuigtype],"Lichte voertuigen")*SUMIFS(TableECFTransport[EnergieConsumptieFactor (PJ per km)],TableECFTransport[Index],CONCATENATE($A8,"_CNG_CNG"))</f>
        <v>8.0805322202691929E-4</v>
      </c>
      <c r="E8" s="428">
        <f>vkm_NGW_PW*SUMIFS(TableVerdeelsleutelVkm[LPG],TableVerdeelsleutelVkm[Voertuigtype],"Lichte voertuigen")*SUMIFS(TableECFTransport[EnergieConsumptieFactor (PJ per km)],TableECFTransport[Index],CONCATENATE($A8,"_LPG_LPG"))</f>
        <v>4.173157146577591E-4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0.12085473396252532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5.0933918691567756E-2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1.0345083030368251E-2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1.5141295419947395E-2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2.3152237563627509E-7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8.5248366235421143E-4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112.56103013021809</v>
      </c>
      <c r="C14" s="21"/>
      <c r="D14" s="21">
        <f t="shared" ref="D14:M14" si="0">((D5)*10^9/3600)+D12</f>
        <v>498.57608828196641</v>
      </c>
      <c r="E14" s="21">
        <f t="shared" si="0"/>
        <v>264.89650900993746</v>
      </c>
      <c r="F14" s="21"/>
      <c r="G14" s="21">
        <f t="shared" si="0"/>
        <v>118428.2647730904</v>
      </c>
      <c r="H14" s="21">
        <f t="shared" si="0"/>
        <v>31694.229460990195</v>
      </c>
      <c r="I14" s="21"/>
      <c r="J14" s="21"/>
      <c r="K14" s="21"/>
      <c r="L14" s="21"/>
      <c r="M14" s="21">
        <f t="shared" si="0"/>
        <v>8870.9522875082621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0.19908883023625198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22.409643818812633</v>
      </c>
      <c r="C18" s="23"/>
      <c r="D18" s="23">
        <f t="shared" ref="D18:M18" si="1">D14*D16</f>
        <v>100.71236983295722</v>
      </c>
      <c r="E18" s="23">
        <f t="shared" si="1"/>
        <v>60.131507545255808</v>
      </c>
      <c r="F18" s="23"/>
      <c r="G18" s="23">
        <f t="shared" si="1"/>
        <v>31620.346694415137</v>
      </c>
      <c r="H18" s="23">
        <f t="shared" si="1"/>
        <v>7891.8631357865588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6.6059805579192204E-3</v>
      </c>
      <c r="H50" s="321">
        <f t="shared" si="2"/>
        <v>0</v>
      </c>
      <c r="I50" s="321">
        <f t="shared" si="2"/>
        <v>0</v>
      </c>
      <c r="J50" s="321">
        <f t="shared" si="2"/>
        <v>0</v>
      </c>
      <c r="K50" s="321">
        <f t="shared" si="2"/>
        <v>0</v>
      </c>
      <c r="L50" s="321">
        <f t="shared" si="2"/>
        <v>0</v>
      </c>
      <c r="M50" s="321">
        <f t="shared" si="2"/>
        <v>3.5847813001860598E-4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6.6059805579192204E-3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3.5847813001860598E-4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1834.9945994220056</v>
      </c>
      <c r="H54" s="21">
        <f t="shared" si="3"/>
        <v>0</v>
      </c>
      <c r="I54" s="21">
        <f t="shared" si="3"/>
        <v>0</v>
      </c>
      <c r="J54" s="21">
        <f t="shared" si="3"/>
        <v>0</v>
      </c>
      <c r="K54" s="21">
        <f t="shared" si="3"/>
        <v>0</v>
      </c>
      <c r="L54" s="21">
        <f t="shared" si="3"/>
        <v>0</v>
      </c>
      <c r="M54" s="21">
        <f t="shared" si="3"/>
        <v>99.577258338501665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0.19908883023625198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489.94355804567556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34471.489045637092</v>
      </c>
      <c r="D10" s="689">
        <f ca="1">tertiair!C16</f>
        <v>0</v>
      </c>
      <c r="E10" s="689">
        <f ca="1">tertiair!D16</f>
        <v>48152.240540862738</v>
      </c>
      <c r="F10" s="689">
        <f>tertiair!E16</f>
        <v>112.63180935831805</v>
      </c>
      <c r="G10" s="689">
        <f ca="1">tertiair!F16</f>
        <v>5620.8417257925294</v>
      </c>
      <c r="H10" s="689">
        <f>tertiair!G16</f>
        <v>0</v>
      </c>
      <c r="I10" s="689">
        <f>tertiair!H16</f>
        <v>0</v>
      </c>
      <c r="J10" s="689">
        <f>tertiair!I16</f>
        <v>0</v>
      </c>
      <c r="K10" s="689">
        <f>tertiair!J16</f>
        <v>4.846055357867772E-2</v>
      </c>
      <c r="L10" s="689">
        <f>tertiair!K16</f>
        <v>0</v>
      </c>
      <c r="M10" s="689">
        <f ca="1">tertiair!L16</f>
        <v>0</v>
      </c>
      <c r="N10" s="689">
        <f>tertiair!M16</f>
        <v>0</v>
      </c>
      <c r="O10" s="689">
        <f ca="1">tertiair!N16</f>
        <v>1796.8680421672514</v>
      </c>
      <c r="P10" s="689">
        <f>tertiair!O16</f>
        <v>14.691782297523464</v>
      </c>
      <c r="Q10" s="690">
        <f>tertiair!P16</f>
        <v>0</v>
      </c>
      <c r="R10" s="692">
        <f ca="1">SUM(C10:Q10)</f>
        <v>90168.811406669032</v>
      </c>
      <c r="S10" s="67"/>
    </row>
    <row r="11" spans="1:19" s="451" customFormat="1">
      <c r="A11" s="811" t="s">
        <v>224</v>
      </c>
      <c r="B11" s="816"/>
      <c r="C11" s="689">
        <f>huishoudens!B8</f>
        <v>58077.900125759545</v>
      </c>
      <c r="D11" s="689">
        <f>huishoudens!C8</f>
        <v>0</v>
      </c>
      <c r="E11" s="689">
        <f>huishoudens!D8</f>
        <v>114067.61755333147</v>
      </c>
      <c r="F11" s="689">
        <f>huishoudens!E8</f>
        <v>25656.778399340612</v>
      </c>
      <c r="G11" s="689">
        <f>huishoudens!F8</f>
        <v>36743.185843180174</v>
      </c>
      <c r="H11" s="689">
        <f>huishoudens!G8</f>
        <v>0</v>
      </c>
      <c r="I11" s="689">
        <f>huishoudens!H8</f>
        <v>0</v>
      </c>
      <c r="J11" s="689">
        <f>huishoudens!I8</f>
        <v>0</v>
      </c>
      <c r="K11" s="689">
        <f>huishoudens!J8</f>
        <v>286.48909411716329</v>
      </c>
      <c r="L11" s="689">
        <f>huishoudens!K8</f>
        <v>0</v>
      </c>
      <c r="M11" s="689">
        <f>huishoudens!L8</f>
        <v>0</v>
      </c>
      <c r="N11" s="689">
        <f>huishoudens!M8</f>
        <v>0</v>
      </c>
      <c r="O11" s="689">
        <f>huishoudens!N8</f>
        <v>32059.866236568734</v>
      </c>
      <c r="P11" s="689">
        <f>huishoudens!O8</f>
        <v>581.29975828040028</v>
      </c>
      <c r="Q11" s="690">
        <f>huishoudens!P8</f>
        <v>937.52237838396695</v>
      </c>
      <c r="R11" s="692">
        <f>SUM(C11:Q11)</f>
        <v>268410.65938896203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7508.2887702597509</v>
      </c>
      <c r="D13" s="689">
        <f>industrie!C18</f>
        <v>0</v>
      </c>
      <c r="E13" s="689">
        <f>industrie!D18</f>
        <v>8073.2621180283659</v>
      </c>
      <c r="F13" s="689">
        <f>industrie!E18</f>
        <v>31.606134695076612</v>
      </c>
      <c r="G13" s="689">
        <f>industrie!F18</f>
        <v>2778.8674787864843</v>
      </c>
      <c r="H13" s="689">
        <f>industrie!G18</f>
        <v>0</v>
      </c>
      <c r="I13" s="689">
        <f>industrie!H18</f>
        <v>0</v>
      </c>
      <c r="J13" s="689">
        <f>industrie!I18</f>
        <v>0</v>
      </c>
      <c r="K13" s="689">
        <f>industrie!J18</f>
        <v>1.6565077029199284</v>
      </c>
      <c r="L13" s="689">
        <f>industrie!K18</f>
        <v>0</v>
      </c>
      <c r="M13" s="689">
        <f>industrie!L18</f>
        <v>0</v>
      </c>
      <c r="N13" s="689">
        <f>industrie!M18</f>
        <v>0</v>
      </c>
      <c r="O13" s="689">
        <f>industrie!N18</f>
        <v>314.65499657627532</v>
      </c>
      <c r="P13" s="689">
        <f>industrie!O18</f>
        <v>0</v>
      </c>
      <c r="Q13" s="690">
        <f>industrie!P18</f>
        <v>0</v>
      </c>
      <c r="R13" s="692">
        <f>SUM(C13:Q13)</f>
        <v>18708.336006048874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100057.67794165639</v>
      </c>
      <c r="D16" s="725">
        <f t="shared" ref="D16:R16" ca="1" si="0">SUM(D9:D15)</f>
        <v>0</v>
      </c>
      <c r="E16" s="725">
        <f t="shared" ca="1" si="0"/>
        <v>170293.12021222257</v>
      </c>
      <c r="F16" s="725">
        <f t="shared" si="0"/>
        <v>25801.016343394007</v>
      </c>
      <c r="G16" s="725">
        <f t="shared" ca="1" si="0"/>
        <v>45142.895047759193</v>
      </c>
      <c r="H16" s="725">
        <f t="shared" si="0"/>
        <v>0</v>
      </c>
      <c r="I16" s="725">
        <f t="shared" si="0"/>
        <v>0</v>
      </c>
      <c r="J16" s="725">
        <f t="shared" si="0"/>
        <v>0</v>
      </c>
      <c r="K16" s="725">
        <f t="shared" si="0"/>
        <v>288.19406237366189</v>
      </c>
      <c r="L16" s="725">
        <f t="shared" si="0"/>
        <v>0</v>
      </c>
      <c r="M16" s="725">
        <f t="shared" ca="1" si="0"/>
        <v>0</v>
      </c>
      <c r="N16" s="725">
        <f t="shared" si="0"/>
        <v>0</v>
      </c>
      <c r="O16" s="725">
        <f t="shared" ca="1" si="0"/>
        <v>34171.389275312264</v>
      </c>
      <c r="P16" s="725">
        <f t="shared" si="0"/>
        <v>595.99154057792373</v>
      </c>
      <c r="Q16" s="725">
        <f t="shared" si="0"/>
        <v>937.52237838396695</v>
      </c>
      <c r="R16" s="725">
        <f t="shared" ca="1" si="0"/>
        <v>377287.80680167995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1834.9945994220056</v>
      </c>
      <c r="I19" s="689">
        <f>transport!H54</f>
        <v>0</v>
      </c>
      <c r="J19" s="689">
        <f>transport!I54</f>
        <v>0</v>
      </c>
      <c r="K19" s="689">
        <f>transport!J54</f>
        <v>0</v>
      </c>
      <c r="L19" s="689">
        <f>transport!K54</f>
        <v>0</v>
      </c>
      <c r="M19" s="689">
        <f>transport!L54</f>
        <v>0</v>
      </c>
      <c r="N19" s="689">
        <f>transport!M54</f>
        <v>99.577258338501665</v>
      </c>
      <c r="O19" s="689">
        <f>transport!N54</f>
        <v>0</v>
      </c>
      <c r="P19" s="689">
        <f>transport!O54</f>
        <v>0</v>
      </c>
      <c r="Q19" s="690">
        <f>transport!P54</f>
        <v>0</v>
      </c>
      <c r="R19" s="692">
        <f>SUM(C19:Q19)</f>
        <v>1934.5718577605073</v>
      </c>
      <c r="S19" s="67"/>
    </row>
    <row r="20" spans="1:19" s="451" customFormat="1">
      <c r="A20" s="811" t="s">
        <v>306</v>
      </c>
      <c r="B20" s="816"/>
      <c r="C20" s="689">
        <f>transport!B14</f>
        <v>112.56103013021809</v>
      </c>
      <c r="D20" s="689">
        <f>transport!C14</f>
        <v>0</v>
      </c>
      <c r="E20" s="689">
        <f>transport!D14</f>
        <v>498.57608828196641</v>
      </c>
      <c r="F20" s="689">
        <f>transport!E14</f>
        <v>264.89650900993746</v>
      </c>
      <c r="G20" s="689">
        <f>transport!F14</f>
        <v>0</v>
      </c>
      <c r="H20" s="689">
        <f>transport!G14</f>
        <v>118428.2647730904</v>
      </c>
      <c r="I20" s="689">
        <f>transport!H14</f>
        <v>31694.229460990195</v>
      </c>
      <c r="J20" s="689">
        <f>transport!I14</f>
        <v>0</v>
      </c>
      <c r="K20" s="689">
        <f>transport!J14</f>
        <v>0</v>
      </c>
      <c r="L20" s="689">
        <f>transport!K14</f>
        <v>0</v>
      </c>
      <c r="M20" s="689">
        <f>transport!L14</f>
        <v>0</v>
      </c>
      <c r="N20" s="689">
        <f>transport!M14</f>
        <v>8870.9522875082621</v>
      </c>
      <c r="O20" s="689">
        <f>transport!N14</f>
        <v>0</v>
      </c>
      <c r="P20" s="689">
        <f>transport!O14</f>
        <v>0</v>
      </c>
      <c r="Q20" s="690">
        <f>transport!P14</f>
        <v>0</v>
      </c>
      <c r="R20" s="692">
        <f>SUM(C20:Q20)</f>
        <v>159869.48014901098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112.56103013021809</v>
      </c>
      <c r="D22" s="814">
        <f t="shared" ref="D22:R22" si="1">SUM(D18:D21)</f>
        <v>0</v>
      </c>
      <c r="E22" s="814">
        <f t="shared" si="1"/>
        <v>498.57608828196641</v>
      </c>
      <c r="F22" s="814">
        <f t="shared" si="1"/>
        <v>264.89650900993746</v>
      </c>
      <c r="G22" s="814">
        <f t="shared" si="1"/>
        <v>0</v>
      </c>
      <c r="H22" s="814">
        <f t="shared" si="1"/>
        <v>120263.2593725124</v>
      </c>
      <c r="I22" s="814">
        <f t="shared" si="1"/>
        <v>31694.229460990195</v>
      </c>
      <c r="J22" s="814">
        <f t="shared" si="1"/>
        <v>0</v>
      </c>
      <c r="K22" s="814">
        <f t="shared" si="1"/>
        <v>0</v>
      </c>
      <c r="L22" s="814">
        <f t="shared" si="1"/>
        <v>0</v>
      </c>
      <c r="M22" s="814">
        <f t="shared" si="1"/>
        <v>0</v>
      </c>
      <c r="N22" s="814">
        <f t="shared" si="1"/>
        <v>8970.5295458467644</v>
      </c>
      <c r="O22" s="814">
        <f t="shared" si="1"/>
        <v>0</v>
      </c>
      <c r="P22" s="814">
        <f t="shared" si="1"/>
        <v>0</v>
      </c>
      <c r="Q22" s="814">
        <f t="shared" si="1"/>
        <v>0</v>
      </c>
      <c r="R22" s="814">
        <f t="shared" si="1"/>
        <v>161804.0520067715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1313.3550965951299</v>
      </c>
      <c r="D24" s="689">
        <f>+landbouw!C8</f>
        <v>0</v>
      </c>
      <c r="E24" s="689">
        <f>+landbouw!D8</f>
        <v>445.08008940762022</v>
      </c>
      <c r="F24" s="689">
        <f>+landbouw!E8</f>
        <v>48.979028818698026</v>
      </c>
      <c r="G24" s="689">
        <f>+landbouw!F8</f>
        <v>4261.0314337406953</v>
      </c>
      <c r="H24" s="689">
        <f>+landbouw!G8</f>
        <v>0</v>
      </c>
      <c r="I24" s="689">
        <f>+landbouw!H8</f>
        <v>0</v>
      </c>
      <c r="J24" s="689">
        <f>+landbouw!I8</f>
        <v>0</v>
      </c>
      <c r="K24" s="689">
        <f>+landbouw!J8</f>
        <v>344.76219676836695</v>
      </c>
      <c r="L24" s="689">
        <f>+landbouw!K8</f>
        <v>0</v>
      </c>
      <c r="M24" s="689">
        <f>+landbouw!L8</f>
        <v>0</v>
      </c>
      <c r="N24" s="689">
        <f>+landbouw!M8</f>
        <v>0</v>
      </c>
      <c r="O24" s="689">
        <f>+landbouw!N8</f>
        <v>0</v>
      </c>
      <c r="P24" s="689">
        <f>+landbouw!O8</f>
        <v>0</v>
      </c>
      <c r="Q24" s="690">
        <f>+landbouw!P8</f>
        <v>0</v>
      </c>
      <c r="R24" s="692">
        <f>SUM(C24:Q24)</f>
        <v>6413.2078453305103</v>
      </c>
      <c r="S24" s="67"/>
    </row>
    <row r="25" spans="1:19" s="451" customFormat="1" ht="15" thickBot="1">
      <c r="A25" s="833" t="s">
        <v>714</v>
      </c>
      <c r="B25" s="947"/>
      <c r="C25" s="948">
        <f>IF(Onbekend_ele_kWh="---",0,Onbekend_ele_kWh)/1000+IF(REST_rest_ele_kWh="---",0,REST_rest_ele_kWh)/1000</f>
        <v>1381.3980606893599</v>
      </c>
      <c r="D25" s="948"/>
      <c r="E25" s="948">
        <f>IF(onbekend_gas_kWh="---",0,onbekend_gas_kWh)/1000+IF(REST_rest_gas_kWh="---",0,REST_rest_gas_kWh)/1000</f>
        <v>3089.0803548219501</v>
      </c>
      <c r="F25" s="948"/>
      <c r="G25" s="948"/>
      <c r="H25" s="948"/>
      <c r="I25" s="948"/>
      <c r="J25" s="948"/>
      <c r="K25" s="948"/>
      <c r="L25" s="948"/>
      <c r="M25" s="948"/>
      <c r="N25" s="948"/>
      <c r="O25" s="948"/>
      <c r="P25" s="948"/>
      <c r="Q25" s="949"/>
      <c r="R25" s="692">
        <f>SUM(C25:Q25)</f>
        <v>4470.4784155113102</v>
      </c>
      <c r="S25" s="67"/>
    </row>
    <row r="26" spans="1:19" s="451" customFormat="1" ht="15.75" thickBot="1">
      <c r="A26" s="697" t="s">
        <v>715</v>
      </c>
      <c r="B26" s="819"/>
      <c r="C26" s="814">
        <f>SUM(C24:C25)</f>
        <v>2694.75315728449</v>
      </c>
      <c r="D26" s="814">
        <f t="shared" ref="D26:R26" si="2">SUM(D24:D25)</f>
        <v>0</v>
      </c>
      <c r="E26" s="814">
        <f t="shared" si="2"/>
        <v>3534.1604442295702</v>
      </c>
      <c r="F26" s="814">
        <f t="shared" si="2"/>
        <v>48.979028818698026</v>
      </c>
      <c r="G26" s="814">
        <f t="shared" si="2"/>
        <v>4261.0314337406953</v>
      </c>
      <c r="H26" s="814">
        <f t="shared" si="2"/>
        <v>0</v>
      </c>
      <c r="I26" s="814">
        <f t="shared" si="2"/>
        <v>0</v>
      </c>
      <c r="J26" s="814">
        <f t="shared" si="2"/>
        <v>0</v>
      </c>
      <c r="K26" s="814">
        <f t="shared" si="2"/>
        <v>344.76219676836695</v>
      </c>
      <c r="L26" s="814">
        <f t="shared" si="2"/>
        <v>0</v>
      </c>
      <c r="M26" s="814">
        <f t="shared" si="2"/>
        <v>0</v>
      </c>
      <c r="N26" s="814">
        <f t="shared" si="2"/>
        <v>0</v>
      </c>
      <c r="O26" s="814">
        <f t="shared" si="2"/>
        <v>0</v>
      </c>
      <c r="P26" s="814">
        <f t="shared" si="2"/>
        <v>0</v>
      </c>
      <c r="Q26" s="814">
        <f t="shared" si="2"/>
        <v>0</v>
      </c>
      <c r="R26" s="814">
        <f t="shared" si="2"/>
        <v>10883.68626084182</v>
      </c>
      <c r="S26" s="67"/>
    </row>
    <row r="27" spans="1:19" s="451" customFormat="1" ht="17.25" thickTop="1" thickBot="1">
      <c r="A27" s="698" t="s">
        <v>115</v>
      </c>
      <c r="B27" s="806"/>
      <c r="C27" s="699">
        <f ca="1">C22+C16+C26</f>
        <v>102864.99212907111</v>
      </c>
      <c r="D27" s="699">
        <f t="shared" ref="D27:R27" ca="1" si="3">D22+D16+D26</f>
        <v>0</v>
      </c>
      <c r="E27" s="699">
        <f t="shared" ca="1" si="3"/>
        <v>174325.8567447341</v>
      </c>
      <c r="F27" s="699">
        <f t="shared" si="3"/>
        <v>26114.891881222644</v>
      </c>
      <c r="G27" s="699">
        <f t="shared" ca="1" si="3"/>
        <v>49403.92648149989</v>
      </c>
      <c r="H27" s="699">
        <f t="shared" si="3"/>
        <v>120263.2593725124</v>
      </c>
      <c r="I27" s="699">
        <f t="shared" si="3"/>
        <v>31694.229460990195</v>
      </c>
      <c r="J27" s="699">
        <f t="shared" si="3"/>
        <v>0</v>
      </c>
      <c r="K27" s="699">
        <f t="shared" si="3"/>
        <v>632.95625914202878</v>
      </c>
      <c r="L27" s="699">
        <f t="shared" si="3"/>
        <v>0</v>
      </c>
      <c r="M27" s="699">
        <f t="shared" ca="1" si="3"/>
        <v>0</v>
      </c>
      <c r="N27" s="699">
        <f t="shared" si="3"/>
        <v>8970.5295458467644</v>
      </c>
      <c r="O27" s="699">
        <f t="shared" ca="1" si="3"/>
        <v>34171.389275312264</v>
      </c>
      <c r="P27" s="699">
        <f t="shared" si="3"/>
        <v>595.99154057792373</v>
      </c>
      <c r="Q27" s="699">
        <f t="shared" si="3"/>
        <v>937.52237838396695</v>
      </c>
      <c r="R27" s="699">
        <f t="shared" ca="1" si="3"/>
        <v>549975.54506929324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6862.8884305976626</v>
      </c>
      <c r="D40" s="689">
        <f ca="1">tertiair!C20</f>
        <v>0</v>
      </c>
      <c r="E40" s="689">
        <f ca="1">tertiair!D20</f>
        <v>9726.7525892542744</v>
      </c>
      <c r="F40" s="689">
        <f>tertiair!E20</f>
        <v>25.567420724338199</v>
      </c>
      <c r="G40" s="689">
        <f ca="1">tertiair!F20</f>
        <v>1500.7647407866054</v>
      </c>
      <c r="H40" s="689">
        <f>tertiair!G20</f>
        <v>0</v>
      </c>
      <c r="I40" s="689">
        <f>tertiair!H20</f>
        <v>0</v>
      </c>
      <c r="J40" s="689">
        <f>tertiair!I20</f>
        <v>0</v>
      </c>
      <c r="K40" s="689">
        <f>tertiair!J20</f>
        <v>1.7155035966851914E-2</v>
      </c>
      <c r="L40" s="689">
        <f>tertiair!K20</f>
        <v>0</v>
      </c>
      <c r="M40" s="689">
        <f ca="1">tertiair!L20</f>
        <v>0</v>
      </c>
      <c r="N40" s="689">
        <f>tertiair!M20</f>
        <v>0</v>
      </c>
      <c r="O40" s="689">
        <f ca="1">tertiair!N20</f>
        <v>0</v>
      </c>
      <c r="P40" s="689">
        <f>tertiair!O20</f>
        <v>0</v>
      </c>
      <c r="Q40" s="772">
        <f>tertiair!P20</f>
        <v>0</v>
      </c>
      <c r="R40" s="852">
        <f t="shared" ca="1" si="4"/>
        <v>18115.990336398849</v>
      </c>
    </row>
    <row r="41" spans="1:18">
      <c r="A41" s="824" t="s">
        <v>224</v>
      </c>
      <c r="B41" s="831"/>
      <c r="C41" s="689">
        <f ca="1">huishoudens!B12</f>
        <v>11562.66119861534</v>
      </c>
      <c r="D41" s="689">
        <f ca="1">huishoudens!C12</f>
        <v>0</v>
      </c>
      <c r="E41" s="689">
        <f>huishoudens!D12</f>
        <v>23041.658745772958</v>
      </c>
      <c r="F41" s="689">
        <f>huishoudens!E12</f>
        <v>5824.0886966503194</v>
      </c>
      <c r="G41" s="689">
        <f>huishoudens!F12</f>
        <v>9810.4306201291074</v>
      </c>
      <c r="H41" s="689">
        <f>huishoudens!G12</f>
        <v>0</v>
      </c>
      <c r="I41" s="689">
        <f>huishoudens!H12</f>
        <v>0</v>
      </c>
      <c r="J41" s="689">
        <f>huishoudens!I12</f>
        <v>0</v>
      </c>
      <c r="K41" s="689">
        <f>huishoudens!J12</f>
        <v>101.4171393174758</v>
      </c>
      <c r="L41" s="689">
        <f>huishoudens!K12</f>
        <v>0</v>
      </c>
      <c r="M41" s="689">
        <f>huishoudens!L12</f>
        <v>0</v>
      </c>
      <c r="N41" s="689">
        <f>huishoudens!M12</f>
        <v>0</v>
      </c>
      <c r="O41" s="689">
        <f>huishoudens!N12</f>
        <v>0</v>
      </c>
      <c r="P41" s="689">
        <f>huishoudens!O12</f>
        <v>0</v>
      </c>
      <c r="Q41" s="772">
        <f>huishoudens!P12</f>
        <v>0</v>
      </c>
      <c r="R41" s="852">
        <f t="shared" ca="1" si="4"/>
        <v>50340.256400485203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1494.8164283470007</v>
      </c>
      <c r="D43" s="689">
        <f ca="1">industrie!C22</f>
        <v>0</v>
      </c>
      <c r="E43" s="689">
        <f>industrie!D22</f>
        <v>1630.7989478417301</v>
      </c>
      <c r="F43" s="689">
        <f>industrie!E22</f>
        <v>7.1745925757823912</v>
      </c>
      <c r="G43" s="689">
        <f>industrie!F22</f>
        <v>741.9576168359913</v>
      </c>
      <c r="H43" s="689">
        <f>industrie!G22</f>
        <v>0</v>
      </c>
      <c r="I43" s="689">
        <f>industrie!H22</f>
        <v>0</v>
      </c>
      <c r="J43" s="689">
        <f>industrie!I22</f>
        <v>0</v>
      </c>
      <c r="K43" s="689">
        <f>industrie!J22</f>
        <v>0.5864037268336546</v>
      </c>
      <c r="L43" s="689">
        <f>industrie!K22</f>
        <v>0</v>
      </c>
      <c r="M43" s="689">
        <f>industrie!L22</f>
        <v>0</v>
      </c>
      <c r="N43" s="689">
        <f>industrie!M22</f>
        <v>0</v>
      </c>
      <c r="O43" s="689">
        <f>industrie!N22</f>
        <v>0</v>
      </c>
      <c r="P43" s="689">
        <f>industrie!O22</f>
        <v>0</v>
      </c>
      <c r="Q43" s="772">
        <f>industrie!P22</f>
        <v>0</v>
      </c>
      <c r="R43" s="851">
        <f t="shared" ca="1" si="4"/>
        <v>3875.3339893273383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19920.366057560004</v>
      </c>
      <c r="D46" s="725">
        <f t="shared" ref="D46:Q46" ca="1" si="5">SUM(D39:D45)</f>
        <v>0</v>
      </c>
      <c r="E46" s="725">
        <f t="shared" ca="1" si="5"/>
        <v>34399.21028286896</v>
      </c>
      <c r="F46" s="725">
        <f t="shared" si="5"/>
        <v>5856.83070995044</v>
      </c>
      <c r="G46" s="725">
        <f t="shared" ca="1" si="5"/>
        <v>12053.152977751704</v>
      </c>
      <c r="H46" s="725">
        <f t="shared" si="5"/>
        <v>0</v>
      </c>
      <c r="I46" s="725">
        <f t="shared" si="5"/>
        <v>0</v>
      </c>
      <c r="J46" s="725">
        <f t="shared" si="5"/>
        <v>0</v>
      </c>
      <c r="K46" s="725">
        <f t="shared" si="5"/>
        <v>102.0206980802763</v>
      </c>
      <c r="L46" s="725">
        <f t="shared" si="5"/>
        <v>0</v>
      </c>
      <c r="M46" s="725">
        <f t="shared" ca="1" si="5"/>
        <v>0</v>
      </c>
      <c r="N46" s="725">
        <f t="shared" si="5"/>
        <v>0</v>
      </c>
      <c r="O46" s="725">
        <f t="shared" ca="1" si="5"/>
        <v>0</v>
      </c>
      <c r="P46" s="725">
        <f t="shared" si="5"/>
        <v>0</v>
      </c>
      <c r="Q46" s="725">
        <f t="shared" si="5"/>
        <v>0</v>
      </c>
      <c r="R46" s="725">
        <f ca="1">SUM(R39:R45)</f>
        <v>72331.580726211396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489.94355804567556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489.94355804567556</v>
      </c>
    </row>
    <row r="50" spans="1:18">
      <c r="A50" s="827" t="s">
        <v>306</v>
      </c>
      <c r="B50" s="837"/>
      <c r="C50" s="695">
        <f ca="1">transport!B18</f>
        <v>22.409643818812633</v>
      </c>
      <c r="D50" s="695">
        <f>transport!C18</f>
        <v>0</v>
      </c>
      <c r="E50" s="695">
        <f>transport!D18</f>
        <v>100.71236983295722</v>
      </c>
      <c r="F50" s="695">
        <f>transport!E18</f>
        <v>60.131507545255808</v>
      </c>
      <c r="G50" s="695">
        <f>transport!F18</f>
        <v>0</v>
      </c>
      <c r="H50" s="695">
        <f>transport!G18</f>
        <v>31620.346694415137</v>
      </c>
      <c r="I50" s="695">
        <f>transport!H18</f>
        <v>7891.8631357865588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39695.463351398721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22.409643818812633</v>
      </c>
      <c r="D52" s="725">
        <f t="shared" ref="D52:Q52" ca="1" si="6">SUM(D48:D51)</f>
        <v>0</v>
      </c>
      <c r="E52" s="725">
        <f t="shared" si="6"/>
        <v>100.71236983295722</v>
      </c>
      <c r="F52" s="725">
        <f t="shared" si="6"/>
        <v>60.131507545255808</v>
      </c>
      <c r="G52" s="725">
        <f t="shared" si="6"/>
        <v>0</v>
      </c>
      <c r="H52" s="725">
        <f t="shared" si="6"/>
        <v>32110.290252460811</v>
      </c>
      <c r="I52" s="725">
        <f t="shared" si="6"/>
        <v>7891.8631357865588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40185.406909444398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261.47432986594413</v>
      </c>
      <c r="D54" s="695">
        <f ca="1">+landbouw!C12</f>
        <v>0</v>
      </c>
      <c r="E54" s="695">
        <f>+landbouw!D12</f>
        <v>89.906178060339286</v>
      </c>
      <c r="F54" s="695">
        <f>+landbouw!E12</f>
        <v>11.118239541844453</v>
      </c>
      <c r="G54" s="695">
        <f>+landbouw!F12</f>
        <v>1137.6953928087657</v>
      </c>
      <c r="H54" s="695">
        <f>+landbouw!G12</f>
        <v>0</v>
      </c>
      <c r="I54" s="695">
        <f>+landbouw!H12</f>
        <v>0</v>
      </c>
      <c r="J54" s="695">
        <f>+landbouw!I12</f>
        <v>0</v>
      </c>
      <c r="K54" s="695">
        <f>+landbouw!J12</f>
        <v>122.04581765600189</v>
      </c>
      <c r="L54" s="695">
        <f>+landbouw!K12</f>
        <v>0</v>
      </c>
      <c r="M54" s="695">
        <f>+landbouw!L12</f>
        <v>0</v>
      </c>
      <c r="N54" s="695">
        <f>+landbouw!M12</f>
        <v>0</v>
      </c>
      <c r="O54" s="695">
        <f>+landbouw!N12</f>
        <v>0</v>
      </c>
      <c r="P54" s="695">
        <f>+landbouw!O12</f>
        <v>0</v>
      </c>
      <c r="Q54" s="696">
        <f>+landbouw!P12</f>
        <v>0</v>
      </c>
      <c r="R54" s="724">
        <f ca="1">SUM(C54:Q54)</f>
        <v>1622.2399579328955</v>
      </c>
    </row>
    <row r="55" spans="1:18" ht="15" thickBot="1">
      <c r="A55" s="827" t="s">
        <v>714</v>
      </c>
      <c r="B55" s="837"/>
      <c r="C55" s="695">
        <f ca="1">C25*'EF ele_warmte'!B12</f>
        <v>275.02092399327171</v>
      </c>
      <c r="D55" s="695"/>
      <c r="E55" s="695">
        <f>E25*EF_CO2_aardgas</f>
        <v>623.99423167403393</v>
      </c>
      <c r="F55" s="695"/>
      <c r="G55" s="695"/>
      <c r="H55" s="695"/>
      <c r="I55" s="695"/>
      <c r="J55" s="695"/>
      <c r="K55" s="695"/>
      <c r="L55" s="695"/>
      <c r="M55" s="695"/>
      <c r="N55" s="695"/>
      <c r="O55" s="695"/>
      <c r="P55" s="695"/>
      <c r="Q55" s="696"/>
      <c r="R55" s="724">
        <f ca="1">SUM(C55:Q55)</f>
        <v>899.01515566730563</v>
      </c>
    </row>
    <row r="56" spans="1:18" ht="15.75" thickBot="1">
      <c r="A56" s="825" t="s">
        <v>715</v>
      </c>
      <c r="B56" s="838"/>
      <c r="C56" s="725">
        <f ca="1">SUM(C54:C55)</f>
        <v>536.49525385921584</v>
      </c>
      <c r="D56" s="725">
        <f t="shared" ref="D56:Q56" ca="1" si="7">SUM(D54:D55)</f>
        <v>0</v>
      </c>
      <c r="E56" s="725">
        <f t="shared" si="7"/>
        <v>713.90040973437317</v>
      </c>
      <c r="F56" s="725">
        <f t="shared" si="7"/>
        <v>11.118239541844453</v>
      </c>
      <c r="G56" s="725">
        <f t="shared" si="7"/>
        <v>1137.6953928087657</v>
      </c>
      <c r="H56" s="725">
        <f t="shared" si="7"/>
        <v>0</v>
      </c>
      <c r="I56" s="725">
        <f t="shared" si="7"/>
        <v>0</v>
      </c>
      <c r="J56" s="725">
        <f t="shared" si="7"/>
        <v>0</v>
      </c>
      <c r="K56" s="725">
        <f t="shared" si="7"/>
        <v>122.04581765600189</v>
      </c>
      <c r="L56" s="725">
        <f t="shared" si="7"/>
        <v>0</v>
      </c>
      <c r="M56" s="725">
        <f t="shared" si="7"/>
        <v>0</v>
      </c>
      <c r="N56" s="725">
        <f t="shared" si="7"/>
        <v>0</v>
      </c>
      <c r="O56" s="725">
        <f t="shared" si="7"/>
        <v>0</v>
      </c>
      <c r="P56" s="725">
        <f t="shared" si="7"/>
        <v>0</v>
      </c>
      <c r="Q56" s="726">
        <f t="shared" si="7"/>
        <v>0</v>
      </c>
      <c r="R56" s="727">
        <f ca="1">SUM(R54:R55)</f>
        <v>2521.2551136002012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20479.270955238033</v>
      </c>
      <c r="D61" s="733">
        <f t="shared" ref="D61:Q61" ca="1" si="8">D46+D52+D56</f>
        <v>0</v>
      </c>
      <c r="E61" s="733">
        <f t="shared" ca="1" si="8"/>
        <v>35213.823062436291</v>
      </c>
      <c r="F61" s="733">
        <f t="shared" si="8"/>
        <v>5928.0804570375403</v>
      </c>
      <c r="G61" s="733">
        <f t="shared" ca="1" si="8"/>
        <v>13190.84837056047</v>
      </c>
      <c r="H61" s="733">
        <f t="shared" si="8"/>
        <v>32110.290252460811</v>
      </c>
      <c r="I61" s="733">
        <f t="shared" si="8"/>
        <v>7891.8631357865588</v>
      </c>
      <c r="J61" s="733">
        <f t="shared" si="8"/>
        <v>0</v>
      </c>
      <c r="K61" s="733">
        <f t="shared" si="8"/>
        <v>224.06651573627818</v>
      </c>
      <c r="L61" s="733">
        <f t="shared" si="8"/>
        <v>0</v>
      </c>
      <c r="M61" s="733">
        <f t="shared" ca="1" si="8"/>
        <v>0</v>
      </c>
      <c r="N61" s="733">
        <f t="shared" si="8"/>
        <v>0</v>
      </c>
      <c r="O61" s="733">
        <f t="shared" ca="1" si="8"/>
        <v>0</v>
      </c>
      <c r="P61" s="733">
        <f t="shared" si="8"/>
        <v>0</v>
      </c>
      <c r="Q61" s="733">
        <f t="shared" si="8"/>
        <v>0</v>
      </c>
      <c r="R61" s="733">
        <f ca="1">R46+R52+R56</f>
        <v>115038.24274925599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0.19908883023625198</v>
      </c>
      <c r="D63" s="779">
        <f t="shared" ca="1" si="9"/>
        <v>0</v>
      </c>
      <c r="E63" s="973">
        <f t="shared" ca="1" si="9"/>
        <v>0.20200000000000001</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10198.607716229339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10198.607716229339</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10198.607716229339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10198.607716229339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58077.900125759545</v>
      </c>
      <c r="C4" s="455">
        <f>huishoudens!C8</f>
        <v>0</v>
      </c>
      <c r="D4" s="455">
        <f>huishoudens!D8</f>
        <v>114067.61755333147</v>
      </c>
      <c r="E4" s="455">
        <f>huishoudens!E8</f>
        <v>25656.778399340612</v>
      </c>
      <c r="F4" s="455">
        <f>huishoudens!F8</f>
        <v>36743.185843180174</v>
      </c>
      <c r="G4" s="455">
        <f>huishoudens!G8</f>
        <v>0</v>
      </c>
      <c r="H4" s="455">
        <f>huishoudens!H8</f>
        <v>0</v>
      </c>
      <c r="I4" s="455">
        <f>huishoudens!I8</f>
        <v>0</v>
      </c>
      <c r="J4" s="455">
        <f>huishoudens!J8</f>
        <v>286.48909411716329</v>
      </c>
      <c r="K4" s="455">
        <f>huishoudens!K8</f>
        <v>0</v>
      </c>
      <c r="L4" s="455">
        <f>huishoudens!L8</f>
        <v>0</v>
      </c>
      <c r="M4" s="455">
        <f>huishoudens!M8</f>
        <v>0</v>
      </c>
      <c r="N4" s="455">
        <f>huishoudens!N8</f>
        <v>32059.866236568734</v>
      </c>
      <c r="O4" s="455">
        <f>huishoudens!O8</f>
        <v>581.29975828040028</v>
      </c>
      <c r="P4" s="456">
        <f>huishoudens!P8</f>
        <v>937.52237838396695</v>
      </c>
      <c r="Q4" s="457">
        <f>SUM(B4:P4)</f>
        <v>268410.65938896203</v>
      </c>
    </row>
    <row r="5" spans="1:17">
      <c r="A5" s="454" t="s">
        <v>155</v>
      </c>
      <c r="B5" s="455">
        <f ca="1">tertiair!B16</f>
        <v>32473.15704563709</v>
      </c>
      <c r="C5" s="455">
        <f ca="1">tertiair!C16</f>
        <v>0</v>
      </c>
      <c r="D5" s="455">
        <f ca="1">tertiair!D16</f>
        <v>48152.240540862738</v>
      </c>
      <c r="E5" s="455">
        <f>tertiair!E16</f>
        <v>112.63180935831805</v>
      </c>
      <c r="F5" s="455">
        <f ca="1">tertiair!F16</f>
        <v>5620.8417257925294</v>
      </c>
      <c r="G5" s="455">
        <f>tertiair!G16</f>
        <v>0</v>
      </c>
      <c r="H5" s="455">
        <f>tertiair!H16</f>
        <v>0</v>
      </c>
      <c r="I5" s="455">
        <f>tertiair!I16</f>
        <v>0</v>
      </c>
      <c r="J5" s="455">
        <f>tertiair!J16</f>
        <v>4.846055357867772E-2</v>
      </c>
      <c r="K5" s="455">
        <f>tertiair!K16</f>
        <v>0</v>
      </c>
      <c r="L5" s="455">
        <f ca="1">tertiair!L16</f>
        <v>0</v>
      </c>
      <c r="M5" s="455">
        <f>tertiair!M16</f>
        <v>0</v>
      </c>
      <c r="N5" s="455">
        <f ca="1">tertiair!N16</f>
        <v>1796.8680421672514</v>
      </c>
      <c r="O5" s="455">
        <f>tertiair!O16</f>
        <v>14.691782297523464</v>
      </c>
      <c r="P5" s="456">
        <f>tertiair!P16</f>
        <v>0</v>
      </c>
      <c r="Q5" s="454">
        <f t="shared" ref="Q5:Q14" ca="1" si="0">SUM(B5:P5)</f>
        <v>88170.479406669037</v>
      </c>
    </row>
    <row r="6" spans="1:17">
      <c r="A6" s="454" t="s">
        <v>193</v>
      </c>
      <c r="B6" s="455">
        <f>'openbare verlichting'!B8</f>
        <v>1998.3320000000001</v>
      </c>
      <c r="C6" s="455"/>
      <c r="D6" s="455"/>
      <c r="E6" s="455"/>
      <c r="F6" s="455"/>
      <c r="G6" s="455"/>
      <c r="H6" s="455"/>
      <c r="I6" s="455"/>
      <c r="J6" s="455"/>
      <c r="K6" s="455"/>
      <c r="L6" s="455"/>
      <c r="M6" s="455"/>
      <c r="N6" s="455"/>
      <c r="O6" s="455"/>
      <c r="P6" s="456"/>
      <c r="Q6" s="454">
        <f t="shared" si="0"/>
        <v>1998.3320000000001</v>
      </c>
    </row>
    <row r="7" spans="1:17">
      <c r="A7" s="454" t="s">
        <v>111</v>
      </c>
      <c r="B7" s="455">
        <f>landbouw!B8</f>
        <v>1313.3550965951299</v>
      </c>
      <c r="C7" s="455">
        <f>landbouw!C8</f>
        <v>0</v>
      </c>
      <c r="D7" s="455">
        <f>landbouw!D8</f>
        <v>445.08008940762022</v>
      </c>
      <c r="E7" s="455">
        <f>landbouw!E8</f>
        <v>48.979028818698026</v>
      </c>
      <c r="F7" s="455">
        <f>landbouw!F8</f>
        <v>4261.0314337406953</v>
      </c>
      <c r="G7" s="455">
        <f>landbouw!G8</f>
        <v>0</v>
      </c>
      <c r="H7" s="455">
        <f>landbouw!H8</f>
        <v>0</v>
      </c>
      <c r="I7" s="455">
        <f>landbouw!I8</f>
        <v>0</v>
      </c>
      <c r="J7" s="455">
        <f>landbouw!J8</f>
        <v>344.76219676836695</v>
      </c>
      <c r="K7" s="455">
        <f>landbouw!K8</f>
        <v>0</v>
      </c>
      <c r="L7" s="455">
        <f>landbouw!L8</f>
        <v>0</v>
      </c>
      <c r="M7" s="455">
        <f>landbouw!M8</f>
        <v>0</v>
      </c>
      <c r="N7" s="455">
        <f>landbouw!N8</f>
        <v>0</v>
      </c>
      <c r="O7" s="455">
        <f>landbouw!O8</f>
        <v>0</v>
      </c>
      <c r="P7" s="456">
        <f>landbouw!P8</f>
        <v>0</v>
      </c>
      <c r="Q7" s="454">
        <f t="shared" si="0"/>
        <v>6413.2078453305103</v>
      </c>
    </row>
    <row r="8" spans="1:17">
      <c r="A8" s="454" t="s">
        <v>626</v>
      </c>
      <c r="B8" s="455">
        <f>industrie!B18</f>
        <v>7508.2887702597509</v>
      </c>
      <c r="C8" s="455">
        <f>industrie!C18</f>
        <v>0</v>
      </c>
      <c r="D8" s="455">
        <f>industrie!D18</f>
        <v>8073.2621180283659</v>
      </c>
      <c r="E8" s="455">
        <f>industrie!E18</f>
        <v>31.606134695076612</v>
      </c>
      <c r="F8" s="455">
        <f>industrie!F18</f>
        <v>2778.8674787864843</v>
      </c>
      <c r="G8" s="455">
        <f>industrie!G18</f>
        <v>0</v>
      </c>
      <c r="H8" s="455">
        <f>industrie!H18</f>
        <v>0</v>
      </c>
      <c r="I8" s="455">
        <f>industrie!I18</f>
        <v>0</v>
      </c>
      <c r="J8" s="455">
        <f>industrie!J18</f>
        <v>1.6565077029199284</v>
      </c>
      <c r="K8" s="455">
        <f>industrie!K18</f>
        <v>0</v>
      </c>
      <c r="L8" s="455">
        <f>industrie!L18</f>
        <v>0</v>
      </c>
      <c r="M8" s="455">
        <f>industrie!M18</f>
        <v>0</v>
      </c>
      <c r="N8" s="455">
        <f>industrie!N18</f>
        <v>314.65499657627532</v>
      </c>
      <c r="O8" s="455">
        <f>industrie!O18</f>
        <v>0</v>
      </c>
      <c r="P8" s="456">
        <f>industrie!P18</f>
        <v>0</v>
      </c>
      <c r="Q8" s="454">
        <f t="shared" si="0"/>
        <v>18708.336006048874</v>
      </c>
    </row>
    <row r="9" spans="1:17" s="460" customFormat="1">
      <c r="A9" s="458" t="s">
        <v>552</v>
      </c>
      <c r="B9" s="459">
        <f>transport!B14</f>
        <v>112.56103013021809</v>
      </c>
      <c r="C9" s="459">
        <f>transport!C14</f>
        <v>0</v>
      </c>
      <c r="D9" s="459">
        <f>transport!D14</f>
        <v>498.57608828196641</v>
      </c>
      <c r="E9" s="459">
        <f>transport!E14</f>
        <v>264.89650900993746</v>
      </c>
      <c r="F9" s="459">
        <f>transport!F14</f>
        <v>0</v>
      </c>
      <c r="G9" s="459">
        <f>transport!G14</f>
        <v>118428.2647730904</v>
      </c>
      <c r="H9" s="459">
        <f>transport!H14</f>
        <v>31694.229460990195</v>
      </c>
      <c r="I9" s="459">
        <f>transport!I14</f>
        <v>0</v>
      </c>
      <c r="J9" s="459">
        <f>transport!J14</f>
        <v>0</v>
      </c>
      <c r="K9" s="459">
        <f>transport!K14</f>
        <v>0</v>
      </c>
      <c r="L9" s="459">
        <f>transport!L14</f>
        <v>0</v>
      </c>
      <c r="M9" s="459">
        <f>transport!M14</f>
        <v>8870.9522875082621</v>
      </c>
      <c r="N9" s="459">
        <f>transport!N14</f>
        <v>0</v>
      </c>
      <c r="O9" s="459">
        <f>transport!O14</f>
        <v>0</v>
      </c>
      <c r="P9" s="459">
        <f>transport!P14</f>
        <v>0</v>
      </c>
      <c r="Q9" s="458">
        <f>SUM(B9:P9)</f>
        <v>159869.48014901098</v>
      </c>
    </row>
    <row r="10" spans="1:17">
      <c r="A10" s="454" t="s">
        <v>542</v>
      </c>
      <c r="B10" s="455">
        <f>transport!B54</f>
        <v>0</v>
      </c>
      <c r="C10" s="455">
        <f>transport!C54</f>
        <v>0</v>
      </c>
      <c r="D10" s="455">
        <f>transport!D54</f>
        <v>0</v>
      </c>
      <c r="E10" s="455">
        <f>transport!E54</f>
        <v>0</v>
      </c>
      <c r="F10" s="455">
        <f>transport!F54</f>
        <v>0</v>
      </c>
      <c r="G10" s="455">
        <f>transport!G54</f>
        <v>1834.9945994220056</v>
      </c>
      <c r="H10" s="455">
        <f>transport!H54</f>
        <v>0</v>
      </c>
      <c r="I10" s="455">
        <f>transport!I54</f>
        <v>0</v>
      </c>
      <c r="J10" s="455">
        <f>transport!J54</f>
        <v>0</v>
      </c>
      <c r="K10" s="455">
        <f>transport!K54</f>
        <v>0</v>
      </c>
      <c r="L10" s="455">
        <f>transport!L54</f>
        <v>0</v>
      </c>
      <c r="M10" s="455">
        <f>transport!M54</f>
        <v>99.577258338501665</v>
      </c>
      <c r="N10" s="455">
        <f>transport!N54</f>
        <v>0</v>
      </c>
      <c r="O10" s="455">
        <f>transport!O54</f>
        <v>0</v>
      </c>
      <c r="P10" s="456">
        <f>transport!P54</f>
        <v>0</v>
      </c>
      <c r="Q10" s="454">
        <f t="shared" si="0"/>
        <v>1934.5718577605073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1381.3980606893599</v>
      </c>
      <c r="C14" s="462"/>
      <c r="D14" s="462">
        <f>'SEAP template'!E25</f>
        <v>3089.0803548219501</v>
      </c>
      <c r="E14" s="462"/>
      <c r="F14" s="462"/>
      <c r="G14" s="462"/>
      <c r="H14" s="462"/>
      <c r="I14" s="462"/>
      <c r="J14" s="462"/>
      <c r="K14" s="462"/>
      <c r="L14" s="462"/>
      <c r="M14" s="462"/>
      <c r="N14" s="462"/>
      <c r="O14" s="462"/>
      <c r="P14" s="463"/>
      <c r="Q14" s="454">
        <f t="shared" si="0"/>
        <v>4470.4784155113102</v>
      </c>
    </row>
    <row r="15" spans="1:17" s="466" customFormat="1">
      <c r="A15" s="464" t="s">
        <v>546</v>
      </c>
      <c r="B15" s="465">
        <f ca="1">SUM(B4:B14)</f>
        <v>102864.99212907109</v>
      </c>
      <c r="C15" s="465">
        <f t="shared" ref="C15:Q15" ca="1" si="1">SUM(C4:C14)</f>
        <v>0</v>
      </c>
      <c r="D15" s="465">
        <f t="shared" ca="1" si="1"/>
        <v>174325.8567447341</v>
      </c>
      <c r="E15" s="465">
        <f t="shared" si="1"/>
        <v>26114.891881222644</v>
      </c>
      <c r="F15" s="465">
        <f t="shared" ca="1" si="1"/>
        <v>49403.92648149989</v>
      </c>
      <c r="G15" s="465">
        <f t="shared" si="1"/>
        <v>120263.2593725124</v>
      </c>
      <c r="H15" s="465">
        <f t="shared" si="1"/>
        <v>31694.229460990195</v>
      </c>
      <c r="I15" s="465">
        <f t="shared" si="1"/>
        <v>0</v>
      </c>
      <c r="J15" s="465">
        <f t="shared" si="1"/>
        <v>632.95625914202878</v>
      </c>
      <c r="K15" s="465">
        <f t="shared" si="1"/>
        <v>0</v>
      </c>
      <c r="L15" s="465">
        <f t="shared" ca="1" si="1"/>
        <v>0</v>
      </c>
      <c r="M15" s="465">
        <f t="shared" si="1"/>
        <v>8970.5295458467644</v>
      </c>
      <c r="N15" s="465">
        <f t="shared" ca="1" si="1"/>
        <v>34171.389275312264</v>
      </c>
      <c r="O15" s="465">
        <f t="shared" si="1"/>
        <v>595.99154057792373</v>
      </c>
      <c r="P15" s="465">
        <f t="shared" si="1"/>
        <v>937.52237838396695</v>
      </c>
      <c r="Q15" s="465">
        <f t="shared" ca="1" si="1"/>
        <v>549975.54506929335</v>
      </c>
    </row>
    <row r="17" spans="1:17">
      <c r="A17" s="467" t="s">
        <v>547</v>
      </c>
      <c r="B17" s="784">
        <f ca="1">huishoudens!B10</f>
        <v>0.19908883023625198</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11562.66119861534</v>
      </c>
      <c r="C22" s="455">
        <f t="shared" ref="C22:C32" ca="1" si="3">C4*$C$17</f>
        <v>0</v>
      </c>
      <c r="D22" s="455">
        <f t="shared" ref="D22:D32" si="4">D4*$D$17</f>
        <v>23041.658745772958</v>
      </c>
      <c r="E22" s="455">
        <f t="shared" ref="E22:E32" si="5">E4*$E$17</f>
        <v>5824.0886966503194</v>
      </c>
      <c r="F22" s="455">
        <f t="shared" ref="F22:F32" si="6">F4*$F$17</f>
        <v>9810.4306201291074</v>
      </c>
      <c r="G22" s="455">
        <f t="shared" ref="G22:G32" si="7">G4*$G$17</f>
        <v>0</v>
      </c>
      <c r="H22" s="455">
        <f t="shared" ref="H22:H32" si="8">H4*$H$17</f>
        <v>0</v>
      </c>
      <c r="I22" s="455">
        <f t="shared" ref="I22:I32" si="9">I4*$I$17</f>
        <v>0</v>
      </c>
      <c r="J22" s="455">
        <f t="shared" ref="J22:J32" si="10">J4*$J$17</f>
        <v>101.4171393174758</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50340.256400485203</v>
      </c>
    </row>
    <row r="23" spans="1:17">
      <c r="A23" s="454" t="s">
        <v>155</v>
      </c>
      <c r="B23" s="455">
        <f t="shared" ca="1" si="2"/>
        <v>6465.0428502939931</v>
      </c>
      <c r="C23" s="455">
        <f t="shared" ca="1" si="3"/>
        <v>0</v>
      </c>
      <c r="D23" s="455">
        <f t="shared" ca="1" si="4"/>
        <v>9726.7525892542744</v>
      </c>
      <c r="E23" s="455">
        <f t="shared" si="5"/>
        <v>25.567420724338199</v>
      </c>
      <c r="F23" s="455">
        <f t="shared" ca="1" si="6"/>
        <v>1500.7647407866054</v>
      </c>
      <c r="G23" s="455">
        <f t="shared" si="7"/>
        <v>0</v>
      </c>
      <c r="H23" s="455">
        <f t="shared" si="8"/>
        <v>0</v>
      </c>
      <c r="I23" s="455">
        <f t="shared" si="9"/>
        <v>0</v>
      </c>
      <c r="J23" s="455">
        <f t="shared" si="10"/>
        <v>1.7155035966851914E-2</v>
      </c>
      <c r="K23" s="455">
        <f t="shared" si="11"/>
        <v>0</v>
      </c>
      <c r="L23" s="455">
        <f t="shared" ca="1" si="12"/>
        <v>0</v>
      </c>
      <c r="M23" s="455">
        <f t="shared" si="13"/>
        <v>0</v>
      </c>
      <c r="N23" s="455">
        <f t="shared" ca="1" si="14"/>
        <v>0</v>
      </c>
      <c r="O23" s="455">
        <f t="shared" si="15"/>
        <v>0</v>
      </c>
      <c r="P23" s="456">
        <f t="shared" si="16"/>
        <v>0</v>
      </c>
      <c r="Q23" s="454">
        <f t="shared" ref="Q23:Q31" ca="1" si="17">SUM(B23:P23)</f>
        <v>17718.144756095175</v>
      </c>
    </row>
    <row r="24" spans="1:17">
      <c r="A24" s="454" t="s">
        <v>193</v>
      </c>
      <c r="B24" s="455">
        <f t="shared" ca="1" si="2"/>
        <v>397.84558030366992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397.84558030366992</v>
      </c>
    </row>
    <row r="25" spans="1:17">
      <c r="A25" s="454" t="s">
        <v>111</v>
      </c>
      <c r="B25" s="455">
        <f t="shared" ca="1" si="2"/>
        <v>261.47432986594413</v>
      </c>
      <c r="C25" s="455">
        <f t="shared" ca="1" si="3"/>
        <v>0</v>
      </c>
      <c r="D25" s="455">
        <f t="shared" si="4"/>
        <v>89.906178060339286</v>
      </c>
      <c r="E25" s="455">
        <f t="shared" si="5"/>
        <v>11.118239541844453</v>
      </c>
      <c r="F25" s="455">
        <f t="shared" si="6"/>
        <v>1137.6953928087657</v>
      </c>
      <c r="G25" s="455">
        <f t="shared" si="7"/>
        <v>0</v>
      </c>
      <c r="H25" s="455">
        <f t="shared" si="8"/>
        <v>0</v>
      </c>
      <c r="I25" s="455">
        <f t="shared" si="9"/>
        <v>0</v>
      </c>
      <c r="J25" s="455">
        <f t="shared" si="10"/>
        <v>122.04581765600189</v>
      </c>
      <c r="K25" s="455">
        <f t="shared" si="11"/>
        <v>0</v>
      </c>
      <c r="L25" s="455">
        <f t="shared" si="12"/>
        <v>0</v>
      </c>
      <c r="M25" s="455">
        <f t="shared" si="13"/>
        <v>0</v>
      </c>
      <c r="N25" s="455">
        <f t="shared" si="14"/>
        <v>0</v>
      </c>
      <c r="O25" s="455">
        <f t="shared" si="15"/>
        <v>0</v>
      </c>
      <c r="P25" s="456">
        <f t="shared" si="16"/>
        <v>0</v>
      </c>
      <c r="Q25" s="454">
        <f t="shared" ca="1" si="17"/>
        <v>1622.2399579328955</v>
      </c>
    </row>
    <row r="26" spans="1:17">
      <c r="A26" s="454" t="s">
        <v>626</v>
      </c>
      <c r="B26" s="455">
        <f t="shared" ca="1" si="2"/>
        <v>1494.8164283470007</v>
      </c>
      <c r="C26" s="455">
        <f t="shared" ca="1" si="3"/>
        <v>0</v>
      </c>
      <c r="D26" s="455">
        <f t="shared" si="4"/>
        <v>1630.7989478417301</v>
      </c>
      <c r="E26" s="455">
        <f t="shared" si="5"/>
        <v>7.1745925757823912</v>
      </c>
      <c r="F26" s="455">
        <f t="shared" si="6"/>
        <v>741.9576168359913</v>
      </c>
      <c r="G26" s="455">
        <f t="shared" si="7"/>
        <v>0</v>
      </c>
      <c r="H26" s="455">
        <f t="shared" si="8"/>
        <v>0</v>
      </c>
      <c r="I26" s="455">
        <f t="shared" si="9"/>
        <v>0</v>
      </c>
      <c r="J26" s="455">
        <f t="shared" si="10"/>
        <v>0.5864037268336546</v>
      </c>
      <c r="K26" s="455">
        <f t="shared" si="11"/>
        <v>0</v>
      </c>
      <c r="L26" s="455">
        <f t="shared" si="12"/>
        <v>0</v>
      </c>
      <c r="M26" s="455">
        <f t="shared" si="13"/>
        <v>0</v>
      </c>
      <c r="N26" s="455">
        <f t="shared" si="14"/>
        <v>0</v>
      </c>
      <c r="O26" s="455">
        <f t="shared" si="15"/>
        <v>0</v>
      </c>
      <c r="P26" s="456">
        <f t="shared" si="16"/>
        <v>0</v>
      </c>
      <c r="Q26" s="454">
        <f t="shared" ca="1" si="17"/>
        <v>3875.3339893273383</v>
      </c>
    </row>
    <row r="27" spans="1:17" s="460" customFormat="1">
      <c r="A27" s="458" t="s">
        <v>552</v>
      </c>
      <c r="B27" s="778">
        <f t="shared" ca="1" si="2"/>
        <v>22.409643818812633</v>
      </c>
      <c r="C27" s="459">
        <f t="shared" ca="1" si="3"/>
        <v>0</v>
      </c>
      <c r="D27" s="459">
        <f t="shared" si="4"/>
        <v>100.71236983295722</v>
      </c>
      <c r="E27" s="459">
        <f t="shared" si="5"/>
        <v>60.131507545255808</v>
      </c>
      <c r="F27" s="459">
        <f t="shared" si="6"/>
        <v>0</v>
      </c>
      <c r="G27" s="459">
        <f t="shared" si="7"/>
        <v>31620.346694415137</v>
      </c>
      <c r="H27" s="459">
        <f t="shared" si="8"/>
        <v>7891.8631357865588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39695.463351398721</v>
      </c>
    </row>
    <row r="28" spans="1:17" ht="16.5" customHeight="1">
      <c r="A28" s="454" t="s">
        <v>542</v>
      </c>
      <c r="B28" s="455">
        <f t="shared" ca="1" si="2"/>
        <v>0</v>
      </c>
      <c r="C28" s="455">
        <f t="shared" ca="1" si="3"/>
        <v>0</v>
      </c>
      <c r="D28" s="455">
        <f t="shared" si="4"/>
        <v>0</v>
      </c>
      <c r="E28" s="455">
        <f t="shared" si="5"/>
        <v>0</v>
      </c>
      <c r="F28" s="455">
        <f t="shared" si="6"/>
        <v>0</v>
      </c>
      <c r="G28" s="455">
        <f t="shared" si="7"/>
        <v>489.94355804567556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489.94355804567556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275.02092399327171</v>
      </c>
      <c r="C32" s="455">
        <f t="shared" ca="1" si="3"/>
        <v>0</v>
      </c>
      <c r="D32" s="455">
        <f t="shared" si="4"/>
        <v>623.99423167403393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899.01515566730563</v>
      </c>
    </row>
    <row r="33" spans="1:17" s="466" customFormat="1">
      <c r="A33" s="464" t="s">
        <v>546</v>
      </c>
      <c r="B33" s="465">
        <f ca="1">SUM(B22:B32)</f>
        <v>20479.270955238033</v>
      </c>
      <c r="C33" s="465">
        <f t="shared" ref="C33:Q33" ca="1" si="19">SUM(C22:C32)</f>
        <v>0</v>
      </c>
      <c r="D33" s="465">
        <f t="shared" ca="1" si="19"/>
        <v>35213.823062436291</v>
      </c>
      <c r="E33" s="465">
        <f t="shared" si="19"/>
        <v>5928.0804570375403</v>
      </c>
      <c r="F33" s="465">
        <f t="shared" ca="1" si="19"/>
        <v>13190.84837056047</v>
      </c>
      <c r="G33" s="465">
        <f t="shared" si="19"/>
        <v>32110.290252460811</v>
      </c>
      <c r="H33" s="465">
        <f t="shared" si="19"/>
        <v>7891.8631357865588</v>
      </c>
      <c r="I33" s="465">
        <f t="shared" si="19"/>
        <v>0</v>
      </c>
      <c r="J33" s="465">
        <f t="shared" si="19"/>
        <v>224.06651573627821</v>
      </c>
      <c r="K33" s="465">
        <f t="shared" si="19"/>
        <v>0</v>
      </c>
      <c r="L33" s="465">
        <f t="shared" ca="1" si="19"/>
        <v>0</v>
      </c>
      <c r="M33" s="465">
        <f t="shared" si="19"/>
        <v>0</v>
      </c>
      <c r="N33" s="465">
        <f t="shared" ca="1" si="19"/>
        <v>0</v>
      </c>
      <c r="O33" s="465">
        <f t="shared" si="19"/>
        <v>0</v>
      </c>
      <c r="P33" s="465">
        <f t="shared" si="19"/>
        <v>0</v>
      </c>
      <c r="Q33" s="465">
        <f t="shared" ca="1" si="19"/>
        <v>115038.24274925598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10198.607716229339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10198.607716229339</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0.19908883023625198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0.19908883023625198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2020-06-20T15:23:43Z</dcterms:modified>
</cp:coreProperties>
</file>