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34" i="50" l="1"/>
  <c r="E32" i="50"/>
  <c r="E30" i="50"/>
  <c r="E28" i="50"/>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5" i="18" l="1"/>
  <c r="I33" i="48" l="1"/>
  <c r="K33" i="48"/>
  <c r="E32" i="48"/>
  <c r="F32" i="48"/>
  <c r="G32" i="48"/>
  <c r="H32" i="48"/>
  <c r="I32" i="48"/>
  <c r="J32" i="48"/>
  <c r="K32" i="48"/>
  <c r="L32" i="48"/>
  <c r="M32" i="48"/>
  <c r="N32" i="48"/>
  <c r="O32" i="48"/>
  <c r="P32" i="48"/>
  <c r="I15" i="48"/>
  <c r="K15" i="48"/>
  <c r="E25" i="14" l="1"/>
  <c r="E55" i="14" s="1"/>
  <c r="C25" i="14"/>
  <c r="B14" i="48" l="1"/>
  <c r="Q14" i="48" s="1"/>
  <c r="R25" i="14"/>
  <c r="D14" i="48"/>
  <c r="D32" i="48" s="1"/>
  <c r="B5" i="17"/>
  <c r="N18" i="18" l="1"/>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44" i="18" l="1"/>
  <c r="V44" i="18"/>
  <c r="U44" i="18"/>
  <c r="T44" i="18"/>
  <c r="S44" i="18"/>
  <c r="R44" i="18"/>
  <c r="Q44" i="18"/>
  <c r="P44" i="18"/>
  <c r="O44" i="18"/>
  <c r="N44" i="18"/>
  <c r="M44" i="18"/>
  <c r="W43" i="18"/>
  <c r="V43" i="18"/>
  <c r="U43" i="18"/>
  <c r="T43" i="18"/>
  <c r="S43" i="18"/>
  <c r="R43" i="18"/>
  <c r="Q43" i="18"/>
  <c r="P43" i="18"/>
  <c r="O43" i="18"/>
  <c r="N43" i="18"/>
  <c r="M43" i="18"/>
  <c r="W42" i="18"/>
  <c r="V42" i="18"/>
  <c r="U42" i="18"/>
  <c r="T42" i="18"/>
  <c r="S42" i="18"/>
  <c r="R42" i="18"/>
  <c r="Q42" i="18"/>
  <c r="P42" i="18"/>
  <c r="O42" i="18"/>
  <c r="N42" i="18"/>
  <c r="M42" i="18"/>
  <c r="W41" i="18"/>
  <c r="H9" i="18" s="1"/>
  <c r="M77" i="14" s="1"/>
  <c r="M9" i="59" s="1"/>
  <c r="V41" i="18"/>
  <c r="U41" i="18"/>
  <c r="T41" i="18"/>
  <c r="S41" i="18"/>
  <c r="E9" i="18" s="1"/>
  <c r="F77" i="14" s="1"/>
  <c r="F9" i="59" s="1"/>
  <c r="R41" i="18"/>
  <c r="Q41" i="18"/>
  <c r="P41" i="18"/>
  <c r="O41" i="18"/>
  <c r="N41" i="18"/>
  <c r="B9" i="18" s="1"/>
  <c r="M41" i="18"/>
  <c r="W37" i="18"/>
  <c r="V37" i="18"/>
  <c r="U37" i="18"/>
  <c r="T37" i="18"/>
  <c r="L6" i="17" s="1"/>
  <c r="L5" i="17" s="1"/>
  <c r="S37" i="18"/>
  <c r="R37" i="18"/>
  <c r="Q37" i="18"/>
  <c r="P37" i="18"/>
  <c r="O37" i="18"/>
  <c r="C6" i="17" s="1"/>
  <c r="N37" i="18"/>
  <c r="M37" i="18"/>
  <c r="W36" i="18"/>
  <c r="V36" i="18"/>
  <c r="U36" i="18"/>
  <c r="T36" i="18"/>
  <c r="S36" i="18"/>
  <c r="R36" i="18"/>
  <c r="Q36" i="18"/>
  <c r="P36" i="18"/>
  <c r="O36" i="18"/>
  <c r="C13" i="15" s="1"/>
  <c r="N36" i="18"/>
  <c r="M36" i="18"/>
  <c r="W35" i="18"/>
  <c r="V35" i="18"/>
  <c r="U35" i="18"/>
  <c r="T35" i="18"/>
  <c r="S35" i="18"/>
  <c r="F16" i="16" s="1"/>
  <c r="R35" i="18"/>
  <c r="Q35" i="18"/>
  <c r="P35" i="18"/>
  <c r="D16" i="16" s="1"/>
  <c r="O35" i="18"/>
  <c r="N35" i="18"/>
  <c r="W34" i="18"/>
  <c r="V34" i="18"/>
  <c r="U34" i="18"/>
  <c r="T34" i="18"/>
  <c r="S34" i="18"/>
  <c r="R34" i="18"/>
  <c r="Q34" i="18"/>
  <c r="P34" i="18"/>
  <c r="O34" i="18"/>
  <c r="B17" i="18" s="1"/>
  <c r="N34" i="18"/>
  <c r="B8" i="18" s="1"/>
  <c r="M34"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D6" i="17" l="1"/>
  <c r="I9" i="18"/>
  <c r="I77" i="14" s="1"/>
  <c r="I9" i="59" s="1"/>
  <c r="J15" i="16"/>
  <c r="B13" i="15"/>
  <c r="F6" i="17"/>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50" i="18"/>
  <c r="B54" i="18" s="1"/>
  <c r="B16" i="16"/>
  <c r="K9" i="14"/>
  <c r="H77" i="14"/>
  <c r="J11" i="48"/>
  <c r="J29" i="48" s="1"/>
  <c r="M9" i="14"/>
  <c r="L11" i="48"/>
  <c r="O19" i="14"/>
  <c r="O22" i="14" s="1"/>
  <c r="N10" i="48"/>
  <c r="N28" i="48" s="1"/>
  <c r="J19" i="14"/>
  <c r="J22" i="14" s="1"/>
  <c r="J27" i="14" s="1"/>
  <c r="I10" i="48"/>
  <c r="I28" i="48" s="1"/>
  <c r="J19" i="19"/>
  <c r="K39" i="14" s="1"/>
  <c r="N19" i="19"/>
  <c r="O39" i="14" s="1"/>
  <c r="C50" i="18"/>
  <c r="I53"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B47" i="13" s="1"/>
  <c r="P8" i="48"/>
  <c r="P26" i="48" s="1"/>
  <c r="D18" i="16"/>
  <c r="D22" i="16" s="1"/>
  <c r="E43" i="14" s="1"/>
  <c r="G31" i="20"/>
  <c r="H48" i="14" s="1"/>
  <c r="G12" i="22"/>
  <c r="D16" i="15"/>
  <c r="K24" i="14"/>
  <c r="K26" i="14" s="1"/>
  <c r="E8" i="17"/>
  <c r="F24" i="14" s="1"/>
  <c r="F26" i="14" s="1"/>
  <c r="O18" i="16"/>
  <c r="O22" i="16" s="1"/>
  <c r="P43" i="14" s="1"/>
  <c r="B36" i="13"/>
  <c r="H13" i="48"/>
  <c r="H31" i="48" s="1"/>
  <c r="H12" i="22"/>
  <c r="B34" i="13"/>
  <c r="N8" i="17"/>
  <c r="N12" i="17" s="1"/>
  <c r="O54" i="14" s="1"/>
  <c r="O56" i="14" s="1"/>
  <c r="L8" i="17"/>
  <c r="L12" i="17" s="1"/>
  <c r="M54" i="14" s="1"/>
  <c r="M56" i="14" s="1"/>
  <c r="M50" i="22"/>
  <c r="M54" i="22" s="1"/>
  <c r="M10" i="48" s="1"/>
  <c r="G51" i="22"/>
  <c r="G50" i="22" s="1"/>
  <c r="G54" i="22" s="1"/>
  <c r="H19" i="14" s="1"/>
  <c r="E24" i="14"/>
  <c r="E26" i="14" s="1"/>
  <c r="B9" i="48"/>
  <c r="E53" i="18"/>
  <c r="E8" i="18" s="1"/>
  <c r="F76" i="14" s="1"/>
  <c r="F7" i="48"/>
  <c r="F25" i="48" s="1"/>
  <c r="D53" i="18"/>
  <c r="O9" i="18"/>
  <c r="M29" i="48"/>
  <c r="F12" i="17"/>
  <c r="G54" i="14" s="1"/>
  <c r="G56" i="14" s="1"/>
  <c r="C54" i="18"/>
  <c r="C53" i="18"/>
  <c r="B10" i="18"/>
  <c r="E54" i="18"/>
  <c r="E17" i="18" s="1"/>
  <c r="F87" i="14" s="1"/>
  <c r="G54" i="18"/>
  <c r="D7" i="48"/>
  <c r="D25" i="48" s="1"/>
  <c r="H53" i="18"/>
  <c r="G53" i="18"/>
  <c r="D54" i="18"/>
  <c r="L28" i="48"/>
  <c r="H54" i="18"/>
  <c r="I54" i="18"/>
  <c r="H17" i="18" s="1"/>
  <c r="F54" i="18"/>
  <c r="F53" i="18"/>
  <c r="H10" i="18"/>
  <c r="M78" i="14"/>
  <c r="B53"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G14" i="22" s="1"/>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B46" i="13"/>
  <c r="E5" i="13" s="1"/>
  <c r="E8" i="13" s="1"/>
  <c r="E12" i="13" s="1"/>
  <c r="F41" i="14" s="1"/>
  <c r="L27" i="48"/>
  <c r="B48" i="13"/>
  <c r="C48" i="13" s="1"/>
  <c r="N5" i="13" s="1"/>
  <c r="N8" i="13" s="1"/>
  <c r="N4" i="48" s="1"/>
  <c r="N22" i="48" s="1"/>
  <c r="M30" i="48"/>
  <c r="M26" i="48"/>
  <c r="M25" i="48"/>
  <c r="C50" i="13"/>
  <c r="J5" i="13" s="1"/>
  <c r="J8" i="13" s="1"/>
  <c r="C5" i="48"/>
  <c r="E13" i="14"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Q63" i="14"/>
  <c r="N5" i="16"/>
  <c r="F5" i="48"/>
  <c r="E5" i="16"/>
  <c r="J5" i="16"/>
  <c r="C35" i="13"/>
  <c r="F5" i="16"/>
  <c r="C36" i="13"/>
  <c r="O23" i="48"/>
  <c r="N12" i="13"/>
  <c r="O41" i="14" s="1"/>
  <c r="O11" i="14"/>
  <c r="C38" i="13"/>
  <c r="C39" i="13"/>
  <c r="C32" i="13"/>
  <c r="C34" i="13"/>
  <c r="E4" i="48"/>
  <c r="E22" i="48" s="1"/>
  <c r="F11" i="14"/>
  <c r="J4" i="48"/>
  <c r="J12" i="13"/>
  <c r="K41" i="14" s="1"/>
  <c r="K11" i="14"/>
  <c r="N5" i="48"/>
  <c r="L20" i="15"/>
  <c r="I76" i="14" l="1"/>
  <c r="I8" i="59" s="1"/>
  <c r="I10" i="59" s="1"/>
  <c r="O33" i="48"/>
  <c r="B15" i="48"/>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20" i="16"/>
  <c r="C22" i="16" s="1"/>
  <c r="D43" i="14" s="1"/>
  <c r="C10" i="17"/>
  <c r="C12" i="17" s="1"/>
  <c r="D54" i="14" s="1"/>
  <c r="D56" i="14" s="1"/>
  <c r="C22" i="59"/>
  <c r="C56" i="22"/>
  <c r="C58" i="22" s="1"/>
  <c r="D49" i="14" s="1"/>
  <c r="D52" i="14" s="1"/>
  <c r="C17" i="19"/>
  <c r="C19" i="19" s="1"/>
  <c r="D39" i="14" s="1"/>
  <c r="C10" i="13"/>
  <c r="C12" i="13" s="1"/>
  <c r="D41" i="14" s="1"/>
  <c r="D46" i="14" s="1"/>
  <c r="D61" i="14" s="1"/>
  <c r="D63" i="14" s="1"/>
  <c r="C29" i="20"/>
  <c r="C17" i="49"/>
  <c r="C18" i="15"/>
  <c r="C20" i="15" s="1"/>
  <c r="D40" i="14" s="1"/>
  <c r="F26" i="48"/>
  <c r="F33" i="48" s="1"/>
  <c r="B90" i="14"/>
  <c r="B17" i="59"/>
  <c r="B20" i="59" s="1"/>
  <c r="C90" i="14"/>
  <c r="C17" i="59"/>
  <c r="C20" i="59" s="1"/>
  <c r="J26" i="48"/>
  <c r="J33" i="48" s="1"/>
  <c r="J15" i="48"/>
  <c r="E15" i="48"/>
  <c r="O46" i="14"/>
  <c r="O61" i="14" s="1"/>
  <c r="O63" i="14" s="1"/>
  <c r="K46" i="14"/>
  <c r="K61" i="14" s="1"/>
  <c r="K63" i="14" s="1"/>
  <c r="F16" i="14"/>
  <c r="R13" i="14"/>
  <c r="R16" i="14" s="1"/>
  <c r="R27" i="14" s="1"/>
  <c r="Q8" i="48"/>
  <c r="Q15" i="48" s="1"/>
  <c r="C17" i="48" l="1"/>
  <c r="C24" i="48"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<sst xmlns="http://schemas.openxmlformats.org/spreadsheetml/2006/main" count="2419" uniqueCount="889">
  <si>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</si>
  <si>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</si>
  <si>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</si>
  <si>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</si>
  <si>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</si>
  <si>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</si>
  <si>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</si>
  <si>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</si>
  <si>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</si>
  <si>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</si>
  <si>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</si>
  <si>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</si>
  <si>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</si>
  <si>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</si>
  <si>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</si>
  <si>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</si>
  <si>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</si>
  <si>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</si>
  <si>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</si>
  <si>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</si>
  <si>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</si>
  <si>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</si>
  <si>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</si>
  <si>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</si>
  <si>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</si>
  <si>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</si>
  <si>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</si>
  <si>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</si>
  <si>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</si>
  <si>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</si>
  <si>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</si>
  <si>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</si>
  <si>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</si>
  <si>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</si>
  <si>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</si>
  <si>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</si>
  <si>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</si>
  <si>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</si>
  <si>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</si>
  <si>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</si>
  <si>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</si>
  <si>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</si>
  <si>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</si>
  <si>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</si>
  <si>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</si>
  <si>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</si>
  <si>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</si>
  <si>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</si>
  <si>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</si>
  <si>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</si>
  <si>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</si>
  <si>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</si>
  <si>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</si>
  <si>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</si>
  <si>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</si>
  <si>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</si>
  <si>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</si>
  <si>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</si>
  <si>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</si>
  <si>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</si>
  <si>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</si>
  <si>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</si>
  <si>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</si>
  <si>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</si>
  <si>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</si>
  <si>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</si>
  <si>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</si>
  <si>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</si>
  <si>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</si>
  <si>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</si>
  <si>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</si>
  <si>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</si>
  <si>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</si>
  <si>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</si>
  <si>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</si>
  <si>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</si>
  <si>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</si>
  <si>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</si>
  <si>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</si>
  <si>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</si>
  <si>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</si>
  <si>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</si>
  <si>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</si>
  <si>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</si>
  <si>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</si>
  <si>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</si>
  <si>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</si>
  <si>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</si>
  <si>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</si>
  <si>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</si>
  <si>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</si>
  <si>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</si>
  <si>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</si>
  <si>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</si>
  <si>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</si>
  <si>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</si>
  <si>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</si>
  <si>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</si>
  <si>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</si>
  <si>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</si>
  <si>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</si>
  <si>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</si>
  <si>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</si>
  <si>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</si>
  <si>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</si>
  <si>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</si>
  <si>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</si>
  <si>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</si>
  <si>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</si>
  <si>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</si>
  <si>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</si>
  <si>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</si>
  <si>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</si>
  <si>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</si>
  <si>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</si>
  <si>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</si>
  <si>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</si>
  <si>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</si>
  <si>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</si>
  <si>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</si>
  <si>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</si>
  <si>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</si>
  <si>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</si>
  <si>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</si>
  <si>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</si>
  <si>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</si>
  <si>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</si>
  <si>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</si>
  <si>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</si>
  <si>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</si>
  <si>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</si>
  <si>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</si>
  <si>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</si>
  <si>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</si>
  <si>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</si>
  <si>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</si>
  <si>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</si>
  <si>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</si>
  <si>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</si>
  <si>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</si>
  <si>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</si>
  <si>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</si>
  <si>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</si>
  <si>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</si>
  <si>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</si>
  <si>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</si>
  <si>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</si>
  <si>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</si>
  <si>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</si>
  <si>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</si>
  <si>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</si>
  <si>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</si>
  <si>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</si>
  <si>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</si>
  <si>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</si>
  <si>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</si>
  <si>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</si>
  <si>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</si>
  <si>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</si>
  <si>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</si>
  <si>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</si>
  <si>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</si>
  <si>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</si>
  <si>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</si>
  <si>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</si>
  <si>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</si>
  <si>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</si>
  <si>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</si>
  <si>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</si>
  <si>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</si>
  <si>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</si>
  <si>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</si>
  <si>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</si>
  <si>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</si>
  <si>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</si>
  <si>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</si>
  <si>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</si>
  <si>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</si>
  <si>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</si>
  <si>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</si>
  <si>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</si>
  <si>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</si>
  <si>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</si>
  <si>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</si>
  <si>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</si>
  <si>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</si>
  <si>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</si>
  <si>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</si>
  <si>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</si>
  <si>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</si>
  <si>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</si>
  <si>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</si>
  <si>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</si>
  <si>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</si>
  <si>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</si>
  <si>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</si>
  <si>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</si>
  <si>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</si>
  <si>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</si>
  <si>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</si>
  <si>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</si>
  <si>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</si>
  <si>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</si>
  <si>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</si>
  <si>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</si>
  <si>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</si>
  <si>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</si>
  <si>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</si>
  <si>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</si>
  <si>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</si>
  <si>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</si>
  <si>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</si>
  <si>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</si>
  <si>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</si>
  <si>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</si>
  <si>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</si>
  <si>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</si>
  <si>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</si>
  <si>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</si>
  <si>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</si>
  <si>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</si>
  <si>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</si>
  <si>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</si>
  <si>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</si>
  <si>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</si>
  <si>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</si>
  <si>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</si>
  <si>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</si>
  <si>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</si>
  <si>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</si>
  <si>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</si>
  <si>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</si>
  <si>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</si>
  <si>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</si>
  <si>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</si>
  <si>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</si>
  <si>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</si>
  <si>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</si>
  <si>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</si>
  <si>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</si>
  <si>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</si>
  <si>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</si>
  <si>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</si>
  <si>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</si>
  <si>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</si>
  <si>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</si>
  <si>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</si>
  <si>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</si>
  <si>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</si>
  <si>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</si>
  <si>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</si>
  <si>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</si>
  <si>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</si>
  <si>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</si>
  <si>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</si>
  <si>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</si>
  <si>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</si>
  <si>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</si>
  <si>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</si>
  <si>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</si>
  <si>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</si>
  <si>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</si>
  <si>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</si>
  <si>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</si>
  <si>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</si>
  <si>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</si>
  <si>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</si>
  <si>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</si>
  <si>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</si>
  <si>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</si>
  <si>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</si>
  <si>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</si>
  <si>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</si>
  <si>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</si>
  <si>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</si>
  <si>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</si>
  <si>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</si>
  <si>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</si>
  <si>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</si>
  <si>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</si>
  <si>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</si>
  <si>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</si>
  <si>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</si>
  <si>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</si>
  <si>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</si>
  <si>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</si>
  <si>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</si>
  <si>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</si>
  <si>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</si>
  <si>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</si>
  <si>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</si>
  <si>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</si>
  <si>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</si>
  <si>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</si>
  <si>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</si>
  <si>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</si>
  <si>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</si>
  <si>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</si>
  <si>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</si>
  <si>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</si>
  <si>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</si>
  <si>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</si>
  <si>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</si>
  <si>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</si>
  <si>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</si>
  <si>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</si>
  <si>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</si>
  <si>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</si>
  <si>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</si>
  <si>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</si>
  <si>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</si>
  <si>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</si>
  <si>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</si>
  <si>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</si>
  <si>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</si>
  <si>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</si>
  <si>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</si>
  <si>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</si>
  <si>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</si>
  <si>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</si>
  <si>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</si>
  <si>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</si>
  <si>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</si>
  <si>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</si>
  <si>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</si>
  <si>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</si>
  <si>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</si>
  <si>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</si>
  <si>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</si>
  <si>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</si>
  <si>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</si>
  <si>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</si>
  <si>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</si>
  <si>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</si>
  <si>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</si>
  <si>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</si>
  <si>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</si>
  <si>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</si>
  <si>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</si>
  <si>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</si>
  <si>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</si>
  <si>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</si>
  <si>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</si>
  <si>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</si>
  <si>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</si>
  <si>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</si>
  <si>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</si>
  <si>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</si>
  <si>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</si>
  <si>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</si>
  <si>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</si>
  <si>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</si>
  <si>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</si>
  <si>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</si>
  <si>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</si>
  <si>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</si>
  <si>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</si>
  <si>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</si>
  <si>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</si>
  <si>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</si>
  <si>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</si>
  <si>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</si>
  <si>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</si>
  <si>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</si>
  <si>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</si>
  <si>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</si>
  <si>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</si>
  <si>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</si>
  <si>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</si>
  <si>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</si>
  <si>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</si>
  <si>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</si>
  <si>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</si>
  <si>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</si>
  <si>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</si>
  <si>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</si>
  <si>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</si>
  <si>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</si>
  <si>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</si>
  <si>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</si>
  <si>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</si>
  <si>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</si>
  <si>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</si>
  <si>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</si>
  <si>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</si>
  <si>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</si>
  <si>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</si>
  <si>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</si>
  <si>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</si>
  <si>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</si>
  <si>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</si>
  <si>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</si>
  <si>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</si>
  <si>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</si>
  <si>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</si>
  <si>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</si>
  <si>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</si>
  <si>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</si>
  <si>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</si>
  <si>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</si>
  <si>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</si>
  <si>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</si>
  <si>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</si>
  <si>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</si>
  <si>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</si>
  <si>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</si>
  <si>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</si>
  <si>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</si>
  <si>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</si>
  <si>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</si>
  <si>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</si>
  <si>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</si>
  <si>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</si>
  <si>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</si>
  <si>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</si>
  <si>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</si>
  <si>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</si>
  <si>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</si>
  <si>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</si>
  <si>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</si>
  <si>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</si>
  <si>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</si>
  <si>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</si>
  <si>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</si>
  <si>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</si>
  <si>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</si>
  <si>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</si>
  <si>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</si>
  <si>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</si>
  <si>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</si>
  <si>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</si>
  <si>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</si>
  <si>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</si>
  <si>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</si>
  <si>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</si>
  <si>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</si>
  <si>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</si>
  <si>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</si>
  <si>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</si>
  <si>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</si>
  <si>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</si>
  <si>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</si>
  <si>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</si>
  <si>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</si>
  <si>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</si>
  <si>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</si>
  <si>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</si>
  <si>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</si>
  <si>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</si>
  <si>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</si>
  <si>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</si>
  <si>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</si>
  <si>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</si>
  <si>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</si>
  <si>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</si>
  <si>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</si>
  <si>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</si>
  <si>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</si>
  <si>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</si>
  <si>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</si>
  <si>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</si>
  <si>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</si>
  <si>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</si>
  <si>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</si>
  <si>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</si>
  <si>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</si>
  <si>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</si>
  <si>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</si>
  <si>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</si>
  <si>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</si>
  <si>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</si>
  <si>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</si>
  <si>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</si>
  <si>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</si>
  <si>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</si>
  <si>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</si>
  <si>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</si>
  <si>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</si>
  <si>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</si>
  <si>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</si>
  <si>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</si>
  <si>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</si>
  <si>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</si>
  <si>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</si>
  <si>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</si>
  <si>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</si>
  <si>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</si>
  <si>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</si>
  <si>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</si>
  <si>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</si>
  <si>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</si>
  <si>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</si>
  <si>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</si>
  <si>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</si>
  <si>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</si>
  <si>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</si>
  <si>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</si>
  <si>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</si>
  <si>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</si>
  <si>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</si>
  <si>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</si>
  <si>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</si>
  <si>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</si>
  <si>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</si>
  <si>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</si>
  <si>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</si>
  <si>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</si>
  <si>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</si>
  <si>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</si>
  <si>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</si>
  <si>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</si>
  <si>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</si>
  <si>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</si>
  <si>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</si>
  <si>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</si>
  <si>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</si>
  <si>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</si>
  <si>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</si>
  <si>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</si>
  <si>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</si>
  <si>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</si>
  <si>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</si>
  <si>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</si>
  <si>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</si>
  <si>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</si>
  <si>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</si>
  <si>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</si>
  <si>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</si>
  <si>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</si>
  <si>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</si>
  <si>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</si>
  <si>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</si>
  <si>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</si>
  <si>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</si>
  <si>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</si>
  <si>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</si>
  <si>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</si>
  <si>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</si>
  <si>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</si>
  <si>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</si>
  <si>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</si>
  <si>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</si>
  <si>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</si>
  <si>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</si>
  <si>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</si>
  <si>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</si>
  <si>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</si>
  <si>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</si>
  <si>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</si>
  <si>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</si>
  <si>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</si>
  <si>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</si>
  <si>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</si>
  <si>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</si>
  <si>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</si>
  <si>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</si>
  <si>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</si>
  <si>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</si>
  <si>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</si>
  <si>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</si>
  <si>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</si>
  <si>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</si>
  <si>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</si>
  <si>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</si>
  <si>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</si>
  <si>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</si>
  <si>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</si>
  <si>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</si>
  <si>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</si>
  <si>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</si>
  <si>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</si>
  <si>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</si>
  <si>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</si>
  <si>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</si>
  <si>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</si>
  <si>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</si>
  <si>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</si>
  <si>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</si>
  <si>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</si>
  <si>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</si>
  <si>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</si>
  <si>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</si>
  <si>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</si>
  <si>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</si>
  <si>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</si>
  <si>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</si>
  <si>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</si>
  <si>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</si>
  <si>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</si>
  <si>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</si>
  <si>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</si>
  <si>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</si>
  <si>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</si>
  <si>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</si>
  <si>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</si>
  <si>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</si>
  <si>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</si>
  <si>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</si>
  <si>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</si>
  <si>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</si>
  <si>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</si>
  <si>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</si>
  <si>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</si>
  <si>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</si>
  <si>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</si>
  <si>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</si>
  <si>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</si>
  <si>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</si>
  <si>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</si>
  <si>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</si>
  <si>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</si>
  <si>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</si>
  <si>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</si>
  <si>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</si>
  <si>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</si>
  <si>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</si>
  <si>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</si>
  <si>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</si>
  <si>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</si>
  <si>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</si>
  <si>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</si>
  <si>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</si>
  <si>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</si>
  <si>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</si>
  <si>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</si>
  <si>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</si>
  <si>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</si>
  <si>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</si>
  <si>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</si>
  <si>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</si>
  <si>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</si>
  <si>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</si>
  <si>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</si>
  <si>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</si>
  <si>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</si>
  <si>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</si>
  <si>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</si>
  <si>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</si>
  <si>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</si>
  <si>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</si>
  <si>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</si>
  <si>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</si>
  <si>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</si>
  <si>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</si>
  <si>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</si>
  <si>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</si>
  <si>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</si>
  <si>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</si>
  <si>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</si>
  <si>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</si>
  <si>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</si>
  <si>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</si>
  <si>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</si>
  <si>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</si>
  <si>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</si>
  <si>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</si>
  <si>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</si>
  <si>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</si>
  <si>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</si>
  <si>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</si>
  <si>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</si>
  <si>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</si>
  <si>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</si>
  <si>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</si>
  <si>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</si>
  <si>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</si>
  <si>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</si>
  <si>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</si>
  <si>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</si>
  <si>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</si>
  <si>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</si>
  <si>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</si>
  <si>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</si>
  <si>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</si>
  <si>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</si>
  <si>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</si>
  <si>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</si>
  <si>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</si>
  <si>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</si>
  <si>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</si>
  <si>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</si>
  <si>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</si>
  <si>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</si>
  <si>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</si>
  <si>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</si>
  <si>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</si>
  <si>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</si>
  <si>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</si>
  <si>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</si>
  <si>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</si>
  <si>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</si>
  <si>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</si>
  <si>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</si>
  <si>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</si>
  <si>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</si>
  <si>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</si>
  <si>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</si>
  <si>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</si>
  <si>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</si>
  <si>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</si>
  <si>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</si>
  <si>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</si>
  <si>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</si>
  <si>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</si>
  <si>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</si>
  <si>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</si>
  <si>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</si>
  <si>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</si>
  <si>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</si>
  <si>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</si>
  <si>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</si>
  <si>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</si>
  <si>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</si>
  <si>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</si>
  <si>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</si>
  <si>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</si>
  <si>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</si>
  <si>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</si>
  <si>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</si>
  <si>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</si>
  <si>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</si>
  <si>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</si>
  <si>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</si>
  <si>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</si>
  <si>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</si>
  <si>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</si>
  <si>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</si>
  <si>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</si>
  <si>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</si>
  <si>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</si>
  <si>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</si>
  <si>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</si>
  <si>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</si>
  <si>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</si>
  <si>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</si>
  <si>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</si>
  <si>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</si>
  <si>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</si>
  <si>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</si>
  <si>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</si>
  <si>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</si>
  <si>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</si>
  <si>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</si>
  <si>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</si>
  <si>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</si>
  <si>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</si>
  <si>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</si>
  <si>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</si>
  <si>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</si>
  <si>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</si>
  <si>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</si>
  <si>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</si>
  <si>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</si>
  <si>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</si>
  <si>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</si>
  <si>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</si>
  <si>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</si>
  <si>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</si>
  <si>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</si>
  <si>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</si>
  <si>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</si>
  <si>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</si>
  <si>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</si>
  <si>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</si>
  <si>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</si>
  <si>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</si>
  <si>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</si>
  <si>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</si>
  <si>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</si>
  <si>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</si>
  <si>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</si>
  <si>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</si>
  <si>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</si>
  <si>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</si>
  <si>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</si>
  <si>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</si>
  <si>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</si>
  <si>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</si>
  <si>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</si>
  <si>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</si>
  <si>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</si>
  <si>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</si>
  <si>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</si>
  <si>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</si>
  <si>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</si>
  <si>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</si>
  <si>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</si>
  <si>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</si>
  <si>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</si>
  <si>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</si>
  <si>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</si>
  <si>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</si>
  <si>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</si>
  <si>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t>versie: 2018_01</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</si>
  <si>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2018.
</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</si>
  <si>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</si>
  <si>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</si>
  <si>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</si>
  <si>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</si>
  <si>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</si>
  <si>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Data VMM maart 2020</t>
  </si>
  <si>
    <t>voorjaar 2020</t>
  </si>
  <si>
    <t>Data VMM</t>
  </si>
  <si>
    <t>"fuel sold" - gerapporteerde brandstofverkopen voor wegtransport voor 2018</t>
  </si>
  <si>
    <t>COPERT 5 standaardwaardes</t>
  </si>
  <si>
    <t>COPERT 5.3.0</t>
  </si>
  <si>
    <t>standaardwaardes in COPERT-tool</t>
  </si>
  <si>
    <t>VMM 2020, COPERT 5</t>
  </si>
  <si>
    <t>COPERT doorrekening voor wegtransport voor 2011-2018</t>
  </si>
  <si>
    <t>Bron: VMM 2020, COPERT 5</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</si>
  <si>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</si>
  <si>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</si>
  <si>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</si>
  <si>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</si>
  <si>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</si>
  <si>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</si>
  <si>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</si>
  <si>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</si>
  <si>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CH4 vee-model (VMM, april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</si>
  <si>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</si>
  <si>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</si>
  <si>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</si>
  <si>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</si>
  <si>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</si>
  <si>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</si>
  <si>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</si>
  <si>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</si>
  <si>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</si>
  <si>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</si>
  <si>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</si>
  <si>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</si>
  <si>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</si>
  <si>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</si>
  <si>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</si>
  <si>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</si>
  <si>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</si>
  <si>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</si>
  <si>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</si>
  <si>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</si>
  <si>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</si>
  <si>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inschatting type energiedrager 2018</t>
  </si>
  <si>
    <t>aantallen 2018 voor bijverwarming</t>
  </si>
  <si>
    <t>aantallen 2018 voor hoofdverwarming</t>
  </si>
  <si>
    <t>MWh hoofdverw/hh (2018)</t>
  </si>
  <si>
    <t>VITO Energiebalans Vlaanderen (februari 2020)</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</si>
  <si>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</si>
  <si>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</si>
  <si>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</si>
  <si>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</si>
  <si>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</si>
  <si>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</si>
  <si>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</si>
  <si>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</si>
  <si>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</si>
  <si>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</si>
  <si>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</si>
  <si>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</si>
  <si>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</si>
  <si>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</si>
  <si>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</si>
  <si>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</si>
  <si>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</si>
  <si>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36019</t>
  </si>
  <si>
    <t>STADEN</t>
  </si>
  <si>
    <t>referentietaak LNE (2017); Jaarverslag De Lijn</t>
  </si>
  <si>
    <t>Helmke Drive Center</t>
  </si>
  <si>
    <t>Bleyveldstraat 9, 3320 Hoegaarden</t>
  </si>
  <si>
    <t>WKK-0007 Westfro - Staden</t>
  </si>
  <si>
    <t>interne verbrandingsmotor</t>
  </si>
  <si>
    <t>WKK interne verbrandinsgmotor (gas)</t>
  </si>
  <si>
    <t>Grote Veldstraat 114, 8840 Staden</t>
  </si>
  <si>
    <t>GASELWEST</t>
  </si>
  <si>
    <t>Agrokom bvba</t>
  </si>
  <si>
    <t>Meiboomstraat 12, 8840 Staden</t>
  </si>
  <si>
    <t>WKK-0168 Agrokom</t>
  </si>
  <si>
    <t>Hagewest bvba</t>
  </si>
  <si>
    <t>Poelkapellestraat 46C , 8840 Westrozebeke</t>
  </si>
  <si>
    <t>WKK-0186 Hagewest</t>
  </si>
  <si>
    <t>WKK-0357 Hagewest 46B</t>
  </si>
  <si>
    <t>Poelkapellestraat 46 B, 8840 Westrozebeke</t>
  </si>
  <si>
    <t>Agrokom II</t>
  </si>
  <si>
    <t>WKK-0770</t>
  </si>
  <si>
    <t>Interne verbrandingsmotor</t>
  </si>
  <si>
    <t>Nieuwkerkhofstraat 2 / A</t>
  </si>
  <si>
    <t>Gaselwest (via EANDIS)</t>
  </si>
  <si>
    <t>Westvlees WRB</t>
  </si>
  <si>
    <t>Westrozebeke</t>
  </si>
  <si>
    <t>WKK-0920</t>
  </si>
  <si>
    <t>Ommegang West 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</si>
</sst>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5946">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8"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8">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70" fontId="35" fillId="1" borderId="205" applyNumberFormat="0" applyProtection="0">
      <alignment horizontal="left" vertical="top"/>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0" fontId="27" fillId="0" borderId="206" applyNumberFormat="0" applyFill="0" applyAlignment="0" applyProtection="0"/>
    <xf numFmtId="171" fontId="1" fillId="9" borderId="206">
      <alignment horizontal="right" vertical="center"/>
    </xf>
    <xf numFmtId="49" fontId="126" fillId="0" borderId="206" applyNumberFormat="0" applyFill="0" applyBorder="0" applyProtection="0">
      <alignment horizontal="left" vertical="center"/>
    </xf>
    <xf numFmtId="171" fontId="24" fillId="8" borderId="206">
      <alignment horizontal="right" vertical="center"/>
    </xf>
    <xf numFmtId="4" fontId="27" fillId="0" borderId="206" applyFill="0" applyBorder="0" applyProtection="0">
      <alignment horizontal="right" vertical="center"/>
    </xf>
    <xf numFmtId="171" fontId="24" fillId="8" borderId="206">
      <alignment horizontal="right" vertical="center"/>
    </xf>
    <xf numFmtId="168" fontId="17" fillId="0" borderId="206">
      <alignment vertical="center"/>
    </xf>
    <xf numFmtId="0" fontId="27" fillId="0" borderId="206" applyNumberFormat="0" applyFill="0" applyAlignment="0" applyProtection="0"/>
    <xf numFmtId="175" fontId="27" fillId="62" borderId="206" applyNumberFormat="0" applyFont="0" applyBorder="0" applyAlignment="0" applyProtection="0">
      <alignment horizontal="right" vertical="center"/>
    </xf>
    <xf numFmtId="168" fontId="17" fillId="0" borderId="206">
      <alignment vertical="center"/>
    </xf>
    <xf numFmtId="168" fontId="17" fillId="0" borderId="206">
      <alignment vertical="center"/>
    </xf>
    <xf numFmtId="170" fontId="35" fillId="1" borderId="205" applyNumberFormat="0" applyProtection="0">
      <alignment horizontal="left" vertical="top"/>
    </xf>
    <xf numFmtId="168" fontId="17" fillId="0" borderId="206">
      <alignment vertical="center"/>
    </xf>
    <xf numFmtId="171" fontId="24" fillId="8" borderId="206">
      <alignment horizontal="right" vertical="center"/>
    </xf>
    <xf numFmtId="175" fontId="27" fillId="62" borderId="206" applyNumberFormat="0" applyFont="0" applyBorder="0" applyAlignment="0" applyProtection="0">
      <alignment horizontal="right" vertical="center"/>
    </xf>
    <xf numFmtId="171" fontId="1" fillId="9" borderId="206">
      <alignment horizontal="right" vertical="center"/>
    </xf>
    <xf numFmtId="171" fontId="1" fillId="9" borderId="206">
      <alignment horizontal="right" vertical="center"/>
    </xf>
    <xf numFmtId="168" fontId="17" fillId="0" borderId="206">
      <alignmen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0" fontId="35" fillId="1" borderId="205" applyNumberFormat="0" applyProtection="0">
      <alignment horizontal="left" vertical="top"/>
    </xf>
    <xf numFmtId="49" fontId="126" fillId="0" borderId="206" applyNumberFormat="0" applyFill="0" applyBorder="0" applyProtection="0">
      <alignment horizontal="left" vertical="center"/>
    </xf>
    <xf numFmtId="168" fontId="17" fillId="0" borderId="206">
      <alignmen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68" fontId="17" fillId="0" borderId="206">
      <alignmen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175" fontId="27" fillId="62" borderId="206" applyNumberFormat="0" applyFont="0" applyBorder="0" applyAlignment="0" applyProtection="0">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27" fillId="0" borderId="206" applyNumberFormat="0" applyFill="0" applyAlignment="0" applyProtection="0"/>
    <xf numFmtId="168" fontId="17" fillId="0" borderId="206">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6">
      <alignment vertical="center"/>
    </xf>
    <xf numFmtId="49" fontId="126" fillId="0" borderId="206" applyNumberFormat="0" applyFill="0" applyBorder="0" applyProtection="0">
      <alignment horizontal="left" vertical="center"/>
    </xf>
    <xf numFmtId="171" fontId="24" fillId="8" borderId="206">
      <alignment horizontal="right" vertical="center"/>
    </xf>
    <xf numFmtId="171" fontId="24" fillId="8" borderId="206">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4" fontId="27" fillId="0" borderId="206" applyFill="0" applyBorder="0" applyProtection="0">
      <alignment horizontal="right" vertical="center"/>
    </xf>
    <xf numFmtId="168" fontId="17" fillId="0" borderId="206">
      <alignment vertical="center"/>
    </xf>
    <xf numFmtId="170" fontId="35" fillId="1" borderId="23"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8">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8">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8">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05"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05" applyNumberFormat="0" applyProtection="0">
      <alignment horizontal="left" vertical="top"/>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5" fillId="0" borderId="0"/>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 fontId="27" fillId="0" borderId="211" applyFill="0" applyBorder="0" applyProtection="0">
      <alignment horizontal="right" vertical="center"/>
    </xf>
    <xf numFmtId="171" fontId="1" fillId="9" borderId="209">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09"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09">
      <alignment horizontal="right" vertical="center"/>
    </xf>
    <xf numFmtId="168" fontId="17" fillId="0" borderId="209">
      <alignment vertical="center"/>
    </xf>
    <xf numFmtId="43" fontId="5" fillId="0" borderId="0" applyFont="0" applyFill="0" applyBorder="0" applyAlignment="0" applyProtection="0"/>
    <xf numFmtId="171" fontId="1" fillId="9" borderId="211">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24" fillId="8" borderId="211">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11">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0" fontId="27" fillId="0" borderId="209" applyNumberFormat="0" applyFill="0" applyAlignment="0" applyProtection="0"/>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0" fontId="27" fillId="0" borderId="209" applyNumberFormat="0" applyFill="0" applyAlignment="0" applyProtection="0"/>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68" fontId="17" fillId="0" borderId="209">
      <alignmen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24" fillId="8" borderId="209">
      <alignment horizontal="righ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3" fontId="5" fillId="0" borderId="0" applyFont="0" applyFill="0" applyBorder="0" applyAlignment="0" applyProtection="0"/>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4" fillId="0" borderId="2" applyNumberFormat="0" applyFill="0" applyAlignment="0" applyProtection="0"/>
  </cellStyleXfs>
  <cellXfs count="1335">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70" fontId="72" fillId="0" borderId="0" xfId="148" applyAlignment="1" applyProtection="1"/>
    <xf numFmtId="14" fontId="0" fillId="0" borderId="0" xfId="0" applyNumberFormat="1" applyFill="1"/>
    <xf numFmtId="9" fontId="105" fillId="0" borderId="0" xfId="52" applyFont="1"/>
    <xf numFmtId="9" fontId="0" fillId="0" borderId="0" xfId="52" applyFont="1" applyFill="1" applyBorder="1"/>
    <xf numFmtId="170" fontId="0" fillId="0" borderId="0" xfId="0"/>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0" fontId="24" fillId="24" borderId="0" xfId="224" applyNumberFormat="1" applyFont="1" applyFill="1"/>
    <xf numFmtId="0" fontId="24" fillId="24" borderId="0" xfId="224" quotePrefix="1" applyNumberFormat="1" applyFont="1" applyFill="1"/>
    <xf numFmtId="9" fontId="24"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2" fillId="0" borderId="0" xfId="148" quotePrefix="1" applyFill="1" applyAlignment="1" applyProtection="1"/>
    <xf numFmtId="14" fontId="72" fillId="0" borderId="0" xfId="148" quotePrefix="1" applyNumberFormat="1" applyFill="1" applyAlignment="1" applyProtection="1"/>
    <xf numFmtId="170" fontId="72" fillId="0" borderId="0" xfId="148" applyFill="1" applyAlignment="1" applyProtection="1"/>
    <xf numFmtId="0" fontId="129" fillId="25" borderId="0" xfId="148" applyNumberFormat="1" applyFont="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4" fillId="24" borderId="0" xfId="0" quotePrefix="1" applyNumberFormat="1" applyFont="1" applyFill="1"/>
    <xf numFmtId="0" fontId="24" fillId="24" borderId="0" xfId="0" applyNumberFormat="1" applyFont="1" applyFill="1" applyAlignment="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45" fillId="12" borderId="182" xfId="0" applyNumberFormat="1" applyFont="1" applyFill="1" applyBorder="1" applyAlignment="1">
      <alignment horizontal="center"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0"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0" fontId="0" fillId="0" borderId="0" xfId="173" applyNumberFormat="1" applyFont="1"/>
    <xf numFmtId="0" fontId="24" fillId="0" borderId="0" xfId="239" applyFont="1" applyBorder="1"/>
    <xf numFmtId="180" fontId="24" fillId="0" borderId="0" xfId="173" applyNumberFormat="1" applyFont="1" applyBorder="1"/>
    <xf numFmtId="180"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5945"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0" fontId="0" fillId="0" borderId="0" xfId="173" applyNumberFormat="1" applyFont="1" applyFill="1"/>
    <xf numFmtId="180"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2" xfId="239" applyFont="1" applyBorder="1"/>
    <xf numFmtId="180" fontId="0" fillId="0" borderId="212" xfId="173" applyNumberFormat="1" applyFont="1" applyBorder="1"/>
    <xf numFmtId="180" fontId="0" fillId="0" borderId="0" xfId="173" applyNumberFormat="1" applyFont="1" applyBorder="1"/>
    <xf numFmtId="0" fontId="0" fillId="0" borderId="212" xfId="0" applyNumberFormat="1" applyBorder="1"/>
  </cellXfs>
  <cellStyles count="5946">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1" xfId="1764"/>
    <cellStyle name="2x indented GHG Textfiels 2" xfId="378"/>
    <cellStyle name="2x indented GHG Textfiels 2 10" xfId="1861"/>
    <cellStyle name="2x indented GHG Textfiels 2 11" xfId="4623"/>
    <cellStyle name="2x indented GHG Textfiels 2 2" xfId="474"/>
    <cellStyle name="2x indented GHG Textfiels 2 2 2" xfId="1199"/>
    <cellStyle name="2x indented GHG Textfiels 2 2 2 2" xfId="1517"/>
    <cellStyle name="2x indented GHG Textfiels 2 2 2 2 2" xfId="4326"/>
    <cellStyle name="2x indented GHG Textfiels 2 2 2 2 3" xfId="5738"/>
    <cellStyle name="2x indented GHG Textfiels 2 2 2 2 4" xfId="3097"/>
    <cellStyle name="2x indented GHG Textfiels 2 2 2 3" xfId="2807"/>
    <cellStyle name="2x indented GHG Textfiels 2 2 2 4" xfId="4007"/>
    <cellStyle name="2x indented GHG Textfiels 2 2 2 5" xfId="5421"/>
    <cellStyle name="2x indented GHG Textfiels 2 2 2 6" xfId="1970"/>
    <cellStyle name="2x indented GHG Textfiels 2 2 3" xfId="1118"/>
    <cellStyle name="2x indented GHG Textfiels 2 2 3 2" xfId="3924"/>
    <cellStyle name="2x indented GHG Textfiels 2 2 3 3" xfId="5340"/>
    <cellStyle name="2x indented GHG Textfiels 2 2 3 4" xfId="2739"/>
    <cellStyle name="2x indented GHG Textfiels 2 2 4" xfId="910"/>
    <cellStyle name="2x indented GHG Textfiels 2 2 4 2" xfId="3710"/>
    <cellStyle name="2x indented GHG Textfiels 2 2 4 3" xfId="5133"/>
    <cellStyle name="2x indented GHG Textfiels 2 2 4 4" xfId="2546"/>
    <cellStyle name="2x indented GHG Textfiels 2 2 5" xfId="944"/>
    <cellStyle name="2x indented GHG Textfiels 2 2 5 2" xfId="3747"/>
    <cellStyle name="2x indented GHG Textfiels 2 2 5 3" xfId="5167"/>
    <cellStyle name="2x indented GHG Textfiels 2 2 5 4" xfId="2579"/>
    <cellStyle name="2x indented GHG Textfiels 2 2 6" xfId="589"/>
    <cellStyle name="2x indented GHG Textfiels 2 2 6 2" xfId="4814"/>
    <cellStyle name="2x indented GHG Textfiels 2 2 6 3" xfId="2236"/>
    <cellStyle name="2x indented GHG Textfiels 2 2 7" xfId="3389"/>
    <cellStyle name="2x indented GHG Textfiels 2 2 8" xfId="4699"/>
    <cellStyle name="2x indented GHG Textfiels 2 3" xfId="637"/>
    <cellStyle name="2x indented GHG Textfiels 2 3 2" xfId="1550"/>
    <cellStyle name="2x indented GHG Textfiels 2 3 2 2" xfId="4359"/>
    <cellStyle name="2x indented GHG Textfiels 2 3 2 3" xfId="5771"/>
    <cellStyle name="2x indented GHG Textfiels 2 3 2 4" xfId="3128"/>
    <cellStyle name="2x indented GHG Textfiels 2 3 3" xfId="1006"/>
    <cellStyle name="2x indented GHG Textfiels 2 3 3 2" xfId="3809"/>
    <cellStyle name="2x indented GHG Textfiels 2 3 3 3" xfId="5229"/>
    <cellStyle name="2x indented GHG Textfiels 2 3 3 4" xfId="2635"/>
    <cellStyle name="2x indented GHG Textfiels 2 3 4" xfId="2284"/>
    <cellStyle name="2x indented GHG Textfiels 2 3 5" xfId="3437"/>
    <cellStyle name="2x indented GHG Textfiels 2 3 6" xfId="4862"/>
    <cellStyle name="2x indented GHG Textfiels 2 3 7" xfId="2018"/>
    <cellStyle name="2x indented GHG Textfiels 2 4" xfId="701"/>
    <cellStyle name="2x indented GHG Textfiels 2 4 2" xfId="1614"/>
    <cellStyle name="2x indented GHG Textfiels 2 4 2 2" xfId="4423"/>
    <cellStyle name="2x indented GHG Textfiels 2 4 2 3" xfId="5835"/>
    <cellStyle name="2x indented GHG Textfiels 2 4 2 4" xfId="3188"/>
    <cellStyle name="2x indented GHG Textfiels 2 4 3" xfId="1297"/>
    <cellStyle name="2x indented GHG Textfiels 2 4 3 2" xfId="4106"/>
    <cellStyle name="2x indented GHG Textfiels 2 4 3 3" xfId="5519"/>
    <cellStyle name="2x indented GHG Textfiels 2 4 3 4" xfId="2904"/>
    <cellStyle name="2x indented GHG Textfiels 2 4 4" xfId="2345"/>
    <cellStyle name="2x indented GHG Textfiels 2 4 5" xfId="3501"/>
    <cellStyle name="2x indented GHG Textfiels 2 4 6" xfId="4926"/>
    <cellStyle name="2x indented GHG Textfiels 2 4 7" xfId="2052"/>
    <cellStyle name="2x indented GHG Textfiels 2 5" xfId="763"/>
    <cellStyle name="2x indented GHG Textfiels 2 5 2" xfId="1676"/>
    <cellStyle name="2x indented GHG Textfiels 2 5 2 2" xfId="4485"/>
    <cellStyle name="2x indented GHG Textfiels 2 5 2 3" xfId="5897"/>
    <cellStyle name="2x indented GHG Textfiels 2 5 2 4" xfId="3247"/>
    <cellStyle name="2x indented GHG Textfiels 2 5 3" xfId="1354"/>
    <cellStyle name="2x indented GHG Textfiels 2 5 3 2" xfId="4163"/>
    <cellStyle name="2x indented GHG Textfiels 2 5 3 3" xfId="5575"/>
    <cellStyle name="2x indented GHG Textfiels 2 5 3 4" xfId="2958"/>
    <cellStyle name="2x indented GHG Textfiels 2 5 4" xfId="2407"/>
    <cellStyle name="2x indented GHG Textfiels 2 5 5" xfId="3563"/>
    <cellStyle name="2x indented GHG Textfiels 2 5 6" xfId="4988"/>
    <cellStyle name="2x indented GHG Textfiels 2 5 7" xfId="2111"/>
    <cellStyle name="2x indented GHG Textfiels 2 6" xfId="1180"/>
    <cellStyle name="2x indented GHG Textfiels 2 6 2" xfId="2788"/>
    <cellStyle name="2x indented GHG Textfiels 2 6 3" xfId="3988"/>
    <cellStyle name="2x indented GHG Textfiels 2 6 4" xfId="5402"/>
    <cellStyle name="2x indented GHG Textfiels 2 6 5" xfId="1951"/>
    <cellStyle name="2x indented GHG Textfiels 2 7" xfId="869"/>
    <cellStyle name="2x indented GHG Textfiels 2 7 2" xfId="3669"/>
    <cellStyle name="2x indented GHG Textfiels 2 7 3" xfId="5093"/>
    <cellStyle name="2x indented GHG Textfiels 2 7 4" xfId="2510"/>
    <cellStyle name="2x indented GHG Textfiels 2 8" xfId="369"/>
    <cellStyle name="2x indented GHG Textfiels 2 8 2" xfId="4615"/>
    <cellStyle name="2x indented GHG Textfiels 2 8 3" xfId="2213"/>
    <cellStyle name="2x indented GHG Textfiels 2 9" xfId="3366"/>
    <cellStyle name="2x indented GHG Textfiels 3" xfId="432"/>
    <cellStyle name="2x indented GHG Textfiels 3 10" xfId="3328"/>
    <cellStyle name="2x indented GHG Textfiels 3 11" xfId="1826"/>
    <cellStyle name="2x indented GHG Textfiels 3 12" xfId="4663"/>
    <cellStyle name="2x indented GHG Textfiels 3 2" xfId="527"/>
    <cellStyle name="2x indented GHG Textfiels 3 2 2" xfId="1227"/>
    <cellStyle name="2x indented GHG Textfiels 3 2 2 2" xfId="2835"/>
    <cellStyle name="2x indented GHG Textfiels 3 2 2 3" xfId="4035"/>
    <cellStyle name="2x indented GHG Textfiels 3 2 2 4" xfId="5449"/>
    <cellStyle name="2x indented GHG Textfiels 3 2 2 5" xfId="1997"/>
    <cellStyle name="2x indented GHG Textfiels 3 2 3" xfId="1429"/>
    <cellStyle name="2x indented GHG Textfiels 3 2 3 2" xfId="4238"/>
    <cellStyle name="2x indented GHG Textfiels 3 2 3 3" xfId="5650"/>
    <cellStyle name="2x indented GHG Textfiels 3 2 3 4" xfId="3030"/>
    <cellStyle name="2x indented GHG Textfiels 3 2 4" xfId="986"/>
    <cellStyle name="2x indented GHG Textfiels 3 2 4 2" xfId="3789"/>
    <cellStyle name="2x indented GHG Textfiels 3 2 4 3" xfId="5209"/>
    <cellStyle name="2x indented GHG Textfiels 3 2 4 4" xfId="2616"/>
    <cellStyle name="2x indented GHG Textfiels 3 2 5" xfId="617"/>
    <cellStyle name="2x indented GHG Textfiels 3 2 5 2" xfId="4842"/>
    <cellStyle name="2x indented GHG Textfiels 3 2 5 3" xfId="2264"/>
    <cellStyle name="2x indented GHG Textfiels 3 2 6" xfId="3417"/>
    <cellStyle name="2x indented GHG Textfiels 3 2 7" xfId="4752"/>
    <cellStyle name="2x indented GHG Textfiels 3 3" xfId="665"/>
    <cellStyle name="2x indented GHG Textfiels 3 3 2" xfId="1264"/>
    <cellStyle name="2x indented GHG Textfiels 3 3 2 2" xfId="1578"/>
    <cellStyle name="2x indented GHG Textfiels 3 3 2 2 2" xfId="4387"/>
    <cellStyle name="2x indented GHG Textfiels 3 3 2 2 3" xfId="5799"/>
    <cellStyle name="2x indented GHG Textfiels 3 3 2 2 4" xfId="3155"/>
    <cellStyle name="2x indented GHG Textfiels 3 3 2 3" xfId="4073"/>
    <cellStyle name="2x indented GHG Textfiels 3 3 2 4" xfId="5486"/>
    <cellStyle name="2x indented GHG Textfiels 3 3 2 5" xfId="2871"/>
    <cellStyle name="2x indented GHG Textfiels 3 3 3" xfId="924"/>
    <cellStyle name="2x indented GHG Textfiels 3 3 3 2" xfId="3726"/>
    <cellStyle name="2x indented GHG Textfiels 3 3 3 3" xfId="5147"/>
    <cellStyle name="2x indented GHG Textfiels 3 3 3 4" xfId="2561"/>
    <cellStyle name="2x indented GHG Textfiels 3 3 4" xfId="1044"/>
    <cellStyle name="2x indented GHG Textfiels 3 3 4 2" xfId="3847"/>
    <cellStyle name="2x indented GHG Textfiels 3 3 4 3" xfId="5267"/>
    <cellStyle name="2x indented GHG Textfiels 3 3 4 4" xfId="2671"/>
    <cellStyle name="2x indented GHG Textfiels 3 3 5" xfId="2312"/>
    <cellStyle name="2x indented GHG Textfiels 3 3 6" xfId="3465"/>
    <cellStyle name="2x indented GHG Textfiels 3 3 7" xfId="4890"/>
    <cellStyle name="2x indented GHG Textfiels 3 3 8" xfId="2037"/>
    <cellStyle name="2x indented GHG Textfiels 3 4" xfId="729"/>
    <cellStyle name="2x indented GHG Textfiels 3 4 2" xfId="1642"/>
    <cellStyle name="2x indented GHG Textfiels 3 4 2 2" xfId="4451"/>
    <cellStyle name="2x indented GHG Textfiels 3 4 2 3" xfId="5863"/>
    <cellStyle name="2x indented GHG Textfiels 3 4 2 4" xfId="3215"/>
    <cellStyle name="2x indented GHG Textfiels 3 4 3" xfId="1325"/>
    <cellStyle name="2x indented GHG Textfiels 3 4 3 2" xfId="4134"/>
    <cellStyle name="2x indented GHG Textfiels 3 4 3 3" xfId="5547"/>
    <cellStyle name="2x indented GHG Textfiels 3 4 3 4" xfId="2931"/>
    <cellStyle name="2x indented GHG Textfiels 3 4 4" xfId="2373"/>
    <cellStyle name="2x indented GHG Textfiels 3 4 5" xfId="3529"/>
    <cellStyle name="2x indented GHG Textfiels 3 4 6" xfId="4954"/>
    <cellStyle name="2x indented GHG Textfiels 3 4 7" xfId="2079"/>
    <cellStyle name="2x indented GHG Textfiels 3 5" xfId="791"/>
    <cellStyle name="2x indented GHG Textfiels 3 5 2" xfId="1704"/>
    <cellStyle name="2x indented GHG Textfiels 3 5 2 2" xfId="4513"/>
    <cellStyle name="2x indented GHG Textfiels 3 5 2 3" xfId="5925"/>
    <cellStyle name="2x indented GHG Textfiels 3 5 2 4" xfId="3274"/>
    <cellStyle name="2x indented GHG Textfiels 3 5 3" xfId="1382"/>
    <cellStyle name="2x indented GHG Textfiels 3 5 3 2" xfId="4191"/>
    <cellStyle name="2x indented GHG Textfiels 3 5 3 3" xfId="5603"/>
    <cellStyle name="2x indented GHG Textfiels 3 5 3 4" xfId="2985"/>
    <cellStyle name="2x indented GHG Textfiels 3 5 4" xfId="2435"/>
    <cellStyle name="2x indented GHG Textfiels 3 5 5" xfId="3591"/>
    <cellStyle name="2x indented GHG Textfiels 3 5 6" xfId="5016"/>
    <cellStyle name="2x indented GHG Textfiels 3 5 7" xfId="2138"/>
    <cellStyle name="2x indented GHG Textfiels 3 6" xfId="1152"/>
    <cellStyle name="2x indented GHG Textfiels 3 6 2" xfId="2771"/>
    <cellStyle name="2x indented GHG Textfiels 3 6 3" xfId="3960"/>
    <cellStyle name="2x indented GHG Textfiels 3 6 4" xfId="5374"/>
    <cellStyle name="2x indented GHG Textfiels 3 6 5" xfId="1920"/>
    <cellStyle name="2x indented GHG Textfiels 3 7" xfId="1091"/>
    <cellStyle name="2x indented GHG Textfiels 3 7 2" xfId="3894"/>
    <cellStyle name="2x indented GHG Textfiels 3 7 3" xfId="5314"/>
    <cellStyle name="2x indented GHG Textfiels 3 7 4" xfId="2714"/>
    <cellStyle name="2x indented GHG Textfiels 3 8" xfId="818"/>
    <cellStyle name="2x indented GHG Textfiels 3 8 2" xfId="3618"/>
    <cellStyle name="2x indented GHG Textfiels 3 8 3" xfId="5043"/>
    <cellStyle name="2x indented GHG Textfiels 3 8 4" xfId="2461"/>
    <cellStyle name="2x indented GHG Textfiels 3 9" xfId="568"/>
    <cellStyle name="2x indented GHG Textfiels 3 9 2" xfId="4793"/>
    <cellStyle name="2x indented GHG Textfiels 3 9 3" xfId="2174"/>
    <cellStyle name="2x indented GHG Textfiels 4" xfId="386"/>
    <cellStyle name="2x indented GHG Textfiels 4 2" xfId="481"/>
    <cellStyle name="2x indented GHG Textfiels 4 2 2" xfId="1480"/>
    <cellStyle name="2x indented GHG Textfiels 4 2 2 2" xfId="4289"/>
    <cellStyle name="2x indented GHG Textfiels 4 2 2 3" xfId="5701"/>
    <cellStyle name="2x indented GHG Textfiels 4 2 2 4" xfId="3072"/>
    <cellStyle name="2x indented GHG Textfiels 4 2 3" xfId="1108"/>
    <cellStyle name="2x indented GHG Textfiels 4 2 3 2" xfId="5331"/>
    <cellStyle name="2x indented GHG Textfiels 4 2 3 3" xfId="3914"/>
    <cellStyle name="2x indented GHG Textfiels 4 2 4" xfId="4706"/>
    <cellStyle name="2x indented GHG Textfiels 4 3" xfId="1411"/>
    <cellStyle name="2x indented GHG Textfiels 4 3 2" xfId="4220"/>
    <cellStyle name="2x indented GHG Textfiels 4 3 3" xfId="5632"/>
    <cellStyle name="2x indented GHG Textfiels 4 3 4" xfId="3013"/>
    <cellStyle name="2x indented GHG Textfiels 4 4" xfId="902"/>
    <cellStyle name="2x indented GHG Textfiels 4 4 2" xfId="3703"/>
    <cellStyle name="2x indented GHG Textfiels 4 4 3" xfId="5126"/>
    <cellStyle name="2x indented GHG Textfiels 4 4 4" xfId="2539"/>
    <cellStyle name="2x indented GHG Textfiels 4 5" xfId="345"/>
    <cellStyle name="2x indented GHG Textfiels 4 5 2" xfId="4591"/>
    <cellStyle name="2x indented GHG Textfiels 4 5 3" xfId="2159"/>
    <cellStyle name="2x indented GHG Textfiels 4 6" xfId="3313"/>
    <cellStyle name="2x indented GHG Textfiels 4 7" xfId="1889"/>
    <cellStyle name="2x indented GHG Textfiels 5" xfId="347"/>
    <cellStyle name="2x indented GHG Textfiels 5 2" xfId="1472"/>
    <cellStyle name="2x indented GHG Textfiels 5 2 2" xfId="4281"/>
    <cellStyle name="2x indented GHG Textfiels 5 2 3" xfId="5693"/>
    <cellStyle name="2x indented GHG Textfiels 5 2 4" xfId="3067"/>
    <cellStyle name="2x indented GHG Textfiels 5 3" xfId="893"/>
    <cellStyle name="2x indented GHG Textfiels 5 3 2" xfId="3693"/>
    <cellStyle name="2x indented GHG Textfiels 5 3 3" xfId="5117"/>
    <cellStyle name="2x indented GHG Textfiels 5 3 4" xfId="2531"/>
    <cellStyle name="2x indented GHG Textfiels 5 4" xfId="368"/>
    <cellStyle name="2x indented GHG Textfiels 5 4 2" xfId="4614"/>
    <cellStyle name="2x indented GHG Textfiels 5 4 3" xfId="1843"/>
    <cellStyle name="2x indented GHG Textfiels 5 5" xfId="3303"/>
    <cellStyle name="2x indented GHG Textfiels 5 6" xfId="4593"/>
    <cellStyle name="2x indented GHG Textfiels 6" xfId="346"/>
    <cellStyle name="2x indented GHG Textfiels 6 2" xfId="1470"/>
    <cellStyle name="2x indented GHG Textfiels 6 2 2" xfId="4279"/>
    <cellStyle name="2x indented GHG Textfiels 6 2 3" xfId="5691"/>
    <cellStyle name="2x indented GHG Textfiels 6 2 4" xfId="3066"/>
    <cellStyle name="2x indented GHG Textfiels 6 3" xfId="872"/>
    <cellStyle name="2x indented GHG Textfiels 6 3 2" xfId="3672"/>
    <cellStyle name="2x indented GHG Textfiels 6 3 3" xfId="5096"/>
    <cellStyle name="2x indented GHG Textfiels 6 3 4" xfId="2513"/>
    <cellStyle name="2x indented GHG Textfiels 6 4" xfId="1797"/>
    <cellStyle name="2x indented GHG Textfiels 6 5" xfId="3301"/>
    <cellStyle name="2x indented GHG Textfiels 6 6" xfId="4592"/>
    <cellStyle name="2x indented GHG Textfiels 6 7" xfId="1799"/>
    <cellStyle name="2x indented GHG Textfiels 7" xfId="1067"/>
    <cellStyle name="2x indented GHG Textfiels 7 2" xfId="1483"/>
    <cellStyle name="2x indented GHG Textfiels 7 2 2" xfId="4292"/>
    <cellStyle name="2x indented GHG Textfiels 7 2 3" xfId="5704"/>
    <cellStyle name="2x indented GHG Textfiels 7 2 4" xfId="3074"/>
    <cellStyle name="2x indented GHG Textfiels 7 3" xfId="2694"/>
    <cellStyle name="2x indented GHG Textfiels 7 4" xfId="3870"/>
    <cellStyle name="2x indented GHG Textfiels 7 5" xfId="5290"/>
    <cellStyle name="2x indented GHG Textfiels 7 6" xfId="1830"/>
    <cellStyle name="2x indented GHG Textfiels 8" xfId="1144"/>
    <cellStyle name="2x indented GHG Textfiels 8 2" xfId="3952"/>
    <cellStyle name="2x indented GHG Textfiels 8 3" xfId="5366"/>
    <cellStyle name="2x indented GHG Textfiels 8 4" xfId="2765"/>
    <cellStyle name="2x indented GHG Textfiels 9" xfId="566"/>
    <cellStyle name="2x indented GHG Textfiels 9 2" xfId="4791"/>
    <cellStyle name="2x indented GHG Textfiels 9 3" xfId="1899"/>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1" xfId="1784"/>
    <cellStyle name="Calc cel 2 2 2" xfId="400"/>
    <cellStyle name="Calc cel 2 2 2 10" xfId="1870"/>
    <cellStyle name="Calc cel 2 2 2 11" xfId="4640"/>
    <cellStyle name="Calc cel 2 2 2 2" xfId="495"/>
    <cellStyle name="Calc cel 2 2 2 2 2" xfId="1208"/>
    <cellStyle name="Calc cel 2 2 2 2 2 2" xfId="1525"/>
    <cellStyle name="Calc cel 2 2 2 2 2 2 2" xfId="4334"/>
    <cellStyle name="Calc cel 2 2 2 2 2 2 3" xfId="5746"/>
    <cellStyle name="Calc cel 2 2 2 2 2 2 4" xfId="3105"/>
    <cellStyle name="Calc cel 2 2 2 2 2 3" xfId="2816"/>
    <cellStyle name="Calc cel 2 2 2 2 2 4" xfId="4016"/>
    <cellStyle name="Calc cel 2 2 2 2 2 5" xfId="5430"/>
    <cellStyle name="Calc cel 2 2 2 2 2 6" xfId="1979"/>
    <cellStyle name="Calc cel 2 2 2 2 3" xfId="1127"/>
    <cellStyle name="Calc cel 2 2 2 2 3 2" xfId="3933"/>
    <cellStyle name="Calc cel 2 2 2 2 3 3" xfId="5349"/>
    <cellStyle name="Calc cel 2 2 2 2 3 4" xfId="2748"/>
    <cellStyle name="Calc cel 2 2 2 2 4" xfId="922"/>
    <cellStyle name="Calc cel 2 2 2 2 4 2" xfId="3724"/>
    <cellStyle name="Calc cel 2 2 2 2 4 3" xfId="5145"/>
    <cellStyle name="Calc cel 2 2 2 2 4 4" xfId="2559"/>
    <cellStyle name="Calc cel 2 2 2 2 5" xfId="953"/>
    <cellStyle name="Calc cel 2 2 2 2 5 2" xfId="3756"/>
    <cellStyle name="Calc cel 2 2 2 2 5 3" xfId="5176"/>
    <cellStyle name="Calc cel 2 2 2 2 5 4" xfId="2588"/>
    <cellStyle name="Calc cel 2 2 2 2 6" xfId="598"/>
    <cellStyle name="Calc cel 2 2 2 2 6 2" xfId="4823"/>
    <cellStyle name="Calc cel 2 2 2 2 6 3" xfId="2245"/>
    <cellStyle name="Calc cel 2 2 2 2 7" xfId="3398"/>
    <cellStyle name="Calc cel 2 2 2 2 8" xfId="4720"/>
    <cellStyle name="Calc cel 2 2 2 3" xfId="646"/>
    <cellStyle name="Calc cel 2 2 2 3 2" xfId="1559"/>
    <cellStyle name="Calc cel 2 2 2 3 2 2" xfId="4368"/>
    <cellStyle name="Calc cel 2 2 2 3 2 3" xfId="5780"/>
    <cellStyle name="Calc cel 2 2 2 3 2 4" xfId="3137"/>
    <cellStyle name="Calc cel 2 2 2 3 3" xfId="1015"/>
    <cellStyle name="Calc cel 2 2 2 3 3 2" xfId="3818"/>
    <cellStyle name="Calc cel 2 2 2 3 3 3" xfId="5238"/>
    <cellStyle name="Calc cel 2 2 2 3 3 4" xfId="2644"/>
    <cellStyle name="Calc cel 2 2 2 3 4" xfId="2293"/>
    <cellStyle name="Calc cel 2 2 2 3 5" xfId="3446"/>
    <cellStyle name="Calc cel 2 2 2 3 6" xfId="4871"/>
    <cellStyle name="Calc cel 2 2 2 3 7" xfId="2027"/>
    <cellStyle name="Calc cel 2 2 2 4" xfId="710"/>
    <cellStyle name="Calc cel 2 2 2 4 2" xfId="1623"/>
    <cellStyle name="Calc cel 2 2 2 4 2 2" xfId="4432"/>
    <cellStyle name="Calc cel 2 2 2 4 2 3" xfId="5844"/>
    <cellStyle name="Calc cel 2 2 2 4 2 4" xfId="3197"/>
    <cellStyle name="Calc cel 2 2 2 4 3" xfId="1306"/>
    <cellStyle name="Calc cel 2 2 2 4 3 2" xfId="4115"/>
    <cellStyle name="Calc cel 2 2 2 4 3 3" xfId="5528"/>
    <cellStyle name="Calc cel 2 2 2 4 3 4" xfId="2913"/>
    <cellStyle name="Calc cel 2 2 2 4 4" xfId="2354"/>
    <cellStyle name="Calc cel 2 2 2 4 5" xfId="3510"/>
    <cellStyle name="Calc cel 2 2 2 4 6" xfId="4935"/>
    <cellStyle name="Calc cel 2 2 2 4 7" xfId="2061"/>
    <cellStyle name="Calc cel 2 2 2 5" xfId="772"/>
    <cellStyle name="Calc cel 2 2 2 5 2" xfId="1685"/>
    <cellStyle name="Calc cel 2 2 2 5 2 2" xfId="4494"/>
    <cellStyle name="Calc cel 2 2 2 5 2 3" xfId="5906"/>
    <cellStyle name="Calc cel 2 2 2 5 2 4" xfId="3256"/>
    <cellStyle name="Calc cel 2 2 2 5 3" xfId="1363"/>
    <cellStyle name="Calc cel 2 2 2 5 3 2" xfId="4172"/>
    <cellStyle name="Calc cel 2 2 2 5 3 3" xfId="5584"/>
    <cellStyle name="Calc cel 2 2 2 5 3 4" xfId="2967"/>
    <cellStyle name="Calc cel 2 2 2 5 4" xfId="2416"/>
    <cellStyle name="Calc cel 2 2 2 5 5" xfId="3572"/>
    <cellStyle name="Calc cel 2 2 2 5 6" xfId="4997"/>
    <cellStyle name="Calc cel 2 2 2 5 7" xfId="2120"/>
    <cellStyle name="Calc cel 2 2 2 6" xfId="1189"/>
    <cellStyle name="Calc cel 2 2 2 6 2" xfId="2797"/>
    <cellStyle name="Calc cel 2 2 2 6 3" xfId="3997"/>
    <cellStyle name="Calc cel 2 2 2 6 4" xfId="5411"/>
    <cellStyle name="Calc cel 2 2 2 6 5" xfId="1960"/>
    <cellStyle name="Calc cel 2 2 2 7" xfId="1081"/>
    <cellStyle name="Calc cel 2 2 2 7 2" xfId="3884"/>
    <cellStyle name="Calc cel 2 2 2 7 3" xfId="5304"/>
    <cellStyle name="Calc cel 2 2 2 7 4" xfId="2706"/>
    <cellStyle name="Calc cel 2 2 2 8" xfId="320"/>
    <cellStyle name="Calc cel 2 2 2 8 2" xfId="4566"/>
    <cellStyle name="Calc cel 2 2 2 8 3" xfId="2222"/>
    <cellStyle name="Calc cel 2 2 2 9" xfId="3375"/>
    <cellStyle name="Calc cel 2 2 3" xfId="445"/>
    <cellStyle name="Calc cel 2 2 3 10" xfId="3354"/>
    <cellStyle name="Calc cel 2 2 3 11" xfId="1849"/>
    <cellStyle name="Calc cel 2 2 3 12" xfId="4672"/>
    <cellStyle name="Calc cel 2 2 3 2" xfId="539"/>
    <cellStyle name="Calc cel 2 2 3 2 2" xfId="1236"/>
    <cellStyle name="Calc cel 2 2 3 2 2 2" xfId="2844"/>
    <cellStyle name="Calc cel 2 2 3 2 2 3" xfId="4044"/>
    <cellStyle name="Calc cel 2 2 3 2 2 4" xfId="5458"/>
    <cellStyle name="Calc cel 2 2 3 2 2 5" xfId="2007"/>
    <cellStyle name="Calc cel 2 2 3 2 3" xfId="1438"/>
    <cellStyle name="Calc cel 2 2 3 2 3 2" xfId="4247"/>
    <cellStyle name="Calc cel 2 2 3 2 3 3" xfId="5659"/>
    <cellStyle name="Calc cel 2 2 3 2 3 4" xfId="3038"/>
    <cellStyle name="Calc cel 2 2 3 2 4" xfId="995"/>
    <cellStyle name="Calc cel 2 2 3 2 4 2" xfId="3798"/>
    <cellStyle name="Calc cel 2 2 3 2 4 3" xfId="5218"/>
    <cellStyle name="Calc cel 2 2 3 2 4 4" xfId="2624"/>
    <cellStyle name="Calc cel 2 2 3 2 5" xfId="626"/>
    <cellStyle name="Calc cel 2 2 3 2 5 2" xfId="4851"/>
    <cellStyle name="Calc cel 2 2 3 2 5 3" xfId="2273"/>
    <cellStyle name="Calc cel 2 2 3 2 6" xfId="3426"/>
    <cellStyle name="Calc cel 2 2 3 2 7" xfId="4764"/>
    <cellStyle name="Calc cel 2 2 3 3" xfId="675"/>
    <cellStyle name="Calc cel 2 2 3 3 2" xfId="1274"/>
    <cellStyle name="Calc cel 2 2 3 3 2 2" xfId="1588"/>
    <cellStyle name="Calc cel 2 2 3 3 2 2 2" xfId="4397"/>
    <cellStyle name="Calc cel 2 2 3 3 2 2 3" xfId="5809"/>
    <cellStyle name="Calc cel 2 2 3 3 2 2 4" xfId="3164"/>
    <cellStyle name="Calc cel 2 2 3 3 2 3" xfId="4083"/>
    <cellStyle name="Calc cel 2 2 3 3 2 4" xfId="5496"/>
    <cellStyle name="Calc cel 2 2 3 3 2 5" xfId="2881"/>
    <cellStyle name="Calc cel 2 2 3 3 3" xfId="1454"/>
    <cellStyle name="Calc cel 2 2 3 3 3 2" xfId="4263"/>
    <cellStyle name="Calc cel 2 2 3 3 3 3" xfId="5675"/>
    <cellStyle name="Calc cel 2 2 3 3 3 4" xfId="3053"/>
    <cellStyle name="Calc cel 2 2 3 3 4" xfId="1055"/>
    <cellStyle name="Calc cel 2 2 3 3 4 2" xfId="3858"/>
    <cellStyle name="Calc cel 2 2 3 3 4 3" xfId="5278"/>
    <cellStyle name="Calc cel 2 2 3 3 4 4" xfId="2682"/>
    <cellStyle name="Calc cel 2 2 3 3 5" xfId="2321"/>
    <cellStyle name="Calc cel 2 2 3 3 6" xfId="3475"/>
    <cellStyle name="Calc cel 2 2 3 3 7" xfId="4900"/>
    <cellStyle name="Calc cel 2 2 3 3 8" xfId="2041"/>
    <cellStyle name="Calc cel 2 2 3 4" xfId="739"/>
    <cellStyle name="Calc cel 2 2 3 4 2" xfId="1652"/>
    <cellStyle name="Calc cel 2 2 3 4 2 2" xfId="4461"/>
    <cellStyle name="Calc cel 2 2 3 4 2 3" xfId="5873"/>
    <cellStyle name="Calc cel 2 2 3 4 2 4" xfId="3224"/>
    <cellStyle name="Calc cel 2 2 3 4 3" xfId="1335"/>
    <cellStyle name="Calc cel 2 2 3 4 3 2" xfId="4144"/>
    <cellStyle name="Calc cel 2 2 3 4 3 3" xfId="5557"/>
    <cellStyle name="Calc cel 2 2 3 4 3 4" xfId="2940"/>
    <cellStyle name="Calc cel 2 2 3 4 4" xfId="2383"/>
    <cellStyle name="Calc cel 2 2 3 4 5" xfId="3539"/>
    <cellStyle name="Calc cel 2 2 3 4 6" xfId="4964"/>
    <cellStyle name="Calc cel 2 2 3 4 7" xfId="2088"/>
    <cellStyle name="Calc cel 2 2 3 5" xfId="800"/>
    <cellStyle name="Calc cel 2 2 3 5 2" xfId="1713"/>
    <cellStyle name="Calc cel 2 2 3 5 2 2" xfId="4522"/>
    <cellStyle name="Calc cel 2 2 3 5 2 3" xfId="5934"/>
    <cellStyle name="Calc cel 2 2 3 5 2 4" xfId="3283"/>
    <cellStyle name="Calc cel 2 2 3 5 3" xfId="1391"/>
    <cellStyle name="Calc cel 2 2 3 5 3 2" xfId="4200"/>
    <cellStyle name="Calc cel 2 2 3 5 3 3" xfId="5612"/>
    <cellStyle name="Calc cel 2 2 3 5 3 4" xfId="2994"/>
    <cellStyle name="Calc cel 2 2 3 5 4" xfId="2444"/>
    <cellStyle name="Calc cel 2 2 3 5 5" xfId="3600"/>
    <cellStyle name="Calc cel 2 2 3 5 6" xfId="5025"/>
    <cellStyle name="Calc cel 2 2 3 5 7" xfId="2147"/>
    <cellStyle name="Calc cel 2 2 3 6" xfId="1168"/>
    <cellStyle name="Calc cel 2 2 3 6 2" xfId="2777"/>
    <cellStyle name="Calc cel 2 2 3 6 3" xfId="3976"/>
    <cellStyle name="Calc cel 2 2 3 6 4" xfId="5390"/>
    <cellStyle name="Calc cel 2 2 3 6 5" xfId="1939"/>
    <cellStyle name="Calc cel 2 2 3 7" xfId="909"/>
    <cellStyle name="Calc cel 2 2 3 7 2" xfId="3709"/>
    <cellStyle name="Calc cel 2 2 3 7 3" xfId="5132"/>
    <cellStyle name="Calc cel 2 2 3 7 4" xfId="2545"/>
    <cellStyle name="Calc cel 2 2 3 8" xfId="824"/>
    <cellStyle name="Calc cel 2 2 3 8 2" xfId="3624"/>
    <cellStyle name="Calc cel 2 2 3 8 3" xfId="5049"/>
    <cellStyle name="Calc cel 2 2 3 8 4" xfId="2467"/>
    <cellStyle name="Calc cel 2 2 3 9" xfId="324"/>
    <cellStyle name="Calc cel 2 2 3 9 2" xfId="4570"/>
    <cellStyle name="Calc cel 2 2 3 9 3" xfId="2201"/>
    <cellStyle name="Calc cel 2 2 4" xfId="420"/>
    <cellStyle name="Calc cel 2 2 4 2" xfId="515"/>
    <cellStyle name="Calc cel 2 2 4 2 2" xfId="1473"/>
    <cellStyle name="Calc cel 2 2 4 2 2 2" xfId="4282"/>
    <cellStyle name="Calc cel 2 2 4 2 2 3" xfId="5694"/>
    <cellStyle name="Calc cel 2 2 4 2 2 4" xfId="3068"/>
    <cellStyle name="Calc cel 2 2 4 2 3" xfId="878"/>
    <cellStyle name="Calc cel 2 2 4 2 3 2" xfId="5102"/>
    <cellStyle name="Calc cel 2 2 4 2 3 3" xfId="3678"/>
    <cellStyle name="Calc cel 2 2 4 2 4" xfId="4740"/>
    <cellStyle name="Calc cel 2 2 4 3" xfId="1099"/>
    <cellStyle name="Calc cel 2 2 4 3 2" xfId="3904"/>
    <cellStyle name="Calc cel 2 2 4 3 3" xfId="5322"/>
    <cellStyle name="Calc cel 2 2 4 3 4" xfId="2724"/>
    <cellStyle name="Calc cel 2 2 4 4" xfId="931"/>
    <cellStyle name="Calc cel 2 2 4 4 2" xfId="3733"/>
    <cellStyle name="Calc cel 2 2 4 4 3" xfId="5154"/>
    <cellStyle name="Calc cel 2 2 4 4 4" xfId="2565"/>
    <cellStyle name="Calc cel 2 2 4 5" xfId="472"/>
    <cellStyle name="Calc cel 2 2 4 5 2" xfId="4697"/>
    <cellStyle name="Calc cel 2 2 4 5 3" xfId="1842"/>
    <cellStyle name="Calc cel 2 2 4 6" xfId="3304"/>
    <cellStyle name="Calc cel 2 2 4 7" xfId="1818"/>
    <cellStyle name="Calc cel 2 2 5" xfId="461"/>
    <cellStyle name="Calc cel 2 2 5 2" xfId="1602"/>
    <cellStyle name="Calc cel 2 2 5 2 2" xfId="4411"/>
    <cellStyle name="Calc cel 2 2 5 2 3" xfId="5823"/>
    <cellStyle name="Calc cel 2 2 5 2 4" xfId="3177"/>
    <cellStyle name="Calc cel 2 2 5 3" xfId="967"/>
    <cellStyle name="Calc cel 2 2 5 3 2" xfId="3770"/>
    <cellStyle name="Calc cel 2 2 5 3 3" xfId="5190"/>
    <cellStyle name="Calc cel 2 2 5 3 4" xfId="2600"/>
    <cellStyle name="Calc cel 2 2 5 4" xfId="689"/>
    <cellStyle name="Calc cel 2 2 5 4 2" xfId="4914"/>
    <cellStyle name="Calc cel 2 2 5 4 3" xfId="2334"/>
    <cellStyle name="Calc cel 2 2 5 5" xfId="3489"/>
    <cellStyle name="Calc cel 2 2 5 6" xfId="4686"/>
    <cellStyle name="Calc cel 2 2 6" xfId="752"/>
    <cellStyle name="Calc cel 2 2 6 2" xfId="1665"/>
    <cellStyle name="Calc cel 2 2 6 2 2" xfId="4474"/>
    <cellStyle name="Calc cel 2 2 6 2 3" xfId="5886"/>
    <cellStyle name="Calc cel 2 2 6 2 4" xfId="3236"/>
    <cellStyle name="Calc cel 2 2 6 3" xfId="1348"/>
    <cellStyle name="Calc cel 2 2 6 3 2" xfId="4157"/>
    <cellStyle name="Calc cel 2 2 6 3 3" xfId="5570"/>
    <cellStyle name="Calc cel 2 2 6 3 4" xfId="2952"/>
    <cellStyle name="Calc cel 2 2 6 4" xfId="2396"/>
    <cellStyle name="Calc cel 2 2 6 5" xfId="3552"/>
    <cellStyle name="Calc cel 2 2 6 6" xfId="4977"/>
    <cellStyle name="Calc cel 2 2 6 7" xfId="2100"/>
    <cellStyle name="Calc cel 2 2 7" xfId="1082"/>
    <cellStyle name="Calc cel 2 2 7 2" xfId="853"/>
    <cellStyle name="Calc cel 2 2 7 2 2" xfId="3653"/>
    <cellStyle name="Calc cel 2 2 7 2 3" xfId="5077"/>
    <cellStyle name="Calc cel 2 2 7 2 4" xfId="2495"/>
    <cellStyle name="Calc cel 2 2 7 3" xfId="2707"/>
    <cellStyle name="Calc cel 2 2 7 4" xfId="3885"/>
    <cellStyle name="Calc cel 2 2 7 5" xfId="5305"/>
    <cellStyle name="Calc cel 2 2 7 6" xfId="1844"/>
    <cellStyle name="Calc cel 2 2 8" xfId="1289"/>
    <cellStyle name="Calc cel 2 2 8 2" xfId="4098"/>
    <cellStyle name="Calc cel 2 2 8 3" xfId="5511"/>
    <cellStyle name="Calc cel 2 2 8 4" xfId="2896"/>
    <cellStyle name="Calc cel 2 2 9" xfId="572"/>
    <cellStyle name="Calc cel 2 2 9 2" xfId="4797"/>
    <cellStyle name="Calc cel 2 2 9 3" xfId="1835"/>
    <cellStyle name="Calc cel 2 3" xfId="205"/>
    <cellStyle name="Calc cel 2 3 10" xfId="1739"/>
    <cellStyle name="Calc cel 2 3 2" xfId="440"/>
    <cellStyle name="Calc cel 2 3 2 10" xfId="3423"/>
    <cellStyle name="Calc cel 2 3 2 11" xfId="1913"/>
    <cellStyle name="Calc cel 2 3 2 12" xfId="4669"/>
    <cellStyle name="Calc cel 2 3 2 2" xfId="534"/>
    <cellStyle name="Calc cel 2 3 2 2 2" xfId="1585"/>
    <cellStyle name="Calc cel 2 3 2 2 2 2" xfId="4394"/>
    <cellStyle name="Calc cel 2 3 2 2 2 3" xfId="5806"/>
    <cellStyle name="Calc cel 2 3 2 2 2 4" xfId="3161"/>
    <cellStyle name="Calc cel 2 3 2 2 3" xfId="1451"/>
    <cellStyle name="Calc cel 2 3 2 2 3 2" xfId="4260"/>
    <cellStyle name="Calc cel 2 3 2 2 3 3" xfId="5672"/>
    <cellStyle name="Calc cel 2 3 2 2 3 4" xfId="3050"/>
    <cellStyle name="Calc cel 2 3 2 2 4" xfId="1271"/>
    <cellStyle name="Calc cel 2 3 2 2 4 2" xfId="4080"/>
    <cellStyle name="Calc cel 2 3 2 2 4 3" xfId="5493"/>
    <cellStyle name="Calc cel 2 3 2 2 4 4" xfId="2878"/>
    <cellStyle name="Calc cel 2 3 2 2 5" xfId="672"/>
    <cellStyle name="Calc cel 2 3 2 2 5 2" xfId="4897"/>
    <cellStyle name="Calc cel 2 3 2 2 5 3" xfId="2318"/>
    <cellStyle name="Calc cel 2 3 2 2 6" xfId="3472"/>
    <cellStyle name="Calc cel 2 3 2 2 7" xfId="4759"/>
    <cellStyle name="Calc cel 2 3 2 3" xfId="736"/>
    <cellStyle name="Calc cel 2 3 2 3 2" xfId="1649"/>
    <cellStyle name="Calc cel 2 3 2 3 2 2" xfId="4458"/>
    <cellStyle name="Calc cel 2 3 2 3 2 3" xfId="5870"/>
    <cellStyle name="Calc cel 2 3 2 3 2 4" xfId="3221"/>
    <cellStyle name="Calc cel 2 3 2 3 3" xfId="1332"/>
    <cellStyle name="Calc cel 2 3 2 3 3 2" xfId="4141"/>
    <cellStyle name="Calc cel 2 3 2 3 3 3" xfId="5554"/>
    <cellStyle name="Calc cel 2 3 2 3 3 4" xfId="2937"/>
    <cellStyle name="Calc cel 2 3 2 3 4" xfId="2380"/>
    <cellStyle name="Calc cel 2 3 2 3 5" xfId="3536"/>
    <cellStyle name="Calc cel 2 3 2 3 6" xfId="4961"/>
    <cellStyle name="Calc cel 2 3 2 3 7" xfId="2085"/>
    <cellStyle name="Calc cel 2 3 2 4" xfId="797"/>
    <cellStyle name="Calc cel 2 3 2 4 2" xfId="1710"/>
    <cellStyle name="Calc cel 2 3 2 4 2 2" xfId="4519"/>
    <cellStyle name="Calc cel 2 3 2 4 2 3" xfId="5931"/>
    <cellStyle name="Calc cel 2 3 2 4 2 4" xfId="3280"/>
    <cellStyle name="Calc cel 2 3 2 4 3" xfId="1388"/>
    <cellStyle name="Calc cel 2 3 2 4 3 2" xfId="4197"/>
    <cellStyle name="Calc cel 2 3 2 4 3 3" xfId="5609"/>
    <cellStyle name="Calc cel 2 3 2 4 3 4" xfId="2991"/>
    <cellStyle name="Calc cel 2 3 2 4 4" xfId="2441"/>
    <cellStyle name="Calc cel 2 3 2 4 5" xfId="3597"/>
    <cellStyle name="Calc cel 2 3 2 4 6" xfId="5022"/>
    <cellStyle name="Calc cel 2 3 2 4 7" xfId="2144"/>
    <cellStyle name="Calc cel 2 3 2 5" xfId="1233"/>
    <cellStyle name="Calc cel 2 3 2 5 2" xfId="1543"/>
    <cellStyle name="Calc cel 2 3 2 5 2 2" xfId="4352"/>
    <cellStyle name="Calc cel 2 3 2 5 2 3" xfId="5764"/>
    <cellStyle name="Calc cel 2 3 2 5 2 4" xfId="3121"/>
    <cellStyle name="Calc cel 2 3 2 5 3" xfId="2841"/>
    <cellStyle name="Calc cel 2 3 2 5 4" xfId="4041"/>
    <cellStyle name="Calc cel 2 3 2 5 5" xfId="5455"/>
    <cellStyle name="Calc cel 2 3 2 5 6" xfId="2004"/>
    <cellStyle name="Calc cel 2 3 2 6" xfId="1148"/>
    <cellStyle name="Calc cel 2 3 2 6 2" xfId="3956"/>
    <cellStyle name="Calc cel 2 3 2 6 3" xfId="5370"/>
    <cellStyle name="Calc cel 2 3 2 6 4" xfId="2768"/>
    <cellStyle name="Calc cel 2 3 2 7" xfId="1024"/>
    <cellStyle name="Calc cel 2 3 2 7 2" xfId="3827"/>
    <cellStyle name="Calc cel 2 3 2 7 3" xfId="5247"/>
    <cellStyle name="Calc cel 2 3 2 7 4" xfId="2653"/>
    <cellStyle name="Calc cel 2 3 2 8" xfId="1052"/>
    <cellStyle name="Calc cel 2 3 2 8 2" xfId="3855"/>
    <cellStyle name="Calc cel 2 3 2 8 3" xfId="5275"/>
    <cellStyle name="Calc cel 2 3 2 8 4" xfId="2679"/>
    <cellStyle name="Calc cel 2 3 2 9" xfId="623"/>
    <cellStyle name="Calc cel 2 3 2 9 2" xfId="4848"/>
    <cellStyle name="Calc cel 2 3 2 9 3" xfId="2270"/>
    <cellStyle name="Calc cel 2 3 3" xfId="458"/>
    <cellStyle name="Calc cel 2 3 3 2" xfId="552"/>
    <cellStyle name="Calc cel 2 3 3 2 2" xfId="1515"/>
    <cellStyle name="Calc cel 2 3 3 2 2 2" xfId="5736"/>
    <cellStyle name="Calc cel 2 3 3 2 2 3" xfId="4324"/>
    <cellStyle name="Calc cel 2 3 3 2 3" xfId="4777"/>
    <cellStyle name="Calc cel 2 3 3 3" xfId="991"/>
    <cellStyle name="Calc cel 2 3 3 3 2" xfId="3794"/>
    <cellStyle name="Calc cel 2 3 3 3 3" xfId="5214"/>
    <cellStyle name="Calc cel 2 3 3 3 4" xfId="2620"/>
    <cellStyle name="Calc cel 2 3 3 4" xfId="587"/>
    <cellStyle name="Calc cel 2 3 3 4 2" xfId="4812"/>
    <cellStyle name="Calc cel 2 3 3 4 3" xfId="2234"/>
    <cellStyle name="Calc cel 2 3 3 5" xfId="3387"/>
    <cellStyle name="Calc cel 2 3 3 6" xfId="4684"/>
    <cellStyle name="Calc cel 2 3 4" xfId="332"/>
    <cellStyle name="Calc cel 2 3 4 2" xfId="1493"/>
    <cellStyle name="Calc cel 2 3 4 2 2" xfId="5714"/>
    <cellStyle name="Calc cel 2 3 4 2 3" xfId="4302"/>
    <cellStyle name="Calc cel 2 3 4 3" xfId="4578"/>
    <cellStyle name="Calc cel 2 3 4 4" xfId="3081"/>
    <cellStyle name="Calc cel 2 3 5" xfId="314"/>
    <cellStyle name="Calc cel 2 3 5 2" xfId="4061"/>
    <cellStyle name="Calc cel 2 3 5 3" xfId="4560"/>
    <cellStyle name="Calc cel 2 3 5 4" xfId="2860"/>
    <cellStyle name="Calc cel 2 3 6" xfId="905"/>
    <cellStyle name="Calc cel 2 3 6 2" xfId="3706"/>
    <cellStyle name="Calc cel 2 3 6 3" xfId="5129"/>
    <cellStyle name="Calc cel 2 3 6 4" xfId="2542"/>
    <cellStyle name="Calc cel 2 3 7" xfId="2183"/>
    <cellStyle name="Calc cel 2 3 8" xfId="3337"/>
    <cellStyle name="Calc cel 2 3 9" xfId="1761"/>
    <cellStyle name="Calc cel 2 4" xfId="1831"/>
    <cellStyle name="Calc cel 2 5" xfId="1725"/>
    <cellStyle name="Calc cel 3" xfId="12"/>
    <cellStyle name="Calc cel 3 2" xfId="268"/>
    <cellStyle name="Calc cel 3 2 10" xfId="1937"/>
    <cellStyle name="Calc cel 3 2 11" xfId="1785"/>
    <cellStyle name="Calc cel 3 2 2" xfId="397"/>
    <cellStyle name="Calc cel 3 2 2 10" xfId="1868"/>
    <cellStyle name="Calc cel 3 2 2 11" xfId="4638"/>
    <cellStyle name="Calc cel 3 2 2 2" xfId="492"/>
    <cellStyle name="Calc cel 3 2 2 2 2" xfId="1206"/>
    <cellStyle name="Calc cel 3 2 2 2 2 2" xfId="1523"/>
    <cellStyle name="Calc cel 3 2 2 2 2 2 2" xfId="4332"/>
    <cellStyle name="Calc cel 3 2 2 2 2 2 3" xfId="5744"/>
    <cellStyle name="Calc cel 3 2 2 2 2 2 4" xfId="3103"/>
    <cellStyle name="Calc cel 3 2 2 2 2 3" xfId="2814"/>
    <cellStyle name="Calc cel 3 2 2 2 2 4" xfId="4014"/>
    <cellStyle name="Calc cel 3 2 2 2 2 5" xfId="5428"/>
    <cellStyle name="Calc cel 3 2 2 2 2 6" xfId="1977"/>
    <cellStyle name="Calc cel 3 2 2 2 3" xfId="1125"/>
    <cellStyle name="Calc cel 3 2 2 2 3 2" xfId="3931"/>
    <cellStyle name="Calc cel 3 2 2 2 3 3" xfId="5347"/>
    <cellStyle name="Calc cel 3 2 2 2 3 4" xfId="2746"/>
    <cellStyle name="Calc cel 3 2 2 2 4" xfId="1071"/>
    <cellStyle name="Calc cel 3 2 2 2 4 2" xfId="3874"/>
    <cellStyle name="Calc cel 3 2 2 2 4 3" xfId="5294"/>
    <cellStyle name="Calc cel 3 2 2 2 4 4" xfId="2698"/>
    <cellStyle name="Calc cel 3 2 2 2 5" xfId="951"/>
    <cellStyle name="Calc cel 3 2 2 2 5 2" xfId="3754"/>
    <cellStyle name="Calc cel 3 2 2 2 5 3" xfId="5174"/>
    <cellStyle name="Calc cel 3 2 2 2 5 4" xfId="2586"/>
    <cellStyle name="Calc cel 3 2 2 2 6" xfId="596"/>
    <cellStyle name="Calc cel 3 2 2 2 6 2" xfId="4821"/>
    <cellStyle name="Calc cel 3 2 2 2 6 3" xfId="2243"/>
    <cellStyle name="Calc cel 3 2 2 2 7" xfId="3396"/>
    <cellStyle name="Calc cel 3 2 2 2 8" xfId="4717"/>
    <cellStyle name="Calc cel 3 2 2 3" xfId="644"/>
    <cellStyle name="Calc cel 3 2 2 3 2" xfId="1557"/>
    <cellStyle name="Calc cel 3 2 2 3 2 2" xfId="4366"/>
    <cellStyle name="Calc cel 3 2 2 3 2 3" xfId="5778"/>
    <cellStyle name="Calc cel 3 2 2 3 2 4" xfId="3135"/>
    <cellStyle name="Calc cel 3 2 2 3 3" xfId="1013"/>
    <cellStyle name="Calc cel 3 2 2 3 3 2" xfId="3816"/>
    <cellStyle name="Calc cel 3 2 2 3 3 3" xfId="5236"/>
    <cellStyle name="Calc cel 3 2 2 3 3 4" xfId="2642"/>
    <cellStyle name="Calc cel 3 2 2 3 4" xfId="2291"/>
    <cellStyle name="Calc cel 3 2 2 3 5" xfId="3444"/>
    <cellStyle name="Calc cel 3 2 2 3 6" xfId="4869"/>
    <cellStyle name="Calc cel 3 2 2 3 7" xfId="2025"/>
    <cellStyle name="Calc cel 3 2 2 4" xfId="708"/>
    <cellStyle name="Calc cel 3 2 2 4 2" xfId="1621"/>
    <cellStyle name="Calc cel 3 2 2 4 2 2" xfId="4430"/>
    <cellStyle name="Calc cel 3 2 2 4 2 3" xfId="5842"/>
    <cellStyle name="Calc cel 3 2 2 4 2 4" xfId="3195"/>
    <cellStyle name="Calc cel 3 2 2 4 3" xfId="1304"/>
    <cellStyle name="Calc cel 3 2 2 4 3 2" xfId="4113"/>
    <cellStyle name="Calc cel 3 2 2 4 3 3" xfId="5526"/>
    <cellStyle name="Calc cel 3 2 2 4 3 4" xfId="2911"/>
    <cellStyle name="Calc cel 3 2 2 4 4" xfId="2352"/>
    <cellStyle name="Calc cel 3 2 2 4 5" xfId="3508"/>
    <cellStyle name="Calc cel 3 2 2 4 6" xfId="4933"/>
    <cellStyle name="Calc cel 3 2 2 4 7" xfId="2059"/>
    <cellStyle name="Calc cel 3 2 2 5" xfId="770"/>
    <cellStyle name="Calc cel 3 2 2 5 2" xfId="1683"/>
    <cellStyle name="Calc cel 3 2 2 5 2 2" xfId="4492"/>
    <cellStyle name="Calc cel 3 2 2 5 2 3" xfId="5904"/>
    <cellStyle name="Calc cel 3 2 2 5 2 4" xfId="3254"/>
    <cellStyle name="Calc cel 3 2 2 5 3" xfId="1361"/>
    <cellStyle name="Calc cel 3 2 2 5 3 2" xfId="4170"/>
    <cellStyle name="Calc cel 3 2 2 5 3 3" xfId="5582"/>
    <cellStyle name="Calc cel 3 2 2 5 3 4" xfId="2965"/>
    <cellStyle name="Calc cel 3 2 2 5 4" xfId="2414"/>
    <cellStyle name="Calc cel 3 2 2 5 5" xfId="3570"/>
    <cellStyle name="Calc cel 3 2 2 5 6" xfId="4995"/>
    <cellStyle name="Calc cel 3 2 2 5 7" xfId="2118"/>
    <cellStyle name="Calc cel 3 2 2 6" xfId="1187"/>
    <cellStyle name="Calc cel 3 2 2 6 2" xfId="2795"/>
    <cellStyle name="Calc cel 3 2 2 6 3" xfId="3995"/>
    <cellStyle name="Calc cel 3 2 2 6 4" xfId="5409"/>
    <cellStyle name="Calc cel 3 2 2 6 5" xfId="1958"/>
    <cellStyle name="Calc cel 3 2 2 7" xfId="912"/>
    <cellStyle name="Calc cel 3 2 2 7 2" xfId="3713"/>
    <cellStyle name="Calc cel 3 2 2 7 3" xfId="5135"/>
    <cellStyle name="Calc cel 3 2 2 7 4" xfId="2549"/>
    <cellStyle name="Calc cel 3 2 2 8" xfId="574"/>
    <cellStyle name="Calc cel 3 2 2 8 2" xfId="4799"/>
    <cellStyle name="Calc cel 3 2 2 8 3" xfId="2220"/>
    <cellStyle name="Calc cel 3 2 2 9" xfId="3373"/>
    <cellStyle name="Calc cel 3 2 3" xfId="446"/>
    <cellStyle name="Calc cel 3 2 3 10" xfId="3355"/>
    <cellStyle name="Calc cel 3 2 3 11" xfId="1850"/>
    <cellStyle name="Calc cel 3 2 3 12" xfId="4673"/>
    <cellStyle name="Calc cel 3 2 3 2" xfId="540"/>
    <cellStyle name="Calc cel 3 2 3 2 2" xfId="1237"/>
    <cellStyle name="Calc cel 3 2 3 2 2 2" xfId="2845"/>
    <cellStyle name="Calc cel 3 2 3 2 2 3" xfId="4045"/>
    <cellStyle name="Calc cel 3 2 3 2 2 4" xfId="5459"/>
    <cellStyle name="Calc cel 3 2 3 2 2 5" xfId="2008"/>
    <cellStyle name="Calc cel 3 2 3 2 3" xfId="1439"/>
    <cellStyle name="Calc cel 3 2 3 2 3 2" xfId="4248"/>
    <cellStyle name="Calc cel 3 2 3 2 3 3" xfId="5660"/>
    <cellStyle name="Calc cel 3 2 3 2 3 4" xfId="3039"/>
    <cellStyle name="Calc cel 3 2 3 2 4" xfId="996"/>
    <cellStyle name="Calc cel 3 2 3 2 4 2" xfId="3799"/>
    <cellStyle name="Calc cel 3 2 3 2 4 3" xfId="5219"/>
    <cellStyle name="Calc cel 3 2 3 2 4 4" xfId="2625"/>
    <cellStyle name="Calc cel 3 2 3 2 5" xfId="627"/>
    <cellStyle name="Calc cel 3 2 3 2 5 2" xfId="4852"/>
    <cellStyle name="Calc cel 3 2 3 2 5 3" xfId="2274"/>
    <cellStyle name="Calc cel 3 2 3 2 6" xfId="3427"/>
    <cellStyle name="Calc cel 3 2 3 2 7" xfId="4765"/>
    <cellStyle name="Calc cel 3 2 3 3" xfId="676"/>
    <cellStyle name="Calc cel 3 2 3 3 2" xfId="1275"/>
    <cellStyle name="Calc cel 3 2 3 3 2 2" xfId="1589"/>
    <cellStyle name="Calc cel 3 2 3 3 2 2 2" xfId="4398"/>
    <cellStyle name="Calc cel 3 2 3 3 2 2 3" xfId="5810"/>
    <cellStyle name="Calc cel 3 2 3 3 2 2 4" xfId="3165"/>
    <cellStyle name="Calc cel 3 2 3 3 2 3" xfId="4084"/>
    <cellStyle name="Calc cel 3 2 3 3 2 4" xfId="5497"/>
    <cellStyle name="Calc cel 3 2 3 3 2 5" xfId="2882"/>
    <cellStyle name="Calc cel 3 2 3 3 3" xfId="1455"/>
    <cellStyle name="Calc cel 3 2 3 3 3 2" xfId="4264"/>
    <cellStyle name="Calc cel 3 2 3 3 3 3" xfId="5676"/>
    <cellStyle name="Calc cel 3 2 3 3 3 4" xfId="3054"/>
    <cellStyle name="Calc cel 3 2 3 3 4" xfId="1056"/>
    <cellStyle name="Calc cel 3 2 3 3 4 2" xfId="3859"/>
    <cellStyle name="Calc cel 3 2 3 3 4 3" xfId="5279"/>
    <cellStyle name="Calc cel 3 2 3 3 4 4" xfId="2683"/>
    <cellStyle name="Calc cel 3 2 3 3 5" xfId="2322"/>
    <cellStyle name="Calc cel 3 2 3 3 6" xfId="3476"/>
    <cellStyle name="Calc cel 3 2 3 3 7" xfId="4901"/>
    <cellStyle name="Calc cel 3 2 3 3 8" xfId="2042"/>
    <cellStyle name="Calc cel 3 2 3 4" xfId="740"/>
    <cellStyle name="Calc cel 3 2 3 4 2" xfId="1653"/>
    <cellStyle name="Calc cel 3 2 3 4 2 2" xfId="4462"/>
    <cellStyle name="Calc cel 3 2 3 4 2 3" xfId="5874"/>
    <cellStyle name="Calc cel 3 2 3 4 2 4" xfId="3225"/>
    <cellStyle name="Calc cel 3 2 3 4 3" xfId="1336"/>
    <cellStyle name="Calc cel 3 2 3 4 3 2" xfId="4145"/>
    <cellStyle name="Calc cel 3 2 3 4 3 3" xfId="5558"/>
    <cellStyle name="Calc cel 3 2 3 4 3 4" xfId="2941"/>
    <cellStyle name="Calc cel 3 2 3 4 4" xfId="2384"/>
    <cellStyle name="Calc cel 3 2 3 4 5" xfId="3540"/>
    <cellStyle name="Calc cel 3 2 3 4 6" xfId="4965"/>
    <cellStyle name="Calc cel 3 2 3 4 7" xfId="2089"/>
    <cellStyle name="Calc cel 3 2 3 5" xfId="801"/>
    <cellStyle name="Calc cel 3 2 3 5 2" xfId="1714"/>
    <cellStyle name="Calc cel 3 2 3 5 2 2" xfId="4523"/>
    <cellStyle name="Calc cel 3 2 3 5 2 3" xfId="5935"/>
    <cellStyle name="Calc cel 3 2 3 5 2 4" xfId="3284"/>
    <cellStyle name="Calc cel 3 2 3 5 3" xfId="1392"/>
    <cellStyle name="Calc cel 3 2 3 5 3 2" xfId="4201"/>
    <cellStyle name="Calc cel 3 2 3 5 3 3" xfId="5613"/>
    <cellStyle name="Calc cel 3 2 3 5 3 4" xfId="2995"/>
    <cellStyle name="Calc cel 3 2 3 5 4" xfId="2445"/>
    <cellStyle name="Calc cel 3 2 3 5 5" xfId="3601"/>
    <cellStyle name="Calc cel 3 2 3 5 6" xfId="5026"/>
    <cellStyle name="Calc cel 3 2 3 5 7" xfId="2148"/>
    <cellStyle name="Calc cel 3 2 3 6" xfId="1169"/>
    <cellStyle name="Calc cel 3 2 3 6 2" xfId="2778"/>
    <cellStyle name="Calc cel 3 2 3 6 3" xfId="3977"/>
    <cellStyle name="Calc cel 3 2 3 6 4" xfId="5391"/>
    <cellStyle name="Calc cel 3 2 3 6 5" xfId="1940"/>
    <cellStyle name="Calc cel 3 2 3 7" xfId="1030"/>
    <cellStyle name="Calc cel 3 2 3 7 2" xfId="3833"/>
    <cellStyle name="Calc cel 3 2 3 7 3" xfId="5253"/>
    <cellStyle name="Calc cel 3 2 3 7 4" xfId="2658"/>
    <cellStyle name="Calc cel 3 2 3 8" xfId="825"/>
    <cellStyle name="Calc cel 3 2 3 8 2" xfId="3625"/>
    <cellStyle name="Calc cel 3 2 3 8 3" xfId="5050"/>
    <cellStyle name="Calc cel 3 2 3 8 4" xfId="2468"/>
    <cellStyle name="Calc cel 3 2 3 9" xfId="359"/>
    <cellStyle name="Calc cel 3 2 3 9 2" xfId="4605"/>
    <cellStyle name="Calc cel 3 2 3 9 3" xfId="2202"/>
    <cellStyle name="Calc cel 3 2 4" xfId="403"/>
    <cellStyle name="Calc cel 3 2 4 2" xfId="498"/>
    <cellStyle name="Calc cel 3 2 4 2 2" xfId="1499"/>
    <cellStyle name="Calc cel 3 2 4 2 2 2" xfId="4308"/>
    <cellStyle name="Calc cel 3 2 4 2 2 3" xfId="5720"/>
    <cellStyle name="Calc cel 3 2 4 2 2 4" xfId="3086"/>
    <cellStyle name="Calc cel 3 2 4 2 3" xfId="1164"/>
    <cellStyle name="Calc cel 3 2 4 2 3 2" xfId="5386"/>
    <cellStyle name="Calc cel 3 2 4 2 3 3" xfId="3972"/>
    <cellStyle name="Calc cel 3 2 4 2 4" xfId="4723"/>
    <cellStyle name="Calc cel 3 2 4 3" xfId="856"/>
    <cellStyle name="Calc cel 3 2 4 3 2" xfId="3656"/>
    <cellStyle name="Calc cel 3 2 4 3 3" xfId="5080"/>
    <cellStyle name="Calc cel 3 2 4 3 4" xfId="2498"/>
    <cellStyle name="Calc cel 3 2 4 4" xfId="932"/>
    <cellStyle name="Calc cel 3 2 4 4 2" xfId="3734"/>
    <cellStyle name="Calc cel 3 2 4 4 3" xfId="5155"/>
    <cellStyle name="Calc cel 3 2 4 4 4" xfId="2566"/>
    <cellStyle name="Calc cel 3 2 4 5" xfId="564"/>
    <cellStyle name="Calc cel 3 2 4 5 2" xfId="4789"/>
    <cellStyle name="Calc cel 3 2 4 5 3" xfId="2192"/>
    <cellStyle name="Calc cel 3 2 4 6" xfId="3346"/>
    <cellStyle name="Calc cel 3 2 4 7" xfId="1932"/>
    <cellStyle name="Calc cel 3 2 5" xfId="462"/>
    <cellStyle name="Calc cel 3 2 5 2" xfId="1603"/>
    <cellStyle name="Calc cel 3 2 5 2 2" xfId="4412"/>
    <cellStyle name="Calc cel 3 2 5 2 3" xfId="5824"/>
    <cellStyle name="Calc cel 3 2 5 2 4" xfId="3178"/>
    <cellStyle name="Calc cel 3 2 5 3" xfId="968"/>
    <cellStyle name="Calc cel 3 2 5 3 2" xfId="3771"/>
    <cellStyle name="Calc cel 3 2 5 3 3" xfId="5191"/>
    <cellStyle name="Calc cel 3 2 5 3 4" xfId="2601"/>
    <cellStyle name="Calc cel 3 2 5 4" xfId="690"/>
    <cellStyle name="Calc cel 3 2 5 4 2" xfId="4915"/>
    <cellStyle name="Calc cel 3 2 5 4 3" xfId="2335"/>
    <cellStyle name="Calc cel 3 2 5 5" xfId="3490"/>
    <cellStyle name="Calc cel 3 2 5 6" xfId="4687"/>
    <cellStyle name="Calc cel 3 2 6" xfId="753"/>
    <cellStyle name="Calc cel 3 2 6 2" xfId="1666"/>
    <cellStyle name="Calc cel 3 2 6 2 2" xfId="4475"/>
    <cellStyle name="Calc cel 3 2 6 2 3" xfId="5887"/>
    <cellStyle name="Calc cel 3 2 6 2 4" xfId="3237"/>
    <cellStyle name="Calc cel 3 2 6 3" xfId="1349"/>
    <cellStyle name="Calc cel 3 2 6 3 2" xfId="4158"/>
    <cellStyle name="Calc cel 3 2 6 3 3" xfId="5571"/>
    <cellStyle name="Calc cel 3 2 6 3 4" xfId="2953"/>
    <cellStyle name="Calc cel 3 2 6 4" xfId="2397"/>
    <cellStyle name="Calc cel 3 2 6 5" xfId="3553"/>
    <cellStyle name="Calc cel 3 2 6 6" xfId="4978"/>
    <cellStyle name="Calc cel 3 2 6 7" xfId="2101"/>
    <cellStyle name="Calc cel 3 2 7" xfId="877"/>
    <cellStyle name="Calc cel 3 2 7 2" xfId="1068"/>
    <cellStyle name="Calc cel 3 2 7 2 2" xfId="3871"/>
    <cellStyle name="Calc cel 3 2 7 2 3" xfId="5291"/>
    <cellStyle name="Calc cel 3 2 7 2 4" xfId="2695"/>
    <cellStyle name="Calc cel 3 2 7 3" xfId="2516"/>
    <cellStyle name="Calc cel 3 2 7 4" xfId="3677"/>
    <cellStyle name="Calc cel 3 2 7 5" xfId="5101"/>
    <cellStyle name="Calc cel 3 2 7 6" xfId="1802"/>
    <cellStyle name="Calc cel 3 2 8" xfId="1116"/>
    <cellStyle name="Calc cel 3 2 8 2" xfId="3922"/>
    <cellStyle name="Calc cel 3 2 8 3" xfId="5339"/>
    <cellStyle name="Calc cel 3 2 8 4" xfId="2737"/>
    <cellStyle name="Calc cel 3 2 9" xfId="321"/>
    <cellStyle name="Calc cel 3 2 9 2" xfId="4567"/>
    <cellStyle name="Calc cel 3 2 9 3" xfId="1822"/>
    <cellStyle name="Calc cel 3 3" xfId="206"/>
    <cellStyle name="Calc cel 3 3 10" xfId="1740"/>
    <cellStyle name="Calc cel 3 3 2" xfId="437"/>
    <cellStyle name="Calc cel 3 3 2 10" xfId="3422"/>
    <cellStyle name="Calc cel 3 3 2 11" xfId="1911"/>
    <cellStyle name="Calc cel 3 3 2 12" xfId="4668"/>
    <cellStyle name="Calc cel 3 3 2 2" xfId="532"/>
    <cellStyle name="Calc cel 3 3 2 2 2" xfId="1583"/>
    <cellStyle name="Calc cel 3 3 2 2 2 2" xfId="4392"/>
    <cellStyle name="Calc cel 3 3 2 2 2 3" xfId="5804"/>
    <cellStyle name="Calc cel 3 3 2 2 2 4" xfId="3160"/>
    <cellStyle name="Calc cel 3 3 2 2 3" xfId="1449"/>
    <cellStyle name="Calc cel 3 3 2 2 3 2" xfId="4258"/>
    <cellStyle name="Calc cel 3 3 2 2 3 3" xfId="5670"/>
    <cellStyle name="Calc cel 3 3 2 2 3 4" xfId="3049"/>
    <cellStyle name="Calc cel 3 3 2 2 4" xfId="1269"/>
    <cellStyle name="Calc cel 3 3 2 2 4 2" xfId="4078"/>
    <cellStyle name="Calc cel 3 3 2 2 4 3" xfId="5491"/>
    <cellStyle name="Calc cel 3 3 2 2 4 4" xfId="2876"/>
    <cellStyle name="Calc cel 3 3 2 2 5" xfId="670"/>
    <cellStyle name="Calc cel 3 3 2 2 5 2" xfId="4895"/>
    <cellStyle name="Calc cel 3 3 2 2 5 3" xfId="2317"/>
    <cellStyle name="Calc cel 3 3 2 2 6" xfId="3470"/>
    <cellStyle name="Calc cel 3 3 2 2 7" xfId="4757"/>
    <cellStyle name="Calc cel 3 3 2 3" xfId="734"/>
    <cellStyle name="Calc cel 3 3 2 3 2" xfId="1647"/>
    <cellStyle name="Calc cel 3 3 2 3 2 2" xfId="4456"/>
    <cellStyle name="Calc cel 3 3 2 3 2 3" xfId="5868"/>
    <cellStyle name="Calc cel 3 3 2 3 2 4" xfId="3220"/>
    <cellStyle name="Calc cel 3 3 2 3 3" xfId="1330"/>
    <cellStyle name="Calc cel 3 3 2 3 3 2" xfId="4139"/>
    <cellStyle name="Calc cel 3 3 2 3 3 3" xfId="5552"/>
    <cellStyle name="Calc cel 3 3 2 3 3 4" xfId="2936"/>
    <cellStyle name="Calc cel 3 3 2 3 4" xfId="2378"/>
    <cellStyle name="Calc cel 3 3 2 3 5" xfId="3534"/>
    <cellStyle name="Calc cel 3 3 2 3 6" xfId="4959"/>
    <cellStyle name="Calc cel 3 3 2 3 7" xfId="2084"/>
    <cellStyle name="Calc cel 3 3 2 4" xfId="796"/>
    <cellStyle name="Calc cel 3 3 2 4 2" xfId="1709"/>
    <cellStyle name="Calc cel 3 3 2 4 2 2" xfId="4518"/>
    <cellStyle name="Calc cel 3 3 2 4 2 3" xfId="5930"/>
    <cellStyle name="Calc cel 3 3 2 4 2 4" xfId="3279"/>
    <cellStyle name="Calc cel 3 3 2 4 3" xfId="1387"/>
    <cellStyle name="Calc cel 3 3 2 4 3 2" xfId="4196"/>
    <cellStyle name="Calc cel 3 3 2 4 3 3" xfId="5608"/>
    <cellStyle name="Calc cel 3 3 2 4 3 4" xfId="2990"/>
    <cellStyle name="Calc cel 3 3 2 4 4" xfId="2440"/>
    <cellStyle name="Calc cel 3 3 2 4 5" xfId="3596"/>
    <cellStyle name="Calc cel 3 3 2 4 6" xfId="5021"/>
    <cellStyle name="Calc cel 3 3 2 4 7" xfId="2143"/>
    <cellStyle name="Calc cel 3 3 2 5" xfId="1232"/>
    <cellStyle name="Calc cel 3 3 2 5 2" xfId="1542"/>
    <cellStyle name="Calc cel 3 3 2 5 2 2" xfId="4351"/>
    <cellStyle name="Calc cel 3 3 2 5 2 3" xfId="5763"/>
    <cellStyle name="Calc cel 3 3 2 5 2 4" xfId="3120"/>
    <cellStyle name="Calc cel 3 3 2 5 3" xfId="2840"/>
    <cellStyle name="Calc cel 3 3 2 5 4" xfId="4040"/>
    <cellStyle name="Calc cel 3 3 2 5 5" xfId="5454"/>
    <cellStyle name="Calc cel 3 3 2 5 6" xfId="2002"/>
    <cellStyle name="Calc cel 3 3 2 6" xfId="1145"/>
    <cellStyle name="Calc cel 3 3 2 6 2" xfId="3953"/>
    <cellStyle name="Calc cel 3 3 2 6 3" xfId="5367"/>
    <cellStyle name="Calc cel 3 3 2 6 4" xfId="2766"/>
    <cellStyle name="Calc cel 3 3 2 7" xfId="842"/>
    <cellStyle name="Calc cel 3 3 2 7 2" xfId="3642"/>
    <cellStyle name="Calc cel 3 3 2 7 3" xfId="5067"/>
    <cellStyle name="Calc cel 3 3 2 7 4" xfId="2484"/>
    <cellStyle name="Calc cel 3 3 2 8" xfId="1049"/>
    <cellStyle name="Calc cel 3 3 2 8 2" xfId="3852"/>
    <cellStyle name="Calc cel 3 3 2 8 3" xfId="5272"/>
    <cellStyle name="Calc cel 3 3 2 8 4" xfId="2676"/>
    <cellStyle name="Calc cel 3 3 2 9" xfId="622"/>
    <cellStyle name="Calc cel 3 3 2 9 2" xfId="4847"/>
    <cellStyle name="Calc cel 3 3 2 9 3" xfId="2269"/>
    <cellStyle name="Calc cel 3 3 3" xfId="418"/>
    <cellStyle name="Calc cel 3 3 3 2" xfId="513"/>
    <cellStyle name="Calc cel 3 3 3 2 2" xfId="1467"/>
    <cellStyle name="Calc cel 3 3 3 2 2 2" xfId="5688"/>
    <cellStyle name="Calc cel 3 3 3 2 2 3" xfId="4276"/>
    <cellStyle name="Calc cel 3 3 3 2 3" xfId="4738"/>
    <cellStyle name="Calc cel 3 3 3 3" xfId="1077"/>
    <cellStyle name="Calc cel 3 3 3 3 2" xfId="3880"/>
    <cellStyle name="Calc cel 3 3 3 3 3" xfId="5300"/>
    <cellStyle name="Calc cel 3 3 3 3 4" xfId="2702"/>
    <cellStyle name="Calc cel 3 3 3 4" xfId="557"/>
    <cellStyle name="Calc cel 3 3 3 4 2" xfId="4782"/>
    <cellStyle name="Calc cel 3 3 3 4 3" xfId="1820"/>
    <cellStyle name="Calc cel 3 3 3 5" xfId="3295"/>
    <cellStyle name="Calc cel 3 3 3 6" xfId="4652"/>
    <cellStyle name="Calc cel 3 3 4" xfId="333"/>
    <cellStyle name="Calc cel 3 3 4 2" xfId="1507"/>
    <cellStyle name="Calc cel 3 3 4 2 2" xfId="5728"/>
    <cellStyle name="Calc cel 3 3 4 2 3" xfId="4316"/>
    <cellStyle name="Calc cel 3 3 4 3" xfId="4579"/>
    <cellStyle name="Calc cel 3 3 4 4" xfId="3089"/>
    <cellStyle name="Calc cel 3 3 5" xfId="317"/>
    <cellStyle name="Calc cel 3 3 5 2" xfId="3905"/>
    <cellStyle name="Calc cel 3 3 5 3" xfId="4563"/>
    <cellStyle name="Calc cel 3 3 5 4" xfId="2725"/>
    <cellStyle name="Calc cel 3 3 6" xfId="840"/>
    <cellStyle name="Calc cel 3 3 6 2" xfId="3640"/>
    <cellStyle name="Calc cel 3 3 6 3" xfId="5065"/>
    <cellStyle name="Calc cel 3 3 6 4" xfId="2482"/>
    <cellStyle name="Calc cel 3 3 7" xfId="2179"/>
    <cellStyle name="Calc cel 3 3 8" xfId="3333"/>
    <cellStyle name="Calc cel 3 3 9" xfId="1760"/>
    <cellStyle name="Calc cel 3 4" xfId="1878"/>
    <cellStyle name="Calc cel 3 5" xfId="1726"/>
    <cellStyle name="Calc cel 4" xfId="266"/>
    <cellStyle name="Calc cel 4 10" xfId="1860"/>
    <cellStyle name="Calc cel 4 11" xfId="1782"/>
    <cellStyle name="Calc cel 4 2" xfId="401"/>
    <cellStyle name="Calc cel 4 2 10" xfId="1871"/>
    <cellStyle name="Calc cel 4 2 11" xfId="4641"/>
    <cellStyle name="Calc cel 4 2 2" xfId="496"/>
    <cellStyle name="Calc cel 4 2 2 2" xfId="1209"/>
    <cellStyle name="Calc cel 4 2 2 2 2" xfId="1526"/>
    <cellStyle name="Calc cel 4 2 2 2 2 2" xfId="4335"/>
    <cellStyle name="Calc cel 4 2 2 2 2 3" xfId="5747"/>
    <cellStyle name="Calc cel 4 2 2 2 2 4" xfId="3106"/>
    <cellStyle name="Calc cel 4 2 2 2 3" xfId="2817"/>
    <cellStyle name="Calc cel 4 2 2 2 4" xfId="4017"/>
    <cellStyle name="Calc cel 4 2 2 2 5" xfId="5431"/>
    <cellStyle name="Calc cel 4 2 2 2 6" xfId="1980"/>
    <cellStyle name="Calc cel 4 2 2 3" xfId="1128"/>
    <cellStyle name="Calc cel 4 2 2 3 2" xfId="3934"/>
    <cellStyle name="Calc cel 4 2 2 3 3" xfId="5350"/>
    <cellStyle name="Calc cel 4 2 2 3 4" xfId="2749"/>
    <cellStyle name="Calc cel 4 2 2 4" xfId="1288"/>
    <cellStyle name="Calc cel 4 2 2 4 2" xfId="4097"/>
    <cellStyle name="Calc cel 4 2 2 4 3" xfId="5510"/>
    <cellStyle name="Calc cel 4 2 2 4 4" xfId="2895"/>
    <cellStyle name="Calc cel 4 2 2 5" xfId="954"/>
    <cellStyle name="Calc cel 4 2 2 5 2" xfId="3757"/>
    <cellStyle name="Calc cel 4 2 2 5 3" xfId="5177"/>
    <cellStyle name="Calc cel 4 2 2 5 4" xfId="2589"/>
    <cellStyle name="Calc cel 4 2 2 6" xfId="599"/>
    <cellStyle name="Calc cel 4 2 2 6 2" xfId="4824"/>
    <cellStyle name="Calc cel 4 2 2 6 3" xfId="2246"/>
    <cellStyle name="Calc cel 4 2 2 7" xfId="3399"/>
    <cellStyle name="Calc cel 4 2 2 8" xfId="4721"/>
    <cellStyle name="Calc cel 4 2 3" xfId="647"/>
    <cellStyle name="Calc cel 4 2 3 2" xfId="1560"/>
    <cellStyle name="Calc cel 4 2 3 2 2" xfId="4369"/>
    <cellStyle name="Calc cel 4 2 3 2 3" xfId="5781"/>
    <cellStyle name="Calc cel 4 2 3 2 4" xfId="3138"/>
    <cellStyle name="Calc cel 4 2 3 3" xfId="1016"/>
    <cellStyle name="Calc cel 4 2 3 3 2" xfId="3819"/>
    <cellStyle name="Calc cel 4 2 3 3 3" xfId="5239"/>
    <cellStyle name="Calc cel 4 2 3 3 4" xfId="2645"/>
    <cellStyle name="Calc cel 4 2 3 4" xfId="2294"/>
    <cellStyle name="Calc cel 4 2 3 5" xfId="3447"/>
    <cellStyle name="Calc cel 4 2 3 6" xfId="4872"/>
    <cellStyle name="Calc cel 4 2 3 7" xfId="2028"/>
    <cellStyle name="Calc cel 4 2 4" xfId="711"/>
    <cellStyle name="Calc cel 4 2 4 2" xfId="1624"/>
    <cellStyle name="Calc cel 4 2 4 2 2" xfId="4433"/>
    <cellStyle name="Calc cel 4 2 4 2 3" xfId="5845"/>
    <cellStyle name="Calc cel 4 2 4 2 4" xfId="3198"/>
    <cellStyle name="Calc cel 4 2 4 3" xfId="1307"/>
    <cellStyle name="Calc cel 4 2 4 3 2" xfId="4116"/>
    <cellStyle name="Calc cel 4 2 4 3 3" xfId="5529"/>
    <cellStyle name="Calc cel 4 2 4 3 4" xfId="2914"/>
    <cellStyle name="Calc cel 4 2 4 4" xfId="2355"/>
    <cellStyle name="Calc cel 4 2 4 5" xfId="3511"/>
    <cellStyle name="Calc cel 4 2 4 6" xfId="4936"/>
    <cellStyle name="Calc cel 4 2 4 7" xfId="2062"/>
    <cellStyle name="Calc cel 4 2 5" xfId="773"/>
    <cellStyle name="Calc cel 4 2 5 2" xfId="1686"/>
    <cellStyle name="Calc cel 4 2 5 2 2" xfId="4495"/>
    <cellStyle name="Calc cel 4 2 5 2 3" xfId="5907"/>
    <cellStyle name="Calc cel 4 2 5 2 4" xfId="3257"/>
    <cellStyle name="Calc cel 4 2 5 3" xfId="1364"/>
    <cellStyle name="Calc cel 4 2 5 3 2" xfId="4173"/>
    <cellStyle name="Calc cel 4 2 5 3 3" xfId="5585"/>
    <cellStyle name="Calc cel 4 2 5 3 4" xfId="2968"/>
    <cellStyle name="Calc cel 4 2 5 4" xfId="2417"/>
    <cellStyle name="Calc cel 4 2 5 5" xfId="3573"/>
    <cellStyle name="Calc cel 4 2 5 6" xfId="4998"/>
    <cellStyle name="Calc cel 4 2 5 7" xfId="2121"/>
    <cellStyle name="Calc cel 4 2 6" xfId="1190"/>
    <cellStyle name="Calc cel 4 2 6 2" xfId="2798"/>
    <cellStyle name="Calc cel 4 2 6 3" xfId="3998"/>
    <cellStyle name="Calc cel 4 2 6 4" xfId="5412"/>
    <cellStyle name="Calc cel 4 2 6 5" xfId="1961"/>
    <cellStyle name="Calc cel 4 2 7" xfId="895"/>
    <cellStyle name="Calc cel 4 2 7 2" xfId="3695"/>
    <cellStyle name="Calc cel 4 2 7 3" xfId="5119"/>
    <cellStyle name="Calc cel 4 2 7 4" xfId="2533"/>
    <cellStyle name="Calc cel 4 2 8" xfId="311"/>
    <cellStyle name="Calc cel 4 2 8 2" xfId="4557"/>
    <cellStyle name="Calc cel 4 2 8 3" xfId="2223"/>
    <cellStyle name="Calc cel 4 2 9" xfId="3376"/>
    <cellStyle name="Calc cel 4 3" xfId="444"/>
    <cellStyle name="Calc cel 4 3 10" xfId="3353"/>
    <cellStyle name="Calc cel 4 3 11" xfId="1848"/>
    <cellStyle name="Calc cel 4 3 12" xfId="4671"/>
    <cellStyle name="Calc cel 4 3 2" xfId="538"/>
    <cellStyle name="Calc cel 4 3 2 2" xfId="1235"/>
    <cellStyle name="Calc cel 4 3 2 2 2" xfId="2843"/>
    <cellStyle name="Calc cel 4 3 2 2 3" xfId="4043"/>
    <cellStyle name="Calc cel 4 3 2 2 4" xfId="5457"/>
    <cellStyle name="Calc cel 4 3 2 2 5" xfId="2006"/>
    <cellStyle name="Calc cel 4 3 2 3" xfId="1437"/>
    <cellStyle name="Calc cel 4 3 2 3 2" xfId="4246"/>
    <cellStyle name="Calc cel 4 3 2 3 3" xfId="5658"/>
    <cellStyle name="Calc cel 4 3 2 3 4" xfId="3037"/>
    <cellStyle name="Calc cel 4 3 2 4" xfId="994"/>
    <cellStyle name="Calc cel 4 3 2 4 2" xfId="3797"/>
    <cellStyle name="Calc cel 4 3 2 4 3" xfId="5217"/>
    <cellStyle name="Calc cel 4 3 2 4 4" xfId="2623"/>
    <cellStyle name="Calc cel 4 3 2 5" xfId="625"/>
    <cellStyle name="Calc cel 4 3 2 5 2" xfId="4850"/>
    <cellStyle name="Calc cel 4 3 2 5 3" xfId="2272"/>
    <cellStyle name="Calc cel 4 3 2 6" xfId="3425"/>
    <cellStyle name="Calc cel 4 3 2 7" xfId="4763"/>
    <cellStyle name="Calc cel 4 3 3" xfId="674"/>
    <cellStyle name="Calc cel 4 3 3 2" xfId="1273"/>
    <cellStyle name="Calc cel 4 3 3 2 2" xfId="1587"/>
    <cellStyle name="Calc cel 4 3 3 2 2 2" xfId="4396"/>
    <cellStyle name="Calc cel 4 3 3 2 2 3" xfId="5808"/>
    <cellStyle name="Calc cel 4 3 3 2 2 4" xfId="3163"/>
    <cellStyle name="Calc cel 4 3 3 2 3" xfId="4082"/>
    <cellStyle name="Calc cel 4 3 3 2 4" xfId="5495"/>
    <cellStyle name="Calc cel 4 3 3 2 5" xfId="2880"/>
    <cellStyle name="Calc cel 4 3 3 3" xfId="1453"/>
    <cellStyle name="Calc cel 4 3 3 3 2" xfId="4262"/>
    <cellStyle name="Calc cel 4 3 3 3 3" xfId="5674"/>
    <cellStyle name="Calc cel 4 3 3 3 4" xfId="3052"/>
    <cellStyle name="Calc cel 4 3 3 4" xfId="1054"/>
    <cellStyle name="Calc cel 4 3 3 4 2" xfId="3857"/>
    <cellStyle name="Calc cel 4 3 3 4 3" xfId="5277"/>
    <cellStyle name="Calc cel 4 3 3 4 4" xfId="2681"/>
    <cellStyle name="Calc cel 4 3 3 5" xfId="2320"/>
    <cellStyle name="Calc cel 4 3 3 6" xfId="3474"/>
    <cellStyle name="Calc cel 4 3 3 7" xfId="4899"/>
    <cellStyle name="Calc cel 4 3 3 8" xfId="2040"/>
    <cellStyle name="Calc cel 4 3 4" xfId="738"/>
    <cellStyle name="Calc cel 4 3 4 2" xfId="1651"/>
    <cellStyle name="Calc cel 4 3 4 2 2" xfId="4460"/>
    <cellStyle name="Calc cel 4 3 4 2 3" xfId="5872"/>
    <cellStyle name="Calc cel 4 3 4 2 4" xfId="3223"/>
    <cellStyle name="Calc cel 4 3 4 3" xfId="1334"/>
    <cellStyle name="Calc cel 4 3 4 3 2" xfId="4143"/>
    <cellStyle name="Calc cel 4 3 4 3 3" xfId="5556"/>
    <cellStyle name="Calc cel 4 3 4 3 4" xfId="2939"/>
    <cellStyle name="Calc cel 4 3 4 4" xfId="2382"/>
    <cellStyle name="Calc cel 4 3 4 5" xfId="3538"/>
    <cellStyle name="Calc cel 4 3 4 6" xfId="4963"/>
    <cellStyle name="Calc cel 4 3 4 7" xfId="2087"/>
    <cellStyle name="Calc cel 4 3 5" xfId="799"/>
    <cellStyle name="Calc cel 4 3 5 2" xfId="1712"/>
    <cellStyle name="Calc cel 4 3 5 2 2" xfId="4521"/>
    <cellStyle name="Calc cel 4 3 5 2 3" xfId="5933"/>
    <cellStyle name="Calc cel 4 3 5 2 4" xfId="3282"/>
    <cellStyle name="Calc cel 4 3 5 3" xfId="1390"/>
    <cellStyle name="Calc cel 4 3 5 3 2" xfId="4199"/>
    <cellStyle name="Calc cel 4 3 5 3 3" xfId="5611"/>
    <cellStyle name="Calc cel 4 3 5 3 4" xfId="2993"/>
    <cellStyle name="Calc cel 4 3 5 4" xfId="2443"/>
    <cellStyle name="Calc cel 4 3 5 5" xfId="3599"/>
    <cellStyle name="Calc cel 4 3 5 6" xfId="5024"/>
    <cellStyle name="Calc cel 4 3 5 7" xfId="2146"/>
    <cellStyle name="Calc cel 4 3 6" xfId="1167"/>
    <cellStyle name="Calc cel 4 3 6 2" xfId="2776"/>
    <cellStyle name="Calc cel 4 3 6 3" xfId="3975"/>
    <cellStyle name="Calc cel 4 3 6 4" xfId="5389"/>
    <cellStyle name="Calc cel 4 3 6 5" xfId="1938"/>
    <cellStyle name="Calc cel 4 3 7" xfId="1095"/>
    <cellStyle name="Calc cel 4 3 7 2" xfId="3900"/>
    <cellStyle name="Calc cel 4 3 7 3" xfId="5318"/>
    <cellStyle name="Calc cel 4 3 7 4" xfId="2720"/>
    <cellStyle name="Calc cel 4 3 8" xfId="823"/>
    <cellStyle name="Calc cel 4 3 8 2" xfId="3623"/>
    <cellStyle name="Calc cel 4 3 8 3" xfId="5048"/>
    <cellStyle name="Calc cel 4 3 8 4" xfId="2466"/>
    <cellStyle name="Calc cel 4 3 9" xfId="323"/>
    <cellStyle name="Calc cel 4 3 9 2" xfId="4569"/>
    <cellStyle name="Calc cel 4 3 9 3" xfId="2200"/>
    <cellStyle name="Calc cel 4 4" xfId="408"/>
    <cellStyle name="Calc cel 4 4 2" xfId="503"/>
    <cellStyle name="Calc cel 4 4 2 2" xfId="1485"/>
    <cellStyle name="Calc cel 4 4 2 2 2" xfId="4294"/>
    <cellStyle name="Calc cel 4 4 2 2 3" xfId="5706"/>
    <cellStyle name="Calc cel 4 4 2 2 4" xfId="3075"/>
    <cellStyle name="Calc cel 4 4 2 3" xfId="983"/>
    <cellStyle name="Calc cel 4 4 2 3 2" xfId="5206"/>
    <cellStyle name="Calc cel 4 4 2 3 3" xfId="3786"/>
    <cellStyle name="Calc cel 4 4 2 4" xfId="4728"/>
    <cellStyle name="Calc cel 4 4 3" xfId="1444"/>
    <cellStyle name="Calc cel 4 4 3 2" xfId="4253"/>
    <cellStyle name="Calc cel 4 4 3 3" xfId="5665"/>
    <cellStyle name="Calc cel 4 4 3 4" xfId="3044"/>
    <cellStyle name="Calc cel 4 4 4" xfId="849"/>
    <cellStyle name="Calc cel 4 4 4 2" xfId="3649"/>
    <cellStyle name="Calc cel 4 4 4 3" xfId="5074"/>
    <cellStyle name="Calc cel 4 4 4 4" xfId="2491"/>
    <cellStyle name="Calc cel 4 4 5" xfId="291"/>
    <cellStyle name="Calc cel 4 4 5 2" xfId="4537"/>
    <cellStyle name="Calc cel 4 4 5 3" xfId="2169"/>
    <cellStyle name="Calc cel 4 4 6" xfId="3323"/>
    <cellStyle name="Calc cel 4 4 7" xfId="1803"/>
    <cellStyle name="Calc cel 4 5" xfId="460"/>
    <cellStyle name="Calc cel 4 5 2" xfId="1601"/>
    <cellStyle name="Calc cel 4 5 2 2" xfId="4410"/>
    <cellStyle name="Calc cel 4 5 2 3" xfId="5822"/>
    <cellStyle name="Calc cel 4 5 2 4" xfId="3176"/>
    <cellStyle name="Calc cel 4 5 3" xfId="966"/>
    <cellStyle name="Calc cel 4 5 3 2" xfId="3769"/>
    <cellStyle name="Calc cel 4 5 3 3" xfId="5189"/>
    <cellStyle name="Calc cel 4 5 3 4" xfId="2599"/>
    <cellStyle name="Calc cel 4 5 4" xfId="688"/>
    <cellStyle name="Calc cel 4 5 4 2" xfId="4913"/>
    <cellStyle name="Calc cel 4 5 4 3" xfId="2333"/>
    <cellStyle name="Calc cel 4 5 5" xfId="3488"/>
    <cellStyle name="Calc cel 4 5 6" xfId="4685"/>
    <cellStyle name="Calc cel 4 6" xfId="751"/>
    <cellStyle name="Calc cel 4 6 2" xfId="1664"/>
    <cellStyle name="Calc cel 4 6 2 2" xfId="4473"/>
    <cellStyle name="Calc cel 4 6 2 3" xfId="5885"/>
    <cellStyle name="Calc cel 4 6 2 4" xfId="3235"/>
    <cellStyle name="Calc cel 4 6 3" xfId="1347"/>
    <cellStyle name="Calc cel 4 6 3 2" xfId="4156"/>
    <cellStyle name="Calc cel 4 6 3 3" xfId="5569"/>
    <cellStyle name="Calc cel 4 6 3 4" xfId="2951"/>
    <cellStyle name="Calc cel 4 6 4" xfId="2395"/>
    <cellStyle name="Calc cel 4 6 5" xfId="3551"/>
    <cellStyle name="Calc cel 4 6 6" xfId="4976"/>
    <cellStyle name="Calc cel 4 6 7" xfId="2099"/>
    <cellStyle name="Calc cel 4 7" xfId="1147"/>
    <cellStyle name="Calc cel 4 7 2" xfId="1114"/>
    <cellStyle name="Calc cel 4 7 2 2" xfId="3920"/>
    <cellStyle name="Calc cel 4 7 2 3" xfId="5337"/>
    <cellStyle name="Calc cel 4 7 2 4" xfId="2735"/>
    <cellStyle name="Calc cel 4 7 3" xfId="2767"/>
    <cellStyle name="Calc cel 4 7 4" xfId="3955"/>
    <cellStyle name="Calc cel 4 7 5" xfId="5369"/>
    <cellStyle name="Calc cel 4 7 6" xfId="1912"/>
    <cellStyle name="Calc cel 4 8" xfId="890"/>
    <cellStyle name="Calc cel 4 8 2" xfId="3690"/>
    <cellStyle name="Calc cel 4 8 3" xfId="5114"/>
    <cellStyle name="Calc cel 4 8 4" xfId="2528"/>
    <cellStyle name="Calc cel 4 9" xfId="560"/>
    <cellStyle name="Calc cel 4 9 2" xfId="4785"/>
    <cellStyle name="Calc cel 4 9 3" xfId="1838"/>
    <cellStyle name="Calc cel 5" xfId="204"/>
    <cellStyle name="Calc cel 5 10" xfId="1738"/>
    <cellStyle name="Calc cel 5 2" xfId="425"/>
    <cellStyle name="Calc cel 5 2 10" xfId="3412"/>
    <cellStyle name="Calc cel 5 2 11" xfId="1905"/>
    <cellStyle name="Calc cel 5 2 12" xfId="4658"/>
    <cellStyle name="Calc cel 5 2 2" xfId="520"/>
    <cellStyle name="Calc cel 5 2 2 2" xfId="1573"/>
    <cellStyle name="Calc cel 5 2 2 2 2" xfId="4382"/>
    <cellStyle name="Calc cel 5 2 2 2 3" xfId="5794"/>
    <cellStyle name="Calc cel 5 2 2 2 4" xfId="3150"/>
    <cellStyle name="Calc cel 5 2 2 3" xfId="1414"/>
    <cellStyle name="Calc cel 5 2 2 3 2" xfId="4223"/>
    <cellStyle name="Calc cel 5 2 2 3 3" xfId="5635"/>
    <cellStyle name="Calc cel 5 2 2 3 4" xfId="3016"/>
    <cellStyle name="Calc cel 5 2 2 4" xfId="1259"/>
    <cellStyle name="Calc cel 5 2 2 4 2" xfId="4068"/>
    <cellStyle name="Calc cel 5 2 2 4 3" xfId="5481"/>
    <cellStyle name="Calc cel 5 2 2 4 4" xfId="2866"/>
    <cellStyle name="Calc cel 5 2 2 5" xfId="660"/>
    <cellStyle name="Calc cel 5 2 2 5 2" xfId="4885"/>
    <cellStyle name="Calc cel 5 2 2 5 3" xfId="2307"/>
    <cellStyle name="Calc cel 5 2 2 6" xfId="3460"/>
    <cellStyle name="Calc cel 5 2 2 7" xfId="4745"/>
    <cellStyle name="Calc cel 5 2 3" xfId="724"/>
    <cellStyle name="Calc cel 5 2 3 2" xfId="1637"/>
    <cellStyle name="Calc cel 5 2 3 2 2" xfId="4446"/>
    <cellStyle name="Calc cel 5 2 3 2 3" xfId="5858"/>
    <cellStyle name="Calc cel 5 2 3 2 4" xfId="3210"/>
    <cellStyle name="Calc cel 5 2 3 3" xfId="1320"/>
    <cellStyle name="Calc cel 5 2 3 3 2" xfId="4129"/>
    <cellStyle name="Calc cel 5 2 3 3 3" xfId="5542"/>
    <cellStyle name="Calc cel 5 2 3 3 4" xfId="2926"/>
    <cellStyle name="Calc cel 5 2 3 4" xfId="2368"/>
    <cellStyle name="Calc cel 5 2 3 5" xfId="3524"/>
    <cellStyle name="Calc cel 5 2 3 6" xfId="4949"/>
    <cellStyle name="Calc cel 5 2 3 7" xfId="2074"/>
    <cellStyle name="Calc cel 5 2 4" xfId="786"/>
    <cellStyle name="Calc cel 5 2 4 2" xfId="1699"/>
    <cellStyle name="Calc cel 5 2 4 2 2" xfId="4508"/>
    <cellStyle name="Calc cel 5 2 4 2 3" xfId="5920"/>
    <cellStyle name="Calc cel 5 2 4 2 4" xfId="3269"/>
    <cellStyle name="Calc cel 5 2 4 3" xfId="1377"/>
    <cellStyle name="Calc cel 5 2 4 3 2" xfId="4186"/>
    <cellStyle name="Calc cel 5 2 4 3 3" xfId="5598"/>
    <cellStyle name="Calc cel 5 2 4 3 4" xfId="2980"/>
    <cellStyle name="Calc cel 5 2 4 4" xfId="2430"/>
    <cellStyle name="Calc cel 5 2 4 5" xfId="3586"/>
    <cellStyle name="Calc cel 5 2 4 6" xfId="5011"/>
    <cellStyle name="Calc cel 5 2 4 7" xfId="2133"/>
    <cellStyle name="Calc cel 5 2 5" xfId="1222"/>
    <cellStyle name="Calc cel 5 2 5 2" xfId="1536"/>
    <cellStyle name="Calc cel 5 2 5 2 2" xfId="4345"/>
    <cellStyle name="Calc cel 5 2 5 2 3" xfId="5757"/>
    <cellStyle name="Calc cel 5 2 5 2 4" xfId="3114"/>
    <cellStyle name="Calc cel 5 2 5 3" xfId="2830"/>
    <cellStyle name="Calc cel 5 2 5 4" xfId="4030"/>
    <cellStyle name="Calc cel 5 2 5 5" xfId="5444"/>
    <cellStyle name="Calc cel 5 2 5 6" xfId="1992"/>
    <cellStyle name="Calc cel 5 2 6" xfId="1142"/>
    <cellStyle name="Calc cel 5 2 6 2" xfId="3950"/>
    <cellStyle name="Calc cel 5 2 6 3" xfId="5364"/>
    <cellStyle name="Calc cel 5 2 6 4" xfId="2763"/>
    <cellStyle name="Calc cel 5 2 7" xfId="1080"/>
    <cellStyle name="Calc cel 5 2 7 2" xfId="3883"/>
    <cellStyle name="Calc cel 5 2 7 3" xfId="5303"/>
    <cellStyle name="Calc cel 5 2 7 4" xfId="2705"/>
    <cellStyle name="Calc cel 5 2 8" xfId="1039"/>
    <cellStyle name="Calc cel 5 2 8 2" xfId="3842"/>
    <cellStyle name="Calc cel 5 2 8 3" xfId="5262"/>
    <cellStyle name="Calc cel 5 2 8 4" xfId="2666"/>
    <cellStyle name="Calc cel 5 2 9" xfId="612"/>
    <cellStyle name="Calc cel 5 2 9 2" xfId="4837"/>
    <cellStyle name="Calc cel 5 2 9 3" xfId="2259"/>
    <cellStyle name="Calc cel 5 3" xfId="416"/>
    <cellStyle name="Calc cel 5 3 2" xfId="511"/>
    <cellStyle name="Calc cel 5 3 2 2" xfId="1481"/>
    <cellStyle name="Calc cel 5 3 2 2 2" xfId="5702"/>
    <cellStyle name="Calc cel 5 3 2 2 3" xfId="4290"/>
    <cellStyle name="Calc cel 5 3 2 3" xfId="4736"/>
    <cellStyle name="Calc cel 5 3 3" xfId="1102"/>
    <cellStyle name="Calc cel 5 3 3 2" xfId="3908"/>
    <cellStyle name="Calc cel 5 3 3 3" xfId="5325"/>
    <cellStyle name="Calc cel 5 3 3 4" xfId="2727"/>
    <cellStyle name="Calc cel 5 3 4" xfId="302"/>
    <cellStyle name="Calc cel 5 3 4 2" xfId="4548"/>
    <cellStyle name="Calc cel 5 3 4 3" xfId="2160"/>
    <cellStyle name="Calc cel 5 3 5" xfId="3314"/>
    <cellStyle name="Calc cel 5 3 6" xfId="4650"/>
    <cellStyle name="Calc cel 5 4" xfId="331"/>
    <cellStyle name="Calc cel 5 4 2" xfId="1489"/>
    <cellStyle name="Calc cel 5 4 2 2" xfId="5710"/>
    <cellStyle name="Calc cel 5 4 2 3" xfId="4298"/>
    <cellStyle name="Calc cel 5 4 3" xfId="4577"/>
    <cellStyle name="Calc cel 5 4 4" xfId="3078"/>
    <cellStyle name="Calc cel 5 5" xfId="285"/>
    <cellStyle name="Calc cel 5 5 2" xfId="3899"/>
    <cellStyle name="Calc cel 5 5 3" xfId="1778"/>
    <cellStyle name="Calc cel 5 5 4" xfId="2719"/>
    <cellStyle name="Calc cel 5 6" xfId="920"/>
    <cellStyle name="Calc cel 5 6 2" xfId="3722"/>
    <cellStyle name="Calc cel 5 6 3" xfId="5143"/>
    <cellStyle name="Calc cel 5 6 4" xfId="2558"/>
    <cellStyle name="Calc cel 5 7" xfId="2163"/>
    <cellStyle name="Calc cel 5 8" xfId="3317"/>
    <cellStyle name="Calc cel 5 9" xfId="1795"/>
    <cellStyle name="Calc cel 6" xfId="1775"/>
    <cellStyle name="Calc cel 7" xfId="1724"/>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6" xfId="316"/>
    <cellStyle name="Comma 6 2" xfId="4562"/>
    <cellStyle name="Comma 7" xfId="1737"/>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5945"/>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1815"/>
    <cellStyle name="Input cel 2 2 11" xfId="1787"/>
    <cellStyle name="Input cel 2 2 2" xfId="394"/>
    <cellStyle name="Input cel 2 2 2 10" xfId="1865"/>
    <cellStyle name="Input cel 2 2 2 11" xfId="4635"/>
    <cellStyle name="Input cel 2 2 2 2" xfId="489"/>
    <cellStyle name="Input cel 2 2 2 2 2" xfId="1203"/>
    <cellStyle name="Input cel 2 2 2 2 2 2" xfId="1520"/>
    <cellStyle name="Input cel 2 2 2 2 2 2 2" xfId="4329"/>
    <cellStyle name="Input cel 2 2 2 2 2 2 3" xfId="5741"/>
    <cellStyle name="Input cel 2 2 2 2 2 2 4" xfId="3100"/>
    <cellStyle name="Input cel 2 2 2 2 2 3" xfId="2811"/>
    <cellStyle name="Input cel 2 2 2 2 2 4" xfId="4011"/>
    <cellStyle name="Input cel 2 2 2 2 2 5" xfId="5425"/>
    <cellStyle name="Input cel 2 2 2 2 2 6" xfId="1974"/>
    <cellStyle name="Input cel 2 2 2 2 3" xfId="1122"/>
    <cellStyle name="Input cel 2 2 2 2 3 2" xfId="3928"/>
    <cellStyle name="Input cel 2 2 2 2 3 3" xfId="5344"/>
    <cellStyle name="Input cel 2 2 2 2 3 4" xfId="2743"/>
    <cellStyle name="Input cel 2 2 2 2 4" xfId="898"/>
    <cellStyle name="Input cel 2 2 2 2 4 2" xfId="3699"/>
    <cellStyle name="Input cel 2 2 2 2 4 3" xfId="5122"/>
    <cellStyle name="Input cel 2 2 2 2 4 4" xfId="2536"/>
    <cellStyle name="Input cel 2 2 2 2 5" xfId="948"/>
    <cellStyle name="Input cel 2 2 2 2 5 2" xfId="3751"/>
    <cellStyle name="Input cel 2 2 2 2 5 3" xfId="5171"/>
    <cellStyle name="Input cel 2 2 2 2 5 4" xfId="2583"/>
    <cellStyle name="Input cel 2 2 2 2 6" xfId="593"/>
    <cellStyle name="Input cel 2 2 2 2 6 2" xfId="4818"/>
    <cellStyle name="Input cel 2 2 2 2 6 3" xfId="2240"/>
    <cellStyle name="Input cel 2 2 2 2 7" xfId="3393"/>
    <cellStyle name="Input cel 2 2 2 2 8" xfId="4714"/>
    <cellStyle name="Input cel 2 2 2 3" xfId="641"/>
    <cellStyle name="Input cel 2 2 2 3 2" xfId="1554"/>
    <cellStyle name="Input cel 2 2 2 3 2 2" xfId="4363"/>
    <cellStyle name="Input cel 2 2 2 3 2 3" xfId="5775"/>
    <cellStyle name="Input cel 2 2 2 3 2 4" xfId="3132"/>
    <cellStyle name="Input cel 2 2 2 3 3" xfId="1010"/>
    <cellStyle name="Input cel 2 2 2 3 3 2" xfId="3813"/>
    <cellStyle name="Input cel 2 2 2 3 3 3" xfId="5233"/>
    <cellStyle name="Input cel 2 2 2 3 3 4" xfId="2639"/>
    <cellStyle name="Input cel 2 2 2 3 4" xfId="2288"/>
    <cellStyle name="Input cel 2 2 2 3 5" xfId="3441"/>
    <cellStyle name="Input cel 2 2 2 3 6" xfId="4866"/>
    <cellStyle name="Input cel 2 2 2 3 7" xfId="2022"/>
    <cellStyle name="Input cel 2 2 2 4" xfId="705"/>
    <cellStyle name="Input cel 2 2 2 4 2" xfId="1618"/>
    <cellStyle name="Input cel 2 2 2 4 2 2" xfId="4427"/>
    <cellStyle name="Input cel 2 2 2 4 2 3" xfId="5839"/>
    <cellStyle name="Input cel 2 2 2 4 2 4" xfId="3192"/>
    <cellStyle name="Input cel 2 2 2 4 3" xfId="1301"/>
    <cellStyle name="Input cel 2 2 2 4 3 2" xfId="4110"/>
    <cellStyle name="Input cel 2 2 2 4 3 3" xfId="5523"/>
    <cellStyle name="Input cel 2 2 2 4 3 4" xfId="2908"/>
    <cellStyle name="Input cel 2 2 2 4 4" xfId="2349"/>
    <cellStyle name="Input cel 2 2 2 4 5" xfId="3505"/>
    <cellStyle name="Input cel 2 2 2 4 6" xfId="4930"/>
    <cellStyle name="Input cel 2 2 2 4 7" xfId="2056"/>
    <cellStyle name="Input cel 2 2 2 5" xfId="767"/>
    <cellStyle name="Input cel 2 2 2 5 2" xfId="1680"/>
    <cellStyle name="Input cel 2 2 2 5 2 2" xfId="4489"/>
    <cellStyle name="Input cel 2 2 2 5 2 3" xfId="5901"/>
    <cellStyle name="Input cel 2 2 2 5 2 4" xfId="3251"/>
    <cellStyle name="Input cel 2 2 2 5 3" xfId="1358"/>
    <cellStyle name="Input cel 2 2 2 5 3 2" xfId="4167"/>
    <cellStyle name="Input cel 2 2 2 5 3 3" xfId="5579"/>
    <cellStyle name="Input cel 2 2 2 5 3 4" xfId="2962"/>
    <cellStyle name="Input cel 2 2 2 5 4" xfId="2411"/>
    <cellStyle name="Input cel 2 2 2 5 5" xfId="3567"/>
    <cellStyle name="Input cel 2 2 2 5 6" xfId="4992"/>
    <cellStyle name="Input cel 2 2 2 5 7" xfId="2115"/>
    <cellStyle name="Input cel 2 2 2 6" xfId="1184"/>
    <cellStyle name="Input cel 2 2 2 6 2" xfId="2792"/>
    <cellStyle name="Input cel 2 2 2 6 3" xfId="3992"/>
    <cellStyle name="Input cel 2 2 2 6 4" xfId="5406"/>
    <cellStyle name="Input cel 2 2 2 6 5" xfId="1955"/>
    <cellStyle name="Input cel 2 2 2 7" xfId="845"/>
    <cellStyle name="Input cel 2 2 2 7 2" xfId="3645"/>
    <cellStyle name="Input cel 2 2 2 7 3" xfId="5070"/>
    <cellStyle name="Input cel 2 2 2 7 4" xfId="2487"/>
    <cellStyle name="Input cel 2 2 2 8" xfId="307"/>
    <cellStyle name="Input cel 2 2 2 8 2" xfId="4553"/>
    <cellStyle name="Input cel 2 2 2 8 3" xfId="2217"/>
    <cellStyle name="Input cel 2 2 2 9" xfId="3370"/>
    <cellStyle name="Input cel 2 2 3" xfId="448"/>
    <cellStyle name="Input cel 2 2 3 10" xfId="3357"/>
    <cellStyle name="Input cel 2 2 3 11" xfId="1852"/>
    <cellStyle name="Input cel 2 2 3 12" xfId="4675"/>
    <cellStyle name="Input cel 2 2 3 2" xfId="542"/>
    <cellStyle name="Input cel 2 2 3 2 2" xfId="1239"/>
    <cellStyle name="Input cel 2 2 3 2 2 2" xfId="2847"/>
    <cellStyle name="Input cel 2 2 3 2 2 3" xfId="4047"/>
    <cellStyle name="Input cel 2 2 3 2 2 4" xfId="5461"/>
    <cellStyle name="Input cel 2 2 3 2 2 5" xfId="2010"/>
    <cellStyle name="Input cel 2 2 3 2 3" xfId="1441"/>
    <cellStyle name="Input cel 2 2 3 2 3 2" xfId="4250"/>
    <cellStyle name="Input cel 2 2 3 2 3 3" xfId="5662"/>
    <cellStyle name="Input cel 2 2 3 2 3 4" xfId="3041"/>
    <cellStyle name="Input cel 2 2 3 2 4" xfId="998"/>
    <cellStyle name="Input cel 2 2 3 2 4 2" xfId="3801"/>
    <cellStyle name="Input cel 2 2 3 2 4 3" xfId="5221"/>
    <cellStyle name="Input cel 2 2 3 2 4 4" xfId="2627"/>
    <cellStyle name="Input cel 2 2 3 2 5" xfId="629"/>
    <cellStyle name="Input cel 2 2 3 2 5 2" xfId="4854"/>
    <cellStyle name="Input cel 2 2 3 2 5 3" xfId="2276"/>
    <cellStyle name="Input cel 2 2 3 2 6" xfId="3429"/>
    <cellStyle name="Input cel 2 2 3 2 7" xfId="4767"/>
    <cellStyle name="Input cel 2 2 3 3" xfId="678"/>
    <cellStyle name="Input cel 2 2 3 3 2" xfId="1277"/>
    <cellStyle name="Input cel 2 2 3 3 2 2" xfId="1591"/>
    <cellStyle name="Input cel 2 2 3 3 2 2 2" xfId="4400"/>
    <cellStyle name="Input cel 2 2 3 3 2 2 3" xfId="5812"/>
    <cellStyle name="Input cel 2 2 3 3 2 2 4" xfId="3167"/>
    <cellStyle name="Input cel 2 2 3 3 2 3" xfId="4086"/>
    <cellStyle name="Input cel 2 2 3 3 2 4" xfId="5499"/>
    <cellStyle name="Input cel 2 2 3 3 2 5" xfId="2884"/>
    <cellStyle name="Input cel 2 2 3 3 3" xfId="1457"/>
    <cellStyle name="Input cel 2 2 3 3 3 2" xfId="4266"/>
    <cellStyle name="Input cel 2 2 3 3 3 3" xfId="5678"/>
    <cellStyle name="Input cel 2 2 3 3 3 4" xfId="3056"/>
    <cellStyle name="Input cel 2 2 3 3 4" xfId="1058"/>
    <cellStyle name="Input cel 2 2 3 3 4 2" xfId="3861"/>
    <cellStyle name="Input cel 2 2 3 3 4 3" xfId="5281"/>
    <cellStyle name="Input cel 2 2 3 3 4 4" xfId="2685"/>
    <cellStyle name="Input cel 2 2 3 3 5" xfId="2324"/>
    <cellStyle name="Input cel 2 2 3 3 6" xfId="3478"/>
    <cellStyle name="Input cel 2 2 3 3 7" xfId="4903"/>
    <cellStyle name="Input cel 2 2 3 3 8" xfId="2044"/>
    <cellStyle name="Input cel 2 2 3 4" xfId="742"/>
    <cellStyle name="Input cel 2 2 3 4 2" xfId="1655"/>
    <cellStyle name="Input cel 2 2 3 4 2 2" xfId="4464"/>
    <cellStyle name="Input cel 2 2 3 4 2 3" xfId="5876"/>
    <cellStyle name="Input cel 2 2 3 4 2 4" xfId="3227"/>
    <cellStyle name="Input cel 2 2 3 4 3" xfId="1338"/>
    <cellStyle name="Input cel 2 2 3 4 3 2" xfId="4147"/>
    <cellStyle name="Input cel 2 2 3 4 3 3" xfId="5560"/>
    <cellStyle name="Input cel 2 2 3 4 3 4" xfId="2943"/>
    <cellStyle name="Input cel 2 2 3 4 4" xfId="2386"/>
    <cellStyle name="Input cel 2 2 3 4 5" xfId="3542"/>
    <cellStyle name="Input cel 2 2 3 4 6" xfId="4967"/>
    <cellStyle name="Input cel 2 2 3 4 7" xfId="2091"/>
    <cellStyle name="Input cel 2 2 3 5" xfId="803"/>
    <cellStyle name="Input cel 2 2 3 5 2" xfId="1716"/>
    <cellStyle name="Input cel 2 2 3 5 2 2" xfId="4525"/>
    <cellStyle name="Input cel 2 2 3 5 2 3" xfId="5937"/>
    <cellStyle name="Input cel 2 2 3 5 2 4" xfId="3286"/>
    <cellStyle name="Input cel 2 2 3 5 3" xfId="1394"/>
    <cellStyle name="Input cel 2 2 3 5 3 2" xfId="4203"/>
    <cellStyle name="Input cel 2 2 3 5 3 3" xfId="5615"/>
    <cellStyle name="Input cel 2 2 3 5 3 4" xfId="2997"/>
    <cellStyle name="Input cel 2 2 3 5 4" xfId="2447"/>
    <cellStyle name="Input cel 2 2 3 5 5" xfId="3603"/>
    <cellStyle name="Input cel 2 2 3 5 6" xfId="5028"/>
    <cellStyle name="Input cel 2 2 3 5 7" xfId="2150"/>
    <cellStyle name="Input cel 2 2 3 6" xfId="1171"/>
    <cellStyle name="Input cel 2 2 3 6 2" xfId="2780"/>
    <cellStyle name="Input cel 2 2 3 6 3" xfId="3979"/>
    <cellStyle name="Input cel 2 2 3 6 4" xfId="5393"/>
    <cellStyle name="Input cel 2 2 3 6 5" xfId="1942"/>
    <cellStyle name="Input cel 2 2 3 7" xfId="858"/>
    <cellStyle name="Input cel 2 2 3 7 2" xfId="3658"/>
    <cellStyle name="Input cel 2 2 3 7 3" xfId="5082"/>
    <cellStyle name="Input cel 2 2 3 7 4" xfId="2500"/>
    <cellStyle name="Input cel 2 2 3 8" xfId="827"/>
    <cellStyle name="Input cel 2 2 3 8 2" xfId="3627"/>
    <cellStyle name="Input cel 2 2 3 8 3" xfId="5052"/>
    <cellStyle name="Input cel 2 2 3 8 4" xfId="2470"/>
    <cellStyle name="Input cel 2 2 3 9" xfId="360"/>
    <cellStyle name="Input cel 2 2 3 9 2" xfId="4606"/>
    <cellStyle name="Input cel 2 2 3 9 3" xfId="2204"/>
    <cellStyle name="Input cel 2 2 4" xfId="390"/>
    <cellStyle name="Input cel 2 2 4 2" xfId="485"/>
    <cellStyle name="Input cel 2 2 4 2 2" xfId="1501"/>
    <cellStyle name="Input cel 2 2 4 2 2 2" xfId="4310"/>
    <cellStyle name="Input cel 2 2 4 2 2 3" xfId="5722"/>
    <cellStyle name="Input cel 2 2 4 2 2 4" xfId="3087"/>
    <cellStyle name="Input cel 2 2 4 2 3" xfId="1166"/>
    <cellStyle name="Input cel 2 2 4 2 3 2" xfId="5388"/>
    <cellStyle name="Input cel 2 2 4 2 3 3" xfId="3974"/>
    <cellStyle name="Input cel 2 2 4 2 4" xfId="4710"/>
    <cellStyle name="Input cel 2 2 4 3" xfId="1445"/>
    <cellStyle name="Input cel 2 2 4 3 2" xfId="4254"/>
    <cellStyle name="Input cel 2 2 4 3 3" xfId="5666"/>
    <cellStyle name="Input cel 2 2 4 3 4" xfId="3045"/>
    <cellStyle name="Input cel 2 2 4 4" xfId="934"/>
    <cellStyle name="Input cel 2 2 4 4 2" xfId="3736"/>
    <cellStyle name="Input cel 2 2 4 4 3" xfId="5157"/>
    <cellStyle name="Input cel 2 2 4 4 4" xfId="2568"/>
    <cellStyle name="Input cel 2 2 4 5" xfId="310"/>
    <cellStyle name="Input cel 2 2 4 5 2" xfId="4556"/>
    <cellStyle name="Input cel 2 2 4 5 3" xfId="2195"/>
    <cellStyle name="Input cel 2 2 4 6" xfId="3348"/>
    <cellStyle name="Input cel 2 2 4 7" xfId="1934"/>
    <cellStyle name="Input cel 2 2 5" xfId="464"/>
    <cellStyle name="Input cel 2 2 5 2" xfId="1605"/>
    <cellStyle name="Input cel 2 2 5 2 2" xfId="4414"/>
    <cellStyle name="Input cel 2 2 5 2 3" xfId="5826"/>
    <cellStyle name="Input cel 2 2 5 2 4" xfId="3180"/>
    <cellStyle name="Input cel 2 2 5 3" xfId="970"/>
    <cellStyle name="Input cel 2 2 5 3 2" xfId="3773"/>
    <cellStyle name="Input cel 2 2 5 3 3" xfId="5193"/>
    <cellStyle name="Input cel 2 2 5 3 4" xfId="2603"/>
    <cellStyle name="Input cel 2 2 5 4" xfId="692"/>
    <cellStyle name="Input cel 2 2 5 4 2" xfId="4917"/>
    <cellStyle name="Input cel 2 2 5 4 3" xfId="2337"/>
    <cellStyle name="Input cel 2 2 5 5" xfId="3492"/>
    <cellStyle name="Input cel 2 2 5 6" xfId="4689"/>
    <cellStyle name="Input cel 2 2 6" xfId="755"/>
    <cellStyle name="Input cel 2 2 6 2" xfId="1668"/>
    <cellStyle name="Input cel 2 2 6 2 2" xfId="4477"/>
    <cellStyle name="Input cel 2 2 6 2 3" xfId="5889"/>
    <cellStyle name="Input cel 2 2 6 2 4" xfId="3239"/>
    <cellStyle name="Input cel 2 2 6 3" xfId="1351"/>
    <cellStyle name="Input cel 2 2 6 3 2" xfId="4160"/>
    <cellStyle name="Input cel 2 2 6 3 3" xfId="5573"/>
    <cellStyle name="Input cel 2 2 6 3 4" xfId="2955"/>
    <cellStyle name="Input cel 2 2 6 4" xfId="2399"/>
    <cellStyle name="Input cel 2 2 6 5" xfId="3555"/>
    <cellStyle name="Input cel 2 2 6 6" xfId="4980"/>
    <cellStyle name="Input cel 2 2 6 7" xfId="2103"/>
    <cellStyle name="Input cel 2 2 7" xfId="876"/>
    <cellStyle name="Input cel 2 2 7 2" xfId="1413"/>
    <cellStyle name="Input cel 2 2 7 2 2" xfId="4222"/>
    <cellStyle name="Input cel 2 2 7 2 3" xfId="5634"/>
    <cellStyle name="Input cel 2 2 7 2 4" xfId="3015"/>
    <cellStyle name="Input cel 2 2 7 3" xfId="2515"/>
    <cellStyle name="Input cel 2 2 7 4" xfId="3676"/>
    <cellStyle name="Input cel 2 2 7 5" xfId="5100"/>
    <cellStyle name="Input cel 2 2 7 6" xfId="1804"/>
    <cellStyle name="Input cel 2 2 8" xfId="1248"/>
    <cellStyle name="Input cel 2 2 8 2" xfId="4056"/>
    <cellStyle name="Input cel 2 2 8 3" xfId="5470"/>
    <cellStyle name="Input cel 2 2 8 4" xfId="2856"/>
    <cellStyle name="Input cel 2 2 9" xfId="580"/>
    <cellStyle name="Input cel 2 2 9 2" xfId="4805"/>
    <cellStyle name="Input cel 2 2 9 3" xfId="1805"/>
    <cellStyle name="Input cel 2 3" xfId="208"/>
    <cellStyle name="Input cel 2 3 10" xfId="1742"/>
    <cellStyle name="Input cel 2 3 2" xfId="419"/>
    <cellStyle name="Input cel 2 3 2 10" xfId="3407"/>
    <cellStyle name="Input cel 2 3 2 11" xfId="1900"/>
    <cellStyle name="Input cel 2 3 2 12" xfId="4653"/>
    <cellStyle name="Input cel 2 3 2 2" xfId="514"/>
    <cellStyle name="Input cel 2 3 2 2 2" xfId="1568"/>
    <cellStyle name="Input cel 2 3 2 2 2 2" xfId="4377"/>
    <cellStyle name="Input cel 2 3 2 2 2 3" xfId="5789"/>
    <cellStyle name="Input cel 2 3 2 2 2 4" xfId="3145"/>
    <cellStyle name="Input cel 2 3 2 2 3" xfId="859"/>
    <cellStyle name="Input cel 2 3 2 2 3 2" xfId="3659"/>
    <cellStyle name="Input cel 2 3 2 2 3 3" xfId="5083"/>
    <cellStyle name="Input cel 2 3 2 2 3 4" xfId="2501"/>
    <cellStyle name="Input cel 2 3 2 2 4" xfId="1254"/>
    <cellStyle name="Input cel 2 3 2 2 4 2" xfId="4063"/>
    <cellStyle name="Input cel 2 3 2 2 4 3" xfId="5476"/>
    <cellStyle name="Input cel 2 3 2 2 4 4" xfId="2861"/>
    <cellStyle name="Input cel 2 3 2 2 5" xfId="655"/>
    <cellStyle name="Input cel 2 3 2 2 5 2" xfId="4880"/>
    <cellStyle name="Input cel 2 3 2 2 5 3" xfId="2302"/>
    <cellStyle name="Input cel 2 3 2 2 6" xfId="3455"/>
    <cellStyle name="Input cel 2 3 2 2 7" xfId="4739"/>
    <cellStyle name="Input cel 2 3 2 3" xfId="719"/>
    <cellStyle name="Input cel 2 3 2 3 2" xfId="1632"/>
    <cellStyle name="Input cel 2 3 2 3 2 2" xfId="4441"/>
    <cellStyle name="Input cel 2 3 2 3 2 3" xfId="5853"/>
    <cellStyle name="Input cel 2 3 2 3 2 4" xfId="3205"/>
    <cellStyle name="Input cel 2 3 2 3 3" xfId="1315"/>
    <cellStyle name="Input cel 2 3 2 3 3 2" xfId="4124"/>
    <cellStyle name="Input cel 2 3 2 3 3 3" xfId="5537"/>
    <cellStyle name="Input cel 2 3 2 3 3 4" xfId="2921"/>
    <cellStyle name="Input cel 2 3 2 3 4" xfId="2363"/>
    <cellStyle name="Input cel 2 3 2 3 5" xfId="3519"/>
    <cellStyle name="Input cel 2 3 2 3 6" xfId="4944"/>
    <cellStyle name="Input cel 2 3 2 3 7" xfId="2069"/>
    <cellStyle name="Input cel 2 3 2 4" xfId="781"/>
    <cellStyle name="Input cel 2 3 2 4 2" xfId="1694"/>
    <cellStyle name="Input cel 2 3 2 4 2 2" xfId="4503"/>
    <cellStyle name="Input cel 2 3 2 4 2 3" xfId="5915"/>
    <cellStyle name="Input cel 2 3 2 4 2 4" xfId="3264"/>
    <cellStyle name="Input cel 2 3 2 4 3" xfId="1372"/>
    <cellStyle name="Input cel 2 3 2 4 3 2" xfId="4181"/>
    <cellStyle name="Input cel 2 3 2 4 3 3" xfId="5593"/>
    <cellStyle name="Input cel 2 3 2 4 3 4" xfId="2975"/>
    <cellStyle name="Input cel 2 3 2 4 4" xfId="2425"/>
    <cellStyle name="Input cel 2 3 2 4 5" xfId="3581"/>
    <cellStyle name="Input cel 2 3 2 4 6" xfId="5006"/>
    <cellStyle name="Input cel 2 3 2 4 7" xfId="2128"/>
    <cellStyle name="Input cel 2 3 2 5" xfId="1217"/>
    <cellStyle name="Input cel 2 3 2 5 2" xfId="1531"/>
    <cellStyle name="Input cel 2 3 2 5 2 2" xfId="4340"/>
    <cellStyle name="Input cel 2 3 2 5 2 3" xfId="5752"/>
    <cellStyle name="Input cel 2 3 2 5 2 4" xfId="3109"/>
    <cellStyle name="Input cel 2 3 2 5 3" xfId="2825"/>
    <cellStyle name="Input cel 2 3 2 5 4" xfId="4025"/>
    <cellStyle name="Input cel 2 3 2 5 5" xfId="5439"/>
    <cellStyle name="Input cel 2 3 2 5 6" xfId="1987"/>
    <cellStyle name="Input cel 2 3 2 6" xfId="1139"/>
    <cellStyle name="Input cel 2 3 2 6 2" xfId="3945"/>
    <cellStyle name="Input cel 2 3 2 6 3" xfId="5361"/>
    <cellStyle name="Input cel 2 3 2 6 4" xfId="2758"/>
    <cellStyle name="Input cel 2 3 2 7" xfId="1286"/>
    <cellStyle name="Input cel 2 3 2 7 2" xfId="4095"/>
    <cellStyle name="Input cel 2 3 2 7 3" xfId="5508"/>
    <cellStyle name="Input cel 2 3 2 7 4" xfId="2893"/>
    <cellStyle name="Input cel 2 3 2 8" xfId="1034"/>
    <cellStyle name="Input cel 2 3 2 8 2" xfId="3837"/>
    <cellStyle name="Input cel 2 3 2 8 3" xfId="5257"/>
    <cellStyle name="Input cel 2 3 2 8 4" xfId="2661"/>
    <cellStyle name="Input cel 2 3 2 9" xfId="607"/>
    <cellStyle name="Input cel 2 3 2 9 2" xfId="4832"/>
    <cellStyle name="Input cel 2 3 2 9 3" xfId="2254"/>
    <cellStyle name="Input cel 2 3 3" xfId="456"/>
    <cellStyle name="Input cel 2 3 3 2" xfId="550"/>
    <cellStyle name="Input cel 2 3 3 2 2" xfId="1484"/>
    <cellStyle name="Input cel 2 3 3 2 2 2" xfId="5705"/>
    <cellStyle name="Input cel 2 3 3 2 2 3" xfId="4293"/>
    <cellStyle name="Input cel 2 3 3 2 3" xfId="4775"/>
    <cellStyle name="Input cel 2 3 3 3" xfId="1078"/>
    <cellStyle name="Input cel 2 3 3 3 2" xfId="3881"/>
    <cellStyle name="Input cel 2 3 3 3 3" xfId="5301"/>
    <cellStyle name="Input cel 2 3 3 3 4" xfId="2703"/>
    <cellStyle name="Input cel 2 3 3 4" xfId="301"/>
    <cellStyle name="Input cel 2 3 3 4 2" xfId="4547"/>
    <cellStyle name="Input cel 2 3 3 4 3" xfId="2165"/>
    <cellStyle name="Input cel 2 3 3 5" xfId="3319"/>
    <cellStyle name="Input cel 2 3 3 6" xfId="4683"/>
    <cellStyle name="Input cel 2 3 4" xfId="335"/>
    <cellStyle name="Input cel 2 3 4 2" xfId="1511"/>
    <cellStyle name="Input cel 2 3 4 2 2" xfId="5732"/>
    <cellStyle name="Input cel 2 3 4 2 3" xfId="4320"/>
    <cellStyle name="Input cel 2 3 4 3" xfId="4581"/>
    <cellStyle name="Input cel 2 3 4 4" xfId="3093"/>
    <cellStyle name="Input cel 2 3 5" xfId="351"/>
    <cellStyle name="Input cel 2 3 5 2" xfId="3746"/>
    <cellStyle name="Input cel 2 3 5 3" xfId="4597"/>
    <cellStyle name="Input cel 2 3 5 4" xfId="2578"/>
    <cellStyle name="Input cel 2 3 6" xfId="919"/>
    <cellStyle name="Input cel 2 3 6 2" xfId="3721"/>
    <cellStyle name="Input cel 2 3 6 3" xfId="5142"/>
    <cellStyle name="Input cel 2 3 6 4" xfId="2557"/>
    <cellStyle name="Input cel 2 3 7" xfId="1933"/>
    <cellStyle name="Input cel 2 3 8" xfId="3294"/>
    <cellStyle name="Input cel 2 3 9" xfId="1757"/>
    <cellStyle name="Input cel 2 4" xfId="1753"/>
    <cellStyle name="Input cel 2 5" xfId="1728"/>
    <cellStyle name="Input cel 3" xfId="22"/>
    <cellStyle name="Input cel 3 2" xfId="271"/>
    <cellStyle name="Input cel 3 2 10" xfId="1808"/>
    <cellStyle name="Input cel 3 2 11" xfId="1788"/>
    <cellStyle name="Input cel 3 2 2" xfId="404"/>
    <cellStyle name="Input cel 3 2 2 10" xfId="1872"/>
    <cellStyle name="Input cel 3 2 2 11" xfId="4643"/>
    <cellStyle name="Input cel 3 2 2 2" xfId="499"/>
    <cellStyle name="Input cel 3 2 2 2 2" xfId="1210"/>
    <cellStyle name="Input cel 3 2 2 2 2 2" xfId="1527"/>
    <cellStyle name="Input cel 3 2 2 2 2 2 2" xfId="4336"/>
    <cellStyle name="Input cel 3 2 2 2 2 2 3" xfId="5748"/>
    <cellStyle name="Input cel 3 2 2 2 2 2 4" xfId="3107"/>
    <cellStyle name="Input cel 3 2 2 2 2 3" xfId="2818"/>
    <cellStyle name="Input cel 3 2 2 2 2 4" xfId="4018"/>
    <cellStyle name="Input cel 3 2 2 2 2 5" xfId="5432"/>
    <cellStyle name="Input cel 3 2 2 2 2 6" xfId="1981"/>
    <cellStyle name="Input cel 3 2 2 2 3" xfId="1129"/>
    <cellStyle name="Input cel 3 2 2 2 3 2" xfId="3935"/>
    <cellStyle name="Input cel 3 2 2 2 3 3" xfId="5351"/>
    <cellStyle name="Input cel 3 2 2 2 3 4" xfId="2750"/>
    <cellStyle name="Input cel 3 2 2 2 4" xfId="988"/>
    <cellStyle name="Input cel 3 2 2 2 4 2" xfId="3791"/>
    <cellStyle name="Input cel 3 2 2 2 4 3" xfId="5211"/>
    <cellStyle name="Input cel 3 2 2 2 4 4" xfId="2617"/>
    <cellStyle name="Input cel 3 2 2 2 5" xfId="955"/>
    <cellStyle name="Input cel 3 2 2 2 5 2" xfId="3758"/>
    <cellStyle name="Input cel 3 2 2 2 5 3" xfId="5178"/>
    <cellStyle name="Input cel 3 2 2 2 5 4" xfId="2590"/>
    <cellStyle name="Input cel 3 2 2 2 6" xfId="600"/>
    <cellStyle name="Input cel 3 2 2 2 6 2" xfId="4825"/>
    <cellStyle name="Input cel 3 2 2 2 6 3" xfId="2247"/>
    <cellStyle name="Input cel 3 2 2 2 7" xfId="3400"/>
    <cellStyle name="Input cel 3 2 2 2 8" xfId="4724"/>
    <cellStyle name="Input cel 3 2 2 3" xfId="648"/>
    <cellStyle name="Input cel 3 2 2 3 2" xfId="1561"/>
    <cellStyle name="Input cel 3 2 2 3 2 2" xfId="4370"/>
    <cellStyle name="Input cel 3 2 2 3 2 3" xfId="5782"/>
    <cellStyle name="Input cel 3 2 2 3 2 4" xfId="3139"/>
    <cellStyle name="Input cel 3 2 2 3 3" xfId="1017"/>
    <cellStyle name="Input cel 3 2 2 3 3 2" xfId="3820"/>
    <cellStyle name="Input cel 3 2 2 3 3 3" xfId="5240"/>
    <cellStyle name="Input cel 3 2 2 3 3 4" xfId="2646"/>
    <cellStyle name="Input cel 3 2 2 3 4" xfId="2295"/>
    <cellStyle name="Input cel 3 2 2 3 5" xfId="3448"/>
    <cellStyle name="Input cel 3 2 2 3 6" xfId="4873"/>
    <cellStyle name="Input cel 3 2 2 3 7" xfId="2029"/>
    <cellStyle name="Input cel 3 2 2 4" xfId="712"/>
    <cellStyle name="Input cel 3 2 2 4 2" xfId="1625"/>
    <cellStyle name="Input cel 3 2 2 4 2 2" xfId="4434"/>
    <cellStyle name="Input cel 3 2 2 4 2 3" xfId="5846"/>
    <cellStyle name="Input cel 3 2 2 4 2 4" xfId="3199"/>
    <cellStyle name="Input cel 3 2 2 4 3" xfId="1308"/>
    <cellStyle name="Input cel 3 2 2 4 3 2" xfId="4117"/>
    <cellStyle name="Input cel 3 2 2 4 3 3" xfId="5530"/>
    <cellStyle name="Input cel 3 2 2 4 3 4" xfId="2915"/>
    <cellStyle name="Input cel 3 2 2 4 4" xfId="2356"/>
    <cellStyle name="Input cel 3 2 2 4 5" xfId="3512"/>
    <cellStyle name="Input cel 3 2 2 4 6" xfId="4937"/>
    <cellStyle name="Input cel 3 2 2 4 7" xfId="2063"/>
    <cellStyle name="Input cel 3 2 2 5" xfId="774"/>
    <cellStyle name="Input cel 3 2 2 5 2" xfId="1687"/>
    <cellStyle name="Input cel 3 2 2 5 2 2" xfId="4496"/>
    <cellStyle name="Input cel 3 2 2 5 2 3" xfId="5908"/>
    <cellStyle name="Input cel 3 2 2 5 2 4" xfId="3258"/>
    <cellStyle name="Input cel 3 2 2 5 3" xfId="1365"/>
    <cellStyle name="Input cel 3 2 2 5 3 2" xfId="4174"/>
    <cellStyle name="Input cel 3 2 2 5 3 3" xfId="5586"/>
    <cellStyle name="Input cel 3 2 2 5 3 4" xfId="2969"/>
    <cellStyle name="Input cel 3 2 2 5 4" xfId="2418"/>
    <cellStyle name="Input cel 3 2 2 5 5" xfId="3574"/>
    <cellStyle name="Input cel 3 2 2 5 6" xfId="4999"/>
    <cellStyle name="Input cel 3 2 2 5 7" xfId="2122"/>
    <cellStyle name="Input cel 3 2 2 6" xfId="1191"/>
    <cellStyle name="Input cel 3 2 2 6 2" xfId="2799"/>
    <cellStyle name="Input cel 3 2 2 6 3" xfId="3999"/>
    <cellStyle name="Input cel 3 2 2 6 4" xfId="5413"/>
    <cellStyle name="Input cel 3 2 2 6 5" xfId="1962"/>
    <cellStyle name="Input cel 3 2 2 7" xfId="894"/>
    <cellStyle name="Input cel 3 2 2 7 2" xfId="3694"/>
    <cellStyle name="Input cel 3 2 2 7 3" xfId="5118"/>
    <cellStyle name="Input cel 3 2 2 7 4" xfId="2532"/>
    <cellStyle name="Input cel 3 2 2 8" xfId="288"/>
    <cellStyle name="Input cel 3 2 2 8 2" xfId="4534"/>
    <cellStyle name="Input cel 3 2 2 8 3" xfId="2224"/>
    <cellStyle name="Input cel 3 2 2 9" xfId="3377"/>
    <cellStyle name="Input cel 3 2 3" xfId="449"/>
    <cellStyle name="Input cel 3 2 3 10" xfId="3358"/>
    <cellStyle name="Input cel 3 2 3 11" xfId="1853"/>
    <cellStyle name="Input cel 3 2 3 12" xfId="4676"/>
    <cellStyle name="Input cel 3 2 3 2" xfId="543"/>
    <cellStyle name="Input cel 3 2 3 2 2" xfId="1240"/>
    <cellStyle name="Input cel 3 2 3 2 2 2" xfId="2848"/>
    <cellStyle name="Input cel 3 2 3 2 2 3" xfId="4048"/>
    <cellStyle name="Input cel 3 2 3 2 2 4" xfId="5462"/>
    <cellStyle name="Input cel 3 2 3 2 2 5" xfId="2011"/>
    <cellStyle name="Input cel 3 2 3 2 3" xfId="1442"/>
    <cellStyle name="Input cel 3 2 3 2 3 2" xfId="4251"/>
    <cellStyle name="Input cel 3 2 3 2 3 3" xfId="5663"/>
    <cellStyle name="Input cel 3 2 3 2 3 4" xfId="3042"/>
    <cellStyle name="Input cel 3 2 3 2 4" xfId="999"/>
    <cellStyle name="Input cel 3 2 3 2 4 2" xfId="3802"/>
    <cellStyle name="Input cel 3 2 3 2 4 3" xfId="5222"/>
    <cellStyle name="Input cel 3 2 3 2 4 4" xfId="2628"/>
    <cellStyle name="Input cel 3 2 3 2 5" xfId="630"/>
    <cellStyle name="Input cel 3 2 3 2 5 2" xfId="4855"/>
    <cellStyle name="Input cel 3 2 3 2 5 3" xfId="2277"/>
    <cellStyle name="Input cel 3 2 3 2 6" xfId="3430"/>
    <cellStyle name="Input cel 3 2 3 2 7" xfId="4768"/>
    <cellStyle name="Input cel 3 2 3 3" xfId="679"/>
    <cellStyle name="Input cel 3 2 3 3 2" xfId="1278"/>
    <cellStyle name="Input cel 3 2 3 3 2 2" xfId="1592"/>
    <cellStyle name="Input cel 3 2 3 3 2 2 2" xfId="4401"/>
    <cellStyle name="Input cel 3 2 3 3 2 2 3" xfId="5813"/>
    <cellStyle name="Input cel 3 2 3 3 2 2 4" xfId="3168"/>
    <cellStyle name="Input cel 3 2 3 3 2 3" xfId="4087"/>
    <cellStyle name="Input cel 3 2 3 3 2 4" xfId="5500"/>
    <cellStyle name="Input cel 3 2 3 3 2 5" xfId="2885"/>
    <cellStyle name="Input cel 3 2 3 3 3" xfId="1458"/>
    <cellStyle name="Input cel 3 2 3 3 3 2" xfId="4267"/>
    <cellStyle name="Input cel 3 2 3 3 3 3" xfId="5679"/>
    <cellStyle name="Input cel 3 2 3 3 3 4" xfId="3057"/>
    <cellStyle name="Input cel 3 2 3 3 4" xfId="1059"/>
    <cellStyle name="Input cel 3 2 3 3 4 2" xfId="3862"/>
    <cellStyle name="Input cel 3 2 3 3 4 3" xfId="5282"/>
    <cellStyle name="Input cel 3 2 3 3 4 4" xfId="2686"/>
    <cellStyle name="Input cel 3 2 3 3 5" xfId="2325"/>
    <cellStyle name="Input cel 3 2 3 3 6" xfId="3479"/>
    <cellStyle name="Input cel 3 2 3 3 7" xfId="4904"/>
    <cellStyle name="Input cel 3 2 3 3 8" xfId="2045"/>
    <cellStyle name="Input cel 3 2 3 4" xfId="743"/>
    <cellStyle name="Input cel 3 2 3 4 2" xfId="1656"/>
    <cellStyle name="Input cel 3 2 3 4 2 2" xfId="4465"/>
    <cellStyle name="Input cel 3 2 3 4 2 3" xfId="5877"/>
    <cellStyle name="Input cel 3 2 3 4 2 4" xfId="3228"/>
    <cellStyle name="Input cel 3 2 3 4 3" xfId="1339"/>
    <cellStyle name="Input cel 3 2 3 4 3 2" xfId="4148"/>
    <cellStyle name="Input cel 3 2 3 4 3 3" xfId="5561"/>
    <cellStyle name="Input cel 3 2 3 4 3 4" xfId="2944"/>
    <cellStyle name="Input cel 3 2 3 4 4" xfId="2387"/>
    <cellStyle name="Input cel 3 2 3 4 5" xfId="3543"/>
    <cellStyle name="Input cel 3 2 3 4 6" xfId="4968"/>
    <cellStyle name="Input cel 3 2 3 4 7" xfId="2092"/>
    <cellStyle name="Input cel 3 2 3 5" xfId="804"/>
    <cellStyle name="Input cel 3 2 3 5 2" xfId="1717"/>
    <cellStyle name="Input cel 3 2 3 5 2 2" xfId="4526"/>
    <cellStyle name="Input cel 3 2 3 5 2 3" xfId="5938"/>
    <cellStyle name="Input cel 3 2 3 5 2 4" xfId="3287"/>
    <cellStyle name="Input cel 3 2 3 5 3" xfId="1395"/>
    <cellStyle name="Input cel 3 2 3 5 3 2" xfId="4204"/>
    <cellStyle name="Input cel 3 2 3 5 3 3" xfId="5616"/>
    <cellStyle name="Input cel 3 2 3 5 3 4" xfId="2998"/>
    <cellStyle name="Input cel 3 2 3 5 4" xfId="2448"/>
    <cellStyle name="Input cel 3 2 3 5 5" xfId="3604"/>
    <cellStyle name="Input cel 3 2 3 5 6" xfId="5029"/>
    <cellStyle name="Input cel 3 2 3 5 7" xfId="2151"/>
    <cellStyle name="Input cel 3 2 3 6" xfId="1172"/>
    <cellStyle name="Input cel 3 2 3 6 2" xfId="2781"/>
    <cellStyle name="Input cel 3 2 3 6 3" xfId="3980"/>
    <cellStyle name="Input cel 3 2 3 6 4" xfId="5394"/>
    <cellStyle name="Input cel 3 2 3 6 5" xfId="1943"/>
    <cellStyle name="Input cel 3 2 3 7" xfId="962"/>
    <cellStyle name="Input cel 3 2 3 7 2" xfId="3765"/>
    <cellStyle name="Input cel 3 2 3 7 3" xfId="5185"/>
    <cellStyle name="Input cel 3 2 3 7 4" xfId="2596"/>
    <cellStyle name="Input cel 3 2 3 8" xfId="828"/>
    <cellStyle name="Input cel 3 2 3 8 2" xfId="3628"/>
    <cellStyle name="Input cel 3 2 3 8 3" xfId="5053"/>
    <cellStyle name="Input cel 3 2 3 8 4" xfId="2471"/>
    <cellStyle name="Input cel 3 2 3 9" xfId="362"/>
    <cellStyle name="Input cel 3 2 3 9 2" xfId="4608"/>
    <cellStyle name="Input cel 3 2 3 9 3" xfId="2205"/>
    <cellStyle name="Input cel 3 2 4" xfId="442"/>
    <cellStyle name="Input cel 3 2 4 2" xfId="536"/>
    <cellStyle name="Input cel 3 2 4 2 2" xfId="1494"/>
    <cellStyle name="Input cel 3 2 4 2 2 2" xfId="4303"/>
    <cellStyle name="Input cel 3 2 4 2 2 3" xfId="5715"/>
    <cellStyle name="Input cel 3 2 4 2 2 4" xfId="3082"/>
    <cellStyle name="Input cel 3 2 4 2 3" xfId="1159"/>
    <cellStyle name="Input cel 3 2 4 2 3 2" xfId="5381"/>
    <cellStyle name="Input cel 3 2 4 2 3 3" xfId="3967"/>
    <cellStyle name="Input cel 3 2 4 2 4" xfId="4761"/>
    <cellStyle name="Input cel 3 2 4 3" xfId="1032"/>
    <cellStyle name="Input cel 3 2 4 3 2" xfId="3835"/>
    <cellStyle name="Input cel 3 2 4 3 3" xfId="5255"/>
    <cellStyle name="Input cel 3 2 4 3 4" xfId="2660"/>
    <cellStyle name="Input cel 3 2 4 4" xfId="935"/>
    <cellStyle name="Input cel 3 2 4 4 2" xfId="3737"/>
    <cellStyle name="Input cel 3 2 4 4 3" xfId="5158"/>
    <cellStyle name="Input cel 3 2 4 4 4" xfId="2569"/>
    <cellStyle name="Input cel 3 2 4 5" xfId="294"/>
    <cellStyle name="Input cel 3 2 4 5 2" xfId="4540"/>
    <cellStyle name="Input cel 3 2 4 5 3" xfId="2186"/>
    <cellStyle name="Input cel 3 2 4 6" xfId="3340"/>
    <cellStyle name="Input cel 3 2 4 7" xfId="1927"/>
    <cellStyle name="Input cel 3 2 5" xfId="465"/>
    <cellStyle name="Input cel 3 2 5 2" xfId="1606"/>
    <cellStyle name="Input cel 3 2 5 2 2" xfId="4415"/>
    <cellStyle name="Input cel 3 2 5 2 3" xfId="5827"/>
    <cellStyle name="Input cel 3 2 5 2 4" xfId="3181"/>
    <cellStyle name="Input cel 3 2 5 3" xfId="971"/>
    <cellStyle name="Input cel 3 2 5 3 2" xfId="3774"/>
    <cellStyle name="Input cel 3 2 5 3 3" xfId="5194"/>
    <cellStyle name="Input cel 3 2 5 3 4" xfId="2604"/>
    <cellStyle name="Input cel 3 2 5 4" xfId="693"/>
    <cellStyle name="Input cel 3 2 5 4 2" xfId="4918"/>
    <cellStyle name="Input cel 3 2 5 4 3" xfId="2338"/>
    <cellStyle name="Input cel 3 2 5 5" xfId="3493"/>
    <cellStyle name="Input cel 3 2 5 6" xfId="4690"/>
    <cellStyle name="Input cel 3 2 6" xfId="756"/>
    <cellStyle name="Input cel 3 2 6 2" xfId="1669"/>
    <cellStyle name="Input cel 3 2 6 2 2" xfId="4478"/>
    <cellStyle name="Input cel 3 2 6 2 3" xfId="5890"/>
    <cellStyle name="Input cel 3 2 6 2 4" xfId="3240"/>
    <cellStyle name="Input cel 3 2 6 3" xfId="1352"/>
    <cellStyle name="Input cel 3 2 6 3 2" xfId="4161"/>
    <cellStyle name="Input cel 3 2 6 3 3" xfId="5574"/>
    <cellStyle name="Input cel 3 2 6 3 4" xfId="2956"/>
    <cellStyle name="Input cel 3 2 6 4" xfId="2400"/>
    <cellStyle name="Input cel 3 2 6 5" xfId="3556"/>
    <cellStyle name="Input cel 3 2 6 6" xfId="4981"/>
    <cellStyle name="Input cel 3 2 6 7" xfId="2104"/>
    <cellStyle name="Input cel 3 2 7" xfId="1103"/>
    <cellStyle name="Input cel 3 2 7 2" xfId="879"/>
    <cellStyle name="Input cel 3 2 7 2 2" xfId="3679"/>
    <cellStyle name="Input cel 3 2 7 2 3" xfId="5103"/>
    <cellStyle name="Input cel 3 2 7 2 4" xfId="2517"/>
    <cellStyle name="Input cel 3 2 7 3" xfId="2728"/>
    <cellStyle name="Input cel 3 2 7 4" xfId="3909"/>
    <cellStyle name="Input cel 3 2 7 5" xfId="5326"/>
    <cellStyle name="Input cel 3 2 7 6" xfId="1882"/>
    <cellStyle name="Input cel 3 2 8" xfId="1096"/>
    <cellStyle name="Input cel 3 2 8 2" xfId="3901"/>
    <cellStyle name="Input cel 3 2 8 3" xfId="5319"/>
    <cellStyle name="Input cel 3 2 8 4" xfId="2721"/>
    <cellStyle name="Input cel 3 2 9" xfId="562"/>
    <cellStyle name="Input cel 3 2 9 2" xfId="4787"/>
    <cellStyle name="Input cel 3 2 9 3" xfId="1824"/>
    <cellStyle name="Input cel 3 3" xfId="209"/>
    <cellStyle name="Input cel 3 3 10" xfId="1743"/>
    <cellStyle name="Input cel 3 3 2" xfId="426"/>
    <cellStyle name="Input cel 3 3 2 10" xfId="3413"/>
    <cellStyle name="Input cel 3 3 2 11" xfId="1906"/>
    <cellStyle name="Input cel 3 3 2 12" xfId="4659"/>
    <cellStyle name="Input cel 3 3 2 2" xfId="521"/>
    <cellStyle name="Input cel 3 3 2 2 2" xfId="1574"/>
    <cellStyle name="Input cel 3 3 2 2 2 2" xfId="4383"/>
    <cellStyle name="Input cel 3 3 2 2 2 3" xfId="5795"/>
    <cellStyle name="Input cel 3 3 2 2 2 4" xfId="3151"/>
    <cellStyle name="Input cel 3 3 2 2 3" xfId="1415"/>
    <cellStyle name="Input cel 3 3 2 2 3 2" xfId="4224"/>
    <cellStyle name="Input cel 3 3 2 2 3 3" xfId="5636"/>
    <cellStyle name="Input cel 3 3 2 2 3 4" xfId="3017"/>
    <cellStyle name="Input cel 3 3 2 2 4" xfId="1260"/>
    <cellStyle name="Input cel 3 3 2 2 4 2" xfId="4069"/>
    <cellStyle name="Input cel 3 3 2 2 4 3" xfId="5482"/>
    <cellStyle name="Input cel 3 3 2 2 4 4" xfId="2867"/>
    <cellStyle name="Input cel 3 3 2 2 5" xfId="661"/>
    <cellStyle name="Input cel 3 3 2 2 5 2" xfId="4886"/>
    <cellStyle name="Input cel 3 3 2 2 5 3" xfId="2308"/>
    <cellStyle name="Input cel 3 3 2 2 6" xfId="3461"/>
    <cellStyle name="Input cel 3 3 2 2 7" xfId="4746"/>
    <cellStyle name="Input cel 3 3 2 3" xfId="725"/>
    <cellStyle name="Input cel 3 3 2 3 2" xfId="1638"/>
    <cellStyle name="Input cel 3 3 2 3 2 2" xfId="4447"/>
    <cellStyle name="Input cel 3 3 2 3 2 3" xfId="5859"/>
    <cellStyle name="Input cel 3 3 2 3 2 4" xfId="3211"/>
    <cellStyle name="Input cel 3 3 2 3 3" xfId="1321"/>
    <cellStyle name="Input cel 3 3 2 3 3 2" xfId="4130"/>
    <cellStyle name="Input cel 3 3 2 3 3 3" xfId="5543"/>
    <cellStyle name="Input cel 3 3 2 3 3 4" xfId="2927"/>
    <cellStyle name="Input cel 3 3 2 3 4" xfId="2369"/>
    <cellStyle name="Input cel 3 3 2 3 5" xfId="3525"/>
    <cellStyle name="Input cel 3 3 2 3 6" xfId="4950"/>
    <cellStyle name="Input cel 3 3 2 3 7" xfId="2075"/>
    <cellStyle name="Input cel 3 3 2 4" xfId="787"/>
    <cellStyle name="Input cel 3 3 2 4 2" xfId="1700"/>
    <cellStyle name="Input cel 3 3 2 4 2 2" xfId="4509"/>
    <cellStyle name="Input cel 3 3 2 4 2 3" xfId="5921"/>
    <cellStyle name="Input cel 3 3 2 4 2 4" xfId="3270"/>
    <cellStyle name="Input cel 3 3 2 4 3" xfId="1378"/>
    <cellStyle name="Input cel 3 3 2 4 3 2" xfId="4187"/>
    <cellStyle name="Input cel 3 3 2 4 3 3" xfId="5599"/>
    <cellStyle name="Input cel 3 3 2 4 3 4" xfId="2981"/>
    <cellStyle name="Input cel 3 3 2 4 4" xfId="2431"/>
    <cellStyle name="Input cel 3 3 2 4 5" xfId="3587"/>
    <cellStyle name="Input cel 3 3 2 4 6" xfId="5012"/>
    <cellStyle name="Input cel 3 3 2 4 7" xfId="2134"/>
    <cellStyle name="Input cel 3 3 2 5" xfId="1223"/>
    <cellStyle name="Input cel 3 3 2 5 2" xfId="1537"/>
    <cellStyle name="Input cel 3 3 2 5 2 2" xfId="4346"/>
    <cellStyle name="Input cel 3 3 2 5 2 3" xfId="5758"/>
    <cellStyle name="Input cel 3 3 2 5 2 4" xfId="3115"/>
    <cellStyle name="Input cel 3 3 2 5 3" xfId="2831"/>
    <cellStyle name="Input cel 3 3 2 5 4" xfId="4031"/>
    <cellStyle name="Input cel 3 3 2 5 5" xfId="5445"/>
    <cellStyle name="Input cel 3 3 2 5 6" xfId="1993"/>
    <cellStyle name="Input cel 3 3 2 6" xfId="1143"/>
    <cellStyle name="Input cel 3 3 2 6 2" xfId="3951"/>
    <cellStyle name="Input cel 3 3 2 6 3" xfId="5365"/>
    <cellStyle name="Input cel 3 3 2 6 4" xfId="2764"/>
    <cellStyle name="Input cel 3 3 2 7" xfId="843"/>
    <cellStyle name="Input cel 3 3 2 7 2" xfId="3643"/>
    <cellStyle name="Input cel 3 3 2 7 3" xfId="5068"/>
    <cellStyle name="Input cel 3 3 2 7 4" xfId="2485"/>
    <cellStyle name="Input cel 3 3 2 8" xfId="1040"/>
    <cellStyle name="Input cel 3 3 2 8 2" xfId="3843"/>
    <cellStyle name="Input cel 3 3 2 8 3" xfId="5263"/>
    <cellStyle name="Input cel 3 3 2 8 4" xfId="2667"/>
    <cellStyle name="Input cel 3 3 2 9" xfId="613"/>
    <cellStyle name="Input cel 3 3 2 9 2" xfId="4838"/>
    <cellStyle name="Input cel 3 3 2 9 3" xfId="2260"/>
    <cellStyle name="Input cel 3 3 3" xfId="417"/>
    <cellStyle name="Input cel 3 3 3 2" xfId="512"/>
    <cellStyle name="Input cel 3 3 3 2 2" xfId="1479"/>
    <cellStyle name="Input cel 3 3 3 2 2 2" xfId="5700"/>
    <cellStyle name="Input cel 3 3 3 2 2 3" xfId="4288"/>
    <cellStyle name="Input cel 3 3 3 2 3" xfId="4737"/>
    <cellStyle name="Input cel 3 3 3 3" xfId="906"/>
    <cellStyle name="Input cel 3 3 3 3 2" xfId="3707"/>
    <cellStyle name="Input cel 3 3 3 3 3" xfId="5130"/>
    <cellStyle name="Input cel 3 3 3 3 4" xfId="2543"/>
    <cellStyle name="Input cel 3 3 3 4" xfId="366"/>
    <cellStyle name="Input cel 3 3 3 4 2" xfId="4612"/>
    <cellStyle name="Input cel 3 3 3 4 3" xfId="2158"/>
    <cellStyle name="Input cel 3 3 3 5" xfId="3312"/>
    <cellStyle name="Input cel 3 3 3 6" xfId="4651"/>
    <cellStyle name="Input cel 3 3 4" xfId="336"/>
    <cellStyle name="Input cel 3 3 4 2" xfId="861"/>
    <cellStyle name="Input cel 3 3 4 2 2" xfId="5085"/>
    <cellStyle name="Input cel 3 3 4 2 3" xfId="3661"/>
    <cellStyle name="Input cel 3 3 4 3" xfId="4582"/>
    <cellStyle name="Input cel 3 3 4 4" xfId="2503"/>
    <cellStyle name="Input cel 3 3 5" xfId="309"/>
    <cellStyle name="Input cel 3 3 5 2" xfId="3947"/>
    <cellStyle name="Input cel 3 3 5 3" xfId="4555"/>
    <cellStyle name="Input cel 3 3 5 4" xfId="2760"/>
    <cellStyle name="Input cel 3 3 6" xfId="901"/>
    <cellStyle name="Input cel 3 3 6 2" xfId="3702"/>
    <cellStyle name="Input cel 3 3 6 3" xfId="5125"/>
    <cellStyle name="Input cel 3 3 6 4" xfId="2538"/>
    <cellStyle name="Input cel 3 3 7" xfId="2164"/>
    <cellStyle name="Input cel 3 3 8" xfId="3318"/>
    <cellStyle name="Input cel 3 3 9" xfId="1783"/>
    <cellStyle name="Input cel 3 4" xfId="1752"/>
    <cellStyle name="Input cel 3 5" xfId="1729"/>
    <cellStyle name="Input cel 4" xfId="269"/>
    <cellStyle name="Input cel 4 10" xfId="1921"/>
    <cellStyle name="Input cel 4 11" xfId="1786"/>
    <cellStyle name="Input cel 4 2" xfId="396"/>
    <cellStyle name="Input cel 4 2 10" xfId="1867"/>
    <cellStyle name="Input cel 4 2 11" xfId="4637"/>
    <cellStyle name="Input cel 4 2 2" xfId="491"/>
    <cellStyle name="Input cel 4 2 2 2" xfId="1205"/>
    <cellStyle name="Input cel 4 2 2 2 2" xfId="1522"/>
    <cellStyle name="Input cel 4 2 2 2 2 2" xfId="4331"/>
    <cellStyle name="Input cel 4 2 2 2 2 3" xfId="5743"/>
    <cellStyle name="Input cel 4 2 2 2 2 4" xfId="3102"/>
    <cellStyle name="Input cel 4 2 2 2 3" xfId="2813"/>
    <cellStyle name="Input cel 4 2 2 2 4" xfId="4013"/>
    <cellStyle name="Input cel 4 2 2 2 5" xfId="5427"/>
    <cellStyle name="Input cel 4 2 2 2 6" xfId="1976"/>
    <cellStyle name="Input cel 4 2 2 3" xfId="1124"/>
    <cellStyle name="Input cel 4 2 2 3 2" xfId="3930"/>
    <cellStyle name="Input cel 4 2 2 3 3" xfId="5346"/>
    <cellStyle name="Input cel 4 2 2 3 4" xfId="2745"/>
    <cellStyle name="Input cel 4 2 2 4" xfId="1436"/>
    <cellStyle name="Input cel 4 2 2 4 2" xfId="4245"/>
    <cellStyle name="Input cel 4 2 2 4 3" xfId="5657"/>
    <cellStyle name="Input cel 4 2 2 4 4" xfId="3036"/>
    <cellStyle name="Input cel 4 2 2 5" xfId="950"/>
    <cellStyle name="Input cel 4 2 2 5 2" xfId="3753"/>
    <cellStyle name="Input cel 4 2 2 5 3" xfId="5173"/>
    <cellStyle name="Input cel 4 2 2 5 4" xfId="2585"/>
    <cellStyle name="Input cel 4 2 2 6" xfId="595"/>
    <cellStyle name="Input cel 4 2 2 6 2" xfId="4820"/>
    <cellStyle name="Input cel 4 2 2 6 3" xfId="2242"/>
    <cellStyle name="Input cel 4 2 2 7" xfId="3395"/>
    <cellStyle name="Input cel 4 2 2 8" xfId="4716"/>
    <cellStyle name="Input cel 4 2 3" xfId="643"/>
    <cellStyle name="Input cel 4 2 3 2" xfId="1556"/>
    <cellStyle name="Input cel 4 2 3 2 2" xfId="4365"/>
    <cellStyle name="Input cel 4 2 3 2 3" xfId="5777"/>
    <cellStyle name="Input cel 4 2 3 2 4" xfId="3134"/>
    <cellStyle name="Input cel 4 2 3 3" xfId="1012"/>
    <cellStyle name="Input cel 4 2 3 3 2" xfId="3815"/>
    <cellStyle name="Input cel 4 2 3 3 3" xfId="5235"/>
    <cellStyle name="Input cel 4 2 3 3 4" xfId="2641"/>
    <cellStyle name="Input cel 4 2 3 4" xfId="2290"/>
    <cellStyle name="Input cel 4 2 3 5" xfId="3443"/>
    <cellStyle name="Input cel 4 2 3 6" xfId="4868"/>
    <cellStyle name="Input cel 4 2 3 7" xfId="2024"/>
    <cellStyle name="Input cel 4 2 4" xfId="707"/>
    <cellStyle name="Input cel 4 2 4 2" xfId="1620"/>
    <cellStyle name="Input cel 4 2 4 2 2" xfId="4429"/>
    <cellStyle name="Input cel 4 2 4 2 3" xfId="5841"/>
    <cellStyle name="Input cel 4 2 4 2 4" xfId="3194"/>
    <cellStyle name="Input cel 4 2 4 3" xfId="1303"/>
    <cellStyle name="Input cel 4 2 4 3 2" xfId="4112"/>
    <cellStyle name="Input cel 4 2 4 3 3" xfId="5525"/>
    <cellStyle name="Input cel 4 2 4 3 4" xfId="2910"/>
    <cellStyle name="Input cel 4 2 4 4" xfId="2351"/>
    <cellStyle name="Input cel 4 2 4 5" xfId="3507"/>
    <cellStyle name="Input cel 4 2 4 6" xfId="4932"/>
    <cellStyle name="Input cel 4 2 4 7" xfId="2058"/>
    <cellStyle name="Input cel 4 2 5" xfId="769"/>
    <cellStyle name="Input cel 4 2 5 2" xfId="1682"/>
    <cellStyle name="Input cel 4 2 5 2 2" xfId="4491"/>
    <cellStyle name="Input cel 4 2 5 2 3" xfId="5903"/>
    <cellStyle name="Input cel 4 2 5 2 4" xfId="3253"/>
    <cellStyle name="Input cel 4 2 5 3" xfId="1360"/>
    <cellStyle name="Input cel 4 2 5 3 2" xfId="4169"/>
    <cellStyle name="Input cel 4 2 5 3 3" xfId="5581"/>
    <cellStyle name="Input cel 4 2 5 3 4" xfId="2964"/>
    <cellStyle name="Input cel 4 2 5 4" xfId="2413"/>
    <cellStyle name="Input cel 4 2 5 5" xfId="3569"/>
    <cellStyle name="Input cel 4 2 5 6" xfId="4994"/>
    <cellStyle name="Input cel 4 2 5 7" xfId="2117"/>
    <cellStyle name="Input cel 4 2 6" xfId="1186"/>
    <cellStyle name="Input cel 4 2 6 2" xfId="2794"/>
    <cellStyle name="Input cel 4 2 6 3" xfId="3994"/>
    <cellStyle name="Input cel 4 2 6 4" xfId="5408"/>
    <cellStyle name="Input cel 4 2 6 5" xfId="1957"/>
    <cellStyle name="Input cel 4 2 7" xfId="1079"/>
    <cellStyle name="Input cel 4 2 7 2" xfId="3882"/>
    <cellStyle name="Input cel 4 2 7 3" xfId="5302"/>
    <cellStyle name="Input cel 4 2 7 4" xfId="2704"/>
    <cellStyle name="Input cel 4 2 8" xfId="561"/>
    <cellStyle name="Input cel 4 2 8 2" xfId="4786"/>
    <cellStyle name="Input cel 4 2 8 3" xfId="2219"/>
    <cellStyle name="Input cel 4 2 9" xfId="3372"/>
    <cellStyle name="Input cel 4 3" xfId="447"/>
    <cellStyle name="Input cel 4 3 10" xfId="3356"/>
    <cellStyle name="Input cel 4 3 11" xfId="1851"/>
    <cellStyle name="Input cel 4 3 12" xfId="4674"/>
    <cellStyle name="Input cel 4 3 2" xfId="541"/>
    <cellStyle name="Input cel 4 3 2 2" xfId="1238"/>
    <cellStyle name="Input cel 4 3 2 2 2" xfId="2846"/>
    <cellStyle name="Input cel 4 3 2 2 3" xfId="4046"/>
    <cellStyle name="Input cel 4 3 2 2 4" xfId="5460"/>
    <cellStyle name="Input cel 4 3 2 2 5" xfId="2009"/>
    <cellStyle name="Input cel 4 3 2 3" xfId="1440"/>
    <cellStyle name="Input cel 4 3 2 3 2" xfId="4249"/>
    <cellStyle name="Input cel 4 3 2 3 3" xfId="5661"/>
    <cellStyle name="Input cel 4 3 2 3 4" xfId="3040"/>
    <cellStyle name="Input cel 4 3 2 4" xfId="997"/>
    <cellStyle name="Input cel 4 3 2 4 2" xfId="3800"/>
    <cellStyle name="Input cel 4 3 2 4 3" xfId="5220"/>
    <cellStyle name="Input cel 4 3 2 4 4" xfId="2626"/>
    <cellStyle name="Input cel 4 3 2 5" xfId="628"/>
    <cellStyle name="Input cel 4 3 2 5 2" xfId="4853"/>
    <cellStyle name="Input cel 4 3 2 5 3" xfId="2275"/>
    <cellStyle name="Input cel 4 3 2 6" xfId="3428"/>
    <cellStyle name="Input cel 4 3 2 7" xfId="4766"/>
    <cellStyle name="Input cel 4 3 3" xfId="677"/>
    <cellStyle name="Input cel 4 3 3 2" xfId="1276"/>
    <cellStyle name="Input cel 4 3 3 2 2" xfId="1590"/>
    <cellStyle name="Input cel 4 3 3 2 2 2" xfId="4399"/>
    <cellStyle name="Input cel 4 3 3 2 2 3" xfId="5811"/>
    <cellStyle name="Input cel 4 3 3 2 2 4" xfId="3166"/>
    <cellStyle name="Input cel 4 3 3 2 3" xfId="4085"/>
    <cellStyle name="Input cel 4 3 3 2 4" xfId="5498"/>
    <cellStyle name="Input cel 4 3 3 2 5" xfId="2883"/>
    <cellStyle name="Input cel 4 3 3 3" xfId="1456"/>
    <cellStyle name="Input cel 4 3 3 3 2" xfId="4265"/>
    <cellStyle name="Input cel 4 3 3 3 3" xfId="5677"/>
    <cellStyle name="Input cel 4 3 3 3 4" xfId="3055"/>
    <cellStyle name="Input cel 4 3 3 4" xfId="1057"/>
    <cellStyle name="Input cel 4 3 3 4 2" xfId="3860"/>
    <cellStyle name="Input cel 4 3 3 4 3" xfId="5280"/>
    <cellStyle name="Input cel 4 3 3 4 4" xfId="2684"/>
    <cellStyle name="Input cel 4 3 3 5" xfId="2323"/>
    <cellStyle name="Input cel 4 3 3 6" xfId="3477"/>
    <cellStyle name="Input cel 4 3 3 7" xfId="4902"/>
    <cellStyle name="Input cel 4 3 3 8" xfId="2043"/>
    <cellStyle name="Input cel 4 3 4" xfId="741"/>
    <cellStyle name="Input cel 4 3 4 2" xfId="1654"/>
    <cellStyle name="Input cel 4 3 4 2 2" xfId="4463"/>
    <cellStyle name="Input cel 4 3 4 2 3" xfId="5875"/>
    <cellStyle name="Input cel 4 3 4 2 4" xfId="3226"/>
    <cellStyle name="Input cel 4 3 4 3" xfId="1337"/>
    <cellStyle name="Input cel 4 3 4 3 2" xfId="4146"/>
    <cellStyle name="Input cel 4 3 4 3 3" xfId="5559"/>
    <cellStyle name="Input cel 4 3 4 3 4" xfId="2942"/>
    <cellStyle name="Input cel 4 3 4 4" xfId="2385"/>
    <cellStyle name="Input cel 4 3 4 5" xfId="3541"/>
    <cellStyle name="Input cel 4 3 4 6" xfId="4966"/>
    <cellStyle name="Input cel 4 3 4 7" xfId="2090"/>
    <cellStyle name="Input cel 4 3 5" xfId="802"/>
    <cellStyle name="Input cel 4 3 5 2" xfId="1715"/>
    <cellStyle name="Input cel 4 3 5 2 2" xfId="4524"/>
    <cellStyle name="Input cel 4 3 5 2 3" xfId="5936"/>
    <cellStyle name="Input cel 4 3 5 2 4" xfId="3285"/>
    <cellStyle name="Input cel 4 3 5 3" xfId="1393"/>
    <cellStyle name="Input cel 4 3 5 3 2" xfId="4202"/>
    <cellStyle name="Input cel 4 3 5 3 3" xfId="5614"/>
    <cellStyle name="Input cel 4 3 5 3 4" xfId="2996"/>
    <cellStyle name="Input cel 4 3 5 4" xfId="2446"/>
    <cellStyle name="Input cel 4 3 5 5" xfId="3602"/>
    <cellStyle name="Input cel 4 3 5 6" xfId="5027"/>
    <cellStyle name="Input cel 4 3 5 7" xfId="2149"/>
    <cellStyle name="Input cel 4 3 6" xfId="1170"/>
    <cellStyle name="Input cel 4 3 6 2" xfId="2779"/>
    <cellStyle name="Input cel 4 3 6 3" xfId="3978"/>
    <cellStyle name="Input cel 4 3 6 4" xfId="5392"/>
    <cellStyle name="Input cel 4 3 6 5" xfId="1941"/>
    <cellStyle name="Input cel 4 3 7" xfId="860"/>
    <cellStyle name="Input cel 4 3 7 2" xfId="3660"/>
    <cellStyle name="Input cel 4 3 7 3" xfId="5084"/>
    <cellStyle name="Input cel 4 3 7 4" xfId="2502"/>
    <cellStyle name="Input cel 4 3 8" xfId="826"/>
    <cellStyle name="Input cel 4 3 8 2" xfId="3626"/>
    <cellStyle name="Input cel 4 3 8 3" xfId="5051"/>
    <cellStyle name="Input cel 4 3 8 4" xfId="2469"/>
    <cellStyle name="Input cel 4 3 9" xfId="375"/>
    <cellStyle name="Input cel 4 3 9 2" xfId="4621"/>
    <cellStyle name="Input cel 4 3 9 3" xfId="2203"/>
    <cellStyle name="Input cel 4 4" xfId="443"/>
    <cellStyle name="Input cel 4 4 2" xfId="537"/>
    <cellStyle name="Input cel 4 4 2 2" xfId="1491"/>
    <cellStyle name="Input cel 4 4 2 2 2" xfId="4300"/>
    <cellStyle name="Input cel 4 4 2 2 3" xfId="5712"/>
    <cellStyle name="Input cel 4 4 2 2 4" xfId="3079"/>
    <cellStyle name="Input cel 4 4 2 3" xfId="1155"/>
    <cellStyle name="Input cel 4 4 2 3 2" xfId="5377"/>
    <cellStyle name="Input cel 4 4 2 3 3" xfId="3963"/>
    <cellStyle name="Input cel 4 4 2 4" xfId="4762"/>
    <cellStyle name="Input cel 4 4 3" xfId="1432"/>
    <cellStyle name="Input cel 4 4 3 2" xfId="4241"/>
    <cellStyle name="Input cel 4 4 3 3" xfId="5653"/>
    <cellStyle name="Input cel 4 4 3 4" xfId="3032"/>
    <cellStyle name="Input cel 4 4 4" xfId="933"/>
    <cellStyle name="Input cel 4 4 4 2" xfId="3735"/>
    <cellStyle name="Input cel 4 4 4 3" xfId="5156"/>
    <cellStyle name="Input cel 4 4 4 4" xfId="2567"/>
    <cellStyle name="Input cel 4 4 5" xfId="372"/>
    <cellStyle name="Input cel 4 4 5 2" xfId="4618"/>
    <cellStyle name="Input cel 4 4 5 3" xfId="2181"/>
    <cellStyle name="Input cel 4 4 6" xfId="3335"/>
    <cellStyle name="Input cel 4 4 7" xfId="1923"/>
    <cellStyle name="Input cel 4 5" xfId="463"/>
    <cellStyle name="Input cel 4 5 2" xfId="1604"/>
    <cellStyle name="Input cel 4 5 2 2" xfId="4413"/>
    <cellStyle name="Input cel 4 5 2 3" xfId="5825"/>
    <cellStyle name="Input cel 4 5 2 4" xfId="3179"/>
    <cellStyle name="Input cel 4 5 3" xfId="969"/>
    <cellStyle name="Input cel 4 5 3 2" xfId="3772"/>
    <cellStyle name="Input cel 4 5 3 3" xfId="5192"/>
    <cellStyle name="Input cel 4 5 3 4" xfId="2602"/>
    <cellStyle name="Input cel 4 5 4" xfId="691"/>
    <cellStyle name="Input cel 4 5 4 2" xfId="4916"/>
    <cellStyle name="Input cel 4 5 4 3" xfId="2336"/>
    <cellStyle name="Input cel 4 5 5" xfId="3491"/>
    <cellStyle name="Input cel 4 5 6" xfId="4688"/>
    <cellStyle name="Input cel 4 6" xfId="754"/>
    <cellStyle name="Input cel 4 6 2" xfId="1667"/>
    <cellStyle name="Input cel 4 6 2 2" xfId="4476"/>
    <cellStyle name="Input cel 4 6 2 3" xfId="5888"/>
    <cellStyle name="Input cel 4 6 2 4" xfId="3238"/>
    <cellStyle name="Input cel 4 6 3" xfId="1350"/>
    <cellStyle name="Input cel 4 6 3 2" xfId="4159"/>
    <cellStyle name="Input cel 4 6 3 3" xfId="5572"/>
    <cellStyle name="Input cel 4 6 3 4" xfId="2954"/>
    <cellStyle name="Input cel 4 6 4" xfId="2398"/>
    <cellStyle name="Input cel 4 6 5" xfId="3554"/>
    <cellStyle name="Input cel 4 6 6" xfId="4979"/>
    <cellStyle name="Input cel 4 6 7" xfId="2102"/>
    <cellStyle name="Input cel 4 7" xfId="1100"/>
    <cellStyle name="Input cel 4 7 2" xfId="880"/>
    <cellStyle name="Input cel 4 7 2 2" xfId="3680"/>
    <cellStyle name="Input cel 4 7 2 3" xfId="5104"/>
    <cellStyle name="Input cel 4 7 2 4" xfId="2518"/>
    <cellStyle name="Input cel 4 7 3" xfId="2726"/>
    <cellStyle name="Input cel 4 7 4" xfId="3906"/>
    <cellStyle name="Input cel 4 7 5" xfId="5323"/>
    <cellStyle name="Input cel 4 7 6" xfId="1879"/>
    <cellStyle name="Input cel 4 8" xfId="1094"/>
    <cellStyle name="Input cel 4 8 2" xfId="3897"/>
    <cellStyle name="Input cel 4 8 3" xfId="5317"/>
    <cellStyle name="Input cel 4 8 4" xfId="2717"/>
    <cellStyle name="Input cel 4 9" xfId="577"/>
    <cellStyle name="Input cel 4 9 2" xfId="4802"/>
    <cellStyle name="Input cel 4 9 3" xfId="1821"/>
    <cellStyle name="Input cel 5" xfId="207"/>
    <cellStyle name="Input cel 5 10" xfId="1741"/>
    <cellStyle name="Input cel 5 2" xfId="424"/>
    <cellStyle name="Input cel 5 2 10" xfId="3411"/>
    <cellStyle name="Input cel 5 2 11" xfId="1904"/>
    <cellStyle name="Input cel 5 2 12" xfId="4657"/>
    <cellStyle name="Input cel 5 2 2" xfId="519"/>
    <cellStyle name="Input cel 5 2 2 2" xfId="1572"/>
    <cellStyle name="Input cel 5 2 2 2 2" xfId="4381"/>
    <cellStyle name="Input cel 5 2 2 2 3" xfId="5793"/>
    <cellStyle name="Input cel 5 2 2 2 4" xfId="3149"/>
    <cellStyle name="Input cel 5 2 2 3" xfId="1287"/>
    <cellStyle name="Input cel 5 2 2 3 2" xfId="4096"/>
    <cellStyle name="Input cel 5 2 2 3 3" xfId="5509"/>
    <cellStyle name="Input cel 5 2 2 3 4" xfId="2894"/>
    <cellStyle name="Input cel 5 2 2 4" xfId="1258"/>
    <cellStyle name="Input cel 5 2 2 4 2" xfId="4067"/>
    <cellStyle name="Input cel 5 2 2 4 3" xfId="5480"/>
    <cellStyle name="Input cel 5 2 2 4 4" xfId="2865"/>
    <cellStyle name="Input cel 5 2 2 5" xfId="659"/>
    <cellStyle name="Input cel 5 2 2 5 2" xfId="4884"/>
    <cellStyle name="Input cel 5 2 2 5 3" xfId="2306"/>
    <cellStyle name="Input cel 5 2 2 6" xfId="3459"/>
    <cellStyle name="Input cel 5 2 2 7" xfId="4744"/>
    <cellStyle name="Input cel 5 2 3" xfId="723"/>
    <cellStyle name="Input cel 5 2 3 2" xfId="1636"/>
    <cellStyle name="Input cel 5 2 3 2 2" xfId="4445"/>
    <cellStyle name="Input cel 5 2 3 2 3" xfId="5857"/>
    <cellStyle name="Input cel 5 2 3 2 4" xfId="3209"/>
    <cellStyle name="Input cel 5 2 3 3" xfId="1319"/>
    <cellStyle name="Input cel 5 2 3 3 2" xfId="4128"/>
    <cellStyle name="Input cel 5 2 3 3 3" xfId="5541"/>
    <cellStyle name="Input cel 5 2 3 3 4" xfId="2925"/>
    <cellStyle name="Input cel 5 2 3 4" xfId="2367"/>
    <cellStyle name="Input cel 5 2 3 5" xfId="3523"/>
    <cellStyle name="Input cel 5 2 3 6" xfId="4948"/>
    <cellStyle name="Input cel 5 2 3 7" xfId="2073"/>
    <cellStyle name="Input cel 5 2 4" xfId="785"/>
    <cellStyle name="Input cel 5 2 4 2" xfId="1698"/>
    <cellStyle name="Input cel 5 2 4 2 2" xfId="4507"/>
    <cellStyle name="Input cel 5 2 4 2 3" xfId="5919"/>
    <cellStyle name="Input cel 5 2 4 2 4" xfId="3268"/>
    <cellStyle name="Input cel 5 2 4 3" xfId="1376"/>
    <cellStyle name="Input cel 5 2 4 3 2" xfId="4185"/>
    <cellStyle name="Input cel 5 2 4 3 3" xfId="5597"/>
    <cellStyle name="Input cel 5 2 4 3 4" xfId="2979"/>
    <cellStyle name="Input cel 5 2 4 4" xfId="2429"/>
    <cellStyle name="Input cel 5 2 4 5" xfId="3585"/>
    <cellStyle name="Input cel 5 2 4 6" xfId="5010"/>
    <cellStyle name="Input cel 5 2 4 7" xfId="2132"/>
    <cellStyle name="Input cel 5 2 5" xfId="1221"/>
    <cellStyle name="Input cel 5 2 5 2" xfId="1535"/>
    <cellStyle name="Input cel 5 2 5 2 2" xfId="4344"/>
    <cellStyle name="Input cel 5 2 5 2 3" xfId="5756"/>
    <cellStyle name="Input cel 5 2 5 2 4" xfId="3113"/>
    <cellStyle name="Input cel 5 2 5 3" xfId="2829"/>
    <cellStyle name="Input cel 5 2 5 4" xfId="4029"/>
    <cellStyle name="Input cel 5 2 5 5" xfId="5443"/>
    <cellStyle name="Input cel 5 2 5 6" xfId="1991"/>
    <cellStyle name="Input cel 5 2 6" xfId="1141"/>
    <cellStyle name="Input cel 5 2 6 2" xfId="3949"/>
    <cellStyle name="Input cel 5 2 6 3" xfId="5363"/>
    <cellStyle name="Input cel 5 2 6 4" xfId="2762"/>
    <cellStyle name="Input cel 5 2 7" xfId="942"/>
    <cellStyle name="Input cel 5 2 7 2" xfId="3744"/>
    <cellStyle name="Input cel 5 2 7 3" xfId="5165"/>
    <cellStyle name="Input cel 5 2 7 4" xfId="2576"/>
    <cellStyle name="Input cel 5 2 8" xfId="1038"/>
    <cellStyle name="Input cel 5 2 8 2" xfId="3841"/>
    <cellStyle name="Input cel 5 2 8 3" xfId="5261"/>
    <cellStyle name="Input cel 5 2 8 4" xfId="2665"/>
    <cellStyle name="Input cel 5 2 9" xfId="611"/>
    <cellStyle name="Input cel 5 2 9 2" xfId="4836"/>
    <cellStyle name="Input cel 5 2 9 3" xfId="2258"/>
    <cellStyle name="Input cel 5 3" xfId="383"/>
    <cellStyle name="Input cel 5 3 2" xfId="479"/>
    <cellStyle name="Input cel 5 3 2 2" xfId="1495"/>
    <cellStyle name="Input cel 5 3 2 2 2" xfId="5716"/>
    <cellStyle name="Input cel 5 3 2 2 3" xfId="4304"/>
    <cellStyle name="Input cel 5 3 2 3" xfId="4704"/>
    <cellStyle name="Input cel 5 3 3" xfId="870"/>
    <cellStyle name="Input cel 5 3 3 2" xfId="3670"/>
    <cellStyle name="Input cel 5 3 3 3" xfId="5094"/>
    <cellStyle name="Input cel 5 3 3 4" xfId="2511"/>
    <cellStyle name="Input cel 5 3 4" xfId="575"/>
    <cellStyle name="Input cel 5 3 4 2" xfId="4800"/>
    <cellStyle name="Input cel 5 3 4 3" xfId="2188"/>
    <cellStyle name="Input cel 5 3 5" xfId="3342"/>
    <cellStyle name="Input cel 5 3 6" xfId="4628"/>
    <cellStyle name="Input cel 5 4" xfId="334"/>
    <cellStyle name="Input cel 5 4 2" xfId="1529"/>
    <cellStyle name="Input cel 5 4 2 2" xfId="5750"/>
    <cellStyle name="Input cel 5 4 2 3" xfId="4338"/>
    <cellStyle name="Input cel 5 4 3" xfId="4580"/>
    <cellStyle name="Input cel 5 4 4" xfId="3108"/>
    <cellStyle name="Input cel 5 5" xfId="358"/>
    <cellStyle name="Input cel 5 5 2" xfId="3650"/>
    <cellStyle name="Input cel 5 5 3" xfId="4604"/>
    <cellStyle name="Input cel 5 5 4" xfId="2492"/>
    <cellStyle name="Input cel 5 6" xfId="837"/>
    <cellStyle name="Input cel 5 6 2" xfId="3637"/>
    <cellStyle name="Input cel 5 6 3" xfId="5062"/>
    <cellStyle name="Input cel 5 6 4" xfId="2479"/>
    <cellStyle name="Input cel 5 7" xfId="2162"/>
    <cellStyle name="Input cel 5 8" xfId="3316"/>
    <cellStyle name="Input cel 5 9" xfId="1756"/>
    <cellStyle name="Input cel 6" xfId="1754"/>
    <cellStyle name="Input cel 7" xfId="1727"/>
    <cellStyle name="Input cel new" xfId="23"/>
    <cellStyle name="Input cel new 10" xfId="1730"/>
    <cellStyle name="Input cel new 2" xfId="24"/>
    <cellStyle name="Input cel new 2 2" xfId="168"/>
    <cellStyle name="Input cel new 2 2 2" xfId="276"/>
    <cellStyle name="Input cel new 2 2 2 10" xfId="1793"/>
    <cellStyle name="Input cel new 2 2 2 2" xfId="412"/>
    <cellStyle name="Input cel new 2 2 2 2 10" xfId="1876"/>
    <cellStyle name="Input cel new 2 2 2 2 11" xfId="4648"/>
    <cellStyle name="Input cel new 2 2 2 2 2" xfId="507"/>
    <cellStyle name="Input cel new 2 2 2 2 2 2" xfId="1214"/>
    <cellStyle name="Input cel new 2 2 2 2 2 2 2" xfId="2822"/>
    <cellStyle name="Input cel new 2 2 2 2 2 2 3" xfId="4022"/>
    <cellStyle name="Input cel new 2 2 2 2 2 2 4" xfId="5436"/>
    <cellStyle name="Input cel new 2 2 2 2 2 2 5" xfId="1985"/>
    <cellStyle name="Input cel new 2 2 2 2 2 3" xfId="1133"/>
    <cellStyle name="Input cel new 2 2 2 2 2 3 2" xfId="3939"/>
    <cellStyle name="Input cel new 2 2 2 2 2 3 3" xfId="5355"/>
    <cellStyle name="Input cel new 2 2 2 2 2 3 4" xfId="2754"/>
    <cellStyle name="Input cel new 2 2 2 2 2 4" xfId="1424"/>
    <cellStyle name="Input cel new 2 2 2 2 2 4 2" xfId="4233"/>
    <cellStyle name="Input cel new 2 2 2 2 2 4 3" xfId="5645"/>
    <cellStyle name="Input cel new 2 2 2 2 2 4 4" xfId="3026"/>
    <cellStyle name="Input cel new 2 2 2 2 2 5" xfId="959"/>
    <cellStyle name="Input cel new 2 2 2 2 2 5 2" xfId="3762"/>
    <cellStyle name="Input cel new 2 2 2 2 2 5 3" xfId="5182"/>
    <cellStyle name="Input cel new 2 2 2 2 2 5 4" xfId="2594"/>
    <cellStyle name="Input cel new 2 2 2 2 2 6" xfId="604"/>
    <cellStyle name="Input cel new 2 2 2 2 2 6 2" xfId="4829"/>
    <cellStyle name="Input cel new 2 2 2 2 2 6 3" xfId="2251"/>
    <cellStyle name="Input cel new 2 2 2 2 2 7" xfId="3404"/>
    <cellStyle name="Input cel new 2 2 2 2 2 8" xfId="4732"/>
    <cellStyle name="Input cel new 2 2 2 2 3" xfId="652"/>
    <cellStyle name="Input cel new 2 2 2 2 3 2" xfId="1565"/>
    <cellStyle name="Input cel new 2 2 2 2 3 2 2" xfId="4374"/>
    <cellStyle name="Input cel new 2 2 2 2 3 2 3" xfId="5786"/>
    <cellStyle name="Input cel new 2 2 2 2 3 2 4" xfId="3143"/>
    <cellStyle name="Input cel new 2 2 2 2 3 3" xfId="980"/>
    <cellStyle name="Input cel new 2 2 2 2 3 3 2" xfId="3783"/>
    <cellStyle name="Input cel new 2 2 2 2 3 3 3" xfId="5203"/>
    <cellStyle name="Input cel new 2 2 2 2 3 3 4" xfId="2613"/>
    <cellStyle name="Input cel new 2 2 2 2 3 4" xfId="1021"/>
    <cellStyle name="Input cel new 2 2 2 2 3 4 2" xfId="3824"/>
    <cellStyle name="Input cel new 2 2 2 2 3 4 3" xfId="5244"/>
    <cellStyle name="Input cel new 2 2 2 2 3 4 4" xfId="2650"/>
    <cellStyle name="Input cel new 2 2 2 2 3 5" xfId="2299"/>
    <cellStyle name="Input cel new 2 2 2 2 3 6" xfId="3452"/>
    <cellStyle name="Input cel new 2 2 2 2 3 7" xfId="4877"/>
    <cellStyle name="Input cel new 2 2 2 2 3 8" xfId="2033"/>
    <cellStyle name="Input cel new 2 2 2 2 4" xfId="716"/>
    <cellStyle name="Input cel new 2 2 2 2 4 2" xfId="1629"/>
    <cellStyle name="Input cel new 2 2 2 2 4 2 2" xfId="4438"/>
    <cellStyle name="Input cel new 2 2 2 2 4 2 3" xfId="5850"/>
    <cellStyle name="Input cel new 2 2 2 2 4 2 4" xfId="3203"/>
    <cellStyle name="Input cel new 2 2 2 2 4 3" xfId="1312"/>
    <cellStyle name="Input cel new 2 2 2 2 4 3 2" xfId="4121"/>
    <cellStyle name="Input cel new 2 2 2 2 4 3 3" xfId="5534"/>
    <cellStyle name="Input cel new 2 2 2 2 4 3 4" xfId="2919"/>
    <cellStyle name="Input cel new 2 2 2 2 4 4" xfId="2360"/>
    <cellStyle name="Input cel new 2 2 2 2 4 5" xfId="3516"/>
    <cellStyle name="Input cel new 2 2 2 2 4 6" xfId="4941"/>
    <cellStyle name="Input cel new 2 2 2 2 4 7" xfId="2067"/>
    <cellStyle name="Input cel new 2 2 2 2 5" xfId="778"/>
    <cellStyle name="Input cel new 2 2 2 2 5 2" xfId="1691"/>
    <cellStyle name="Input cel new 2 2 2 2 5 2 2" xfId="4500"/>
    <cellStyle name="Input cel new 2 2 2 2 5 2 3" xfId="5912"/>
    <cellStyle name="Input cel new 2 2 2 2 5 2 4" xfId="3262"/>
    <cellStyle name="Input cel new 2 2 2 2 5 3" xfId="1369"/>
    <cellStyle name="Input cel new 2 2 2 2 5 3 2" xfId="4178"/>
    <cellStyle name="Input cel new 2 2 2 2 5 3 3" xfId="5590"/>
    <cellStyle name="Input cel new 2 2 2 2 5 3 4" xfId="2973"/>
    <cellStyle name="Input cel new 2 2 2 2 5 4" xfId="2422"/>
    <cellStyle name="Input cel new 2 2 2 2 5 5" xfId="3578"/>
    <cellStyle name="Input cel new 2 2 2 2 5 6" xfId="5003"/>
    <cellStyle name="Input cel new 2 2 2 2 5 7" xfId="2126"/>
    <cellStyle name="Input cel new 2 2 2 2 6" xfId="1195"/>
    <cellStyle name="Input cel new 2 2 2 2 6 2" xfId="2803"/>
    <cellStyle name="Input cel new 2 2 2 2 6 3" xfId="4003"/>
    <cellStyle name="Input cel new 2 2 2 2 6 4" xfId="5417"/>
    <cellStyle name="Input cel new 2 2 2 2 6 5" xfId="1966"/>
    <cellStyle name="Input cel new 2 2 2 2 7" xfId="904"/>
    <cellStyle name="Input cel new 2 2 2 2 7 2" xfId="3705"/>
    <cellStyle name="Input cel new 2 2 2 2 7 3" xfId="5128"/>
    <cellStyle name="Input cel new 2 2 2 2 7 4" xfId="2541"/>
    <cellStyle name="Input cel new 2 2 2 2 8" xfId="352"/>
    <cellStyle name="Input cel new 2 2 2 2 8 2" xfId="4598"/>
    <cellStyle name="Input cel new 2 2 2 2 8 3" xfId="2228"/>
    <cellStyle name="Input cel new 2 2 2 2 9" xfId="3381"/>
    <cellStyle name="Input cel new 2 2 2 3" xfId="454"/>
    <cellStyle name="Input cel new 2 2 2 3 10" xfId="3363"/>
    <cellStyle name="Input cel new 2 2 2 3 11" xfId="1858"/>
    <cellStyle name="Input cel new 2 2 2 3 12" xfId="4681"/>
    <cellStyle name="Input cel new 2 2 2 3 2" xfId="548"/>
    <cellStyle name="Input cel new 2 2 2 3 2 2" xfId="1245"/>
    <cellStyle name="Input cel new 2 2 2 3 2 2 2" xfId="1548"/>
    <cellStyle name="Input cel new 2 2 2 3 2 2 2 2" xfId="4357"/>
    <cellStyle name="Input cel new 2 2 2 3 2 2 2 3" xfId="5769"/>
    <cellStyle name="Input cel new 2 2 2 3 2 2 2 4" xfId="3126"/>
    <cellStyle name="Input cel new 2 2 2 3 2 2 3" xfId="2853"/>
    <cellStyle name="Input cel new 2 2 2 3 2 2 4" xfId="4053"/>
    <cellStyle name="Input cel new 2 2 2 3 2 2 5" xfId="5467"/>
    <cellStyle name="Input cel new 2 2 2 3 2 2 6" xfId="2016"/>
    <cellStyle name="Input cel new 2 2 2 3 2 3" xfId="1463"/>
    <cellStyle name="Input cel new 2 2 2 3 2 3 2" xfId="4272"/>
    <cellStyle name="Input cel new 2 2 2 3 2 3 3" xfId="5684"/>
    <cellStyle name="Input cel new 2 2 2 3 2 3 4" xfId="3062"/>
    <cellStyle name="Input cel new 2 2 2 3 2 4" xfId="1004"/>
    <cellStyle name="Input cel new 2 2 2 3 2 4 2" xfId="3807"/>
    <cellStyle name="Input cel new 2 2 2 3 2 4 3" xfId="5227"/>
    <cellStyle name="Input cel new 2 2 2 3 2 4 4" xfId="2633"/>
    <cellStyle name="Input cel new 2 2 2 3 2 5" xfId="635"/>
    <cellStyle name="Input cel new 2 2 2 3 2 5 2" xfId="4860"/>
    <cellStyle name="Input cel new 2 2 2 3 2 5 3" xfId="2282"/>
    <cellStyle name="Input cel new 2 2 2 3 2 6" xfId="3435"/>
    <cellStyle name="Input cel new 2 2 2 3 2 7" xfId="4773"/>
    <cellStyle name="Input cel new 2 2 2 3 3" xfId="684"/>
    <cellStyle name="Input cel new 2 2 2 3 3 2" xfId="1283"/>
    <cellStyle name="Input cel new 2 2 2 3 3 2 2" xfId="4092"/>
    <cellStyle name="Input cel new 2 2 2 3 3 2 3" xfId="5505"/>
    <cellStyle name="Input cel new 2 2 2 3 3 2 4" xfId="2890"/>
    <cellStyle name="Input cel new 2 2 2 3 3 3" xfId="1597"/>
    <cellStyle name="Input cel new 2 2 2 3 3 3 2" xfId="4406"/>
    <cellStyle name="Input cel new 2 2 2 3 3 3 3" xfId="5818"/>
    <cellStyle name="Input cel new 2 2 2 3 3 3 4" xfId="3173"/>
    <cellStyle name="Input cel new 2 2 2 3 3 4" xfId="1064"/>
    <cellStyle name="Input cel new 2 2 2 3 3 4 2" xfId="3867"/>
    <cellStyle name="Input cel new 2 2 2 3 3 4 3" xfId="5287"/>
    <cellStyle name="Input cel new 2 2 2 3 3 4 4" xfId="2691"/>
    <cellStyle name="Input cel new 2 2 2 3 3 5" xfId="2330"/>
    <cellStyle name="Input cel new 2 2 2 3 3 6" xfId="3484"/>
    <cellStyle name="Input cel new 2 2 2 3 3 7" xfId="4909"/>
    <cellStyle name="Input cel new 2 2 2 3 3 8" xfId="2050"/>
    <cellStyle name="Input cel new 2 2 2 3 4" xfId="748"/>
    <cellStyle name="Input cel new 2 2 2 3 4 2" xfId="1661"/>
    <cellStyle name="Input cel new 2 2 2 3 4 2 2" xfId="4470"/>
    <cellStyle name="Input cel new 2 2 2 3 4 2 3" xfId="5882"/>
    <cellStyle name="Input cel new 2 2 2 3 4 2 4" xfId="3233"/>
    <cellStyle name="Input cel new 2 2 2 3 4 3" xfId="1344"/>
    <cellStyle name="Input cel new 2 2 2 3 4 3 2" xfId="4153"/>
    <cellStyle name="Input cel new 2 2 2 3 4 3 3" xfId="5566"/>
    <cellStyle name="Input cel new 2 2 2 3 4 3 4" xfId="2949"/>
    <cellStyle name="Input cel new 2 2 2 3 4 4" xfId="2392"/>
    <cellStyle name="Input cel new 2 2 2 3 4 5" xfId="3548"/>
    <cellStyle name="Input cel new 2 2 2 3 4 6" xfId="4973"/>
    <cellStyle name="Input cel new 2 2 2 3 4 7" xfId="2097"/>
    <cellStyle name="Input cel new 2 2 2 3 5" xfId="809"/>
    <cellStyle name="Input cel new 2 2 2 3 5 2" xfId="1722"/>
    <cellStyle name="Input cel new 2 2 2 3 5 2 2" xfId="4531"/>
    <cellStyle name="Input cel new 2 2 2 3 5 2 3" xfId="5943"/>
    <cellStyle name="Input cel new 2 2 2 3 5 2 4" xfId="3292"/>
    <cellStyle name="Input cel new 2 2 2 3 5 3" xfId="1400"/>
    <cellStyle name="Input cel new 2 2 2 3 5 3 2" xfId="4209"/>
    <cellStyle name="Input cel new 2 2 2 3 5 3 3" xfId="5621"/>
    <cellStyle name="Input cel new 2 2 2 3 5 3 4" xfId="3003"/>
    <cellStyle name="Input cel new 2 2 2 3 5 4" xfId="2453"/>
    <cellStyle name="Input cel new 2 2 2 3 5 5" xfId="3609"/>
    <cellStyle name="Input cel new 2 2 2 3 5 6" xfId="5034"/>
    <cellStyle name="Input cel new 2 2 2 3 5 7" xfId="2156"/>
    <cellStyle name="Input cel new 2 2 2 3 6" xfId="1177"/>
    <cellStyle name="Input cel new 2 2 2 3 6 2" xfId="2786"/>
    <cellStyle name="Input cel new 2 2 2 3 6 3" xfId="3985"/>
    <cellStyle name="Input cel new 2 2 2 3 6 4" xfId="5399"/>
    <cellStyle name="Input cel new 2 2 2 3 6 5" xfId="1948"/>
    <cellStyle name="Input cel new 2 2 2 3 7" xfId="1023"/>
    <cellStyle name="Input cel new 2 2 2 3 7 2" xfId="3826"/>
    <cellStyle name="Input cel new 2 2 2 3 7 3" xfId="5246"/>
    <cellStyle name="Input cel new 2 2 2 3 7 4" xfId="2652"/>
    <cellStyle name="Input cel new 2 2 2 3 8" xfId="833"/>
    <cellStyle name="Input cel new 2 2 2 3 8 2" xfId="3633"/>
    <cellStyle name="Input cel new 2 2 2 3 8 3" xfId="5058"/>
    <cellStyle name="Input cel new 2 2 2 3 8 4" xfId="2476"/>
    <cellStyle name="Input cel new 2 2 2 3 9" xfId="363"/>
    <cellStyle name="Input cel new 2 2 2 3 9 2" xfId="4609"/>
    <cellStyle name="Input cel new 2 2 2 3 9 3" xfId="2210"/>
    <cellStyle name="Input cel new 2 2 2 4" xfId="388"/>
    <cellStyle name="Input cel new 2 2 2 4 2" xfId="483"/>
    <cellStyle name="Input cel new 2 2 2 4 2 2" xfId="1105"/>
    <cellStyle name="Input cel new 2 2 2 4 2 2 2" xfId="5328"/>
    <cellStyle name="Input cel new 2 2 2 4 2 2 3" xfId="3911"/>
    <cellStyle name="Input cel new 2 2 2 4 2 3" xfId="4708"/>
    <cellStyle name="Input cel new 2 2 2 4 3" xfId="1403"/>
    <cellStyle name="Input cel new 2 2 2 4 3 2" xfId="4212"/>
    <cellStyle name="Input cel new 2 2 2 4 3 3" xfId="5624"/>
    <cellStyle name="Input cel new 2 2 2 4 3 4" xfId="3006"/>
    <cellStyle name="Input cel new 2 2 2 4 4" xfId="315"/>
    <cellStyle name="Input cel new 2 2 2 4 4 2" xfId="4561"/>
    <cellStyle name="Input cel new 2 2 2 4 4 3" xfId="2161"/>
    <cellStyle name="Input cel new 2 2 2 4 5" xfId="3315"/>
    <cellStyle name="Input cel new 2 2 2 4 6" xfId="1883"/>
    <cellStyle name="Input cel new 2 2 2 5" xfId="470"/>
    <cellStyle name="Input cel new 2 2 2 5 2" xfId="1294"/>
    <cellStyle name="Input cel new 2 2 2 5 2 2" xfId="1611"/>
    <cellStyle name="Input cel new 2 2 2 5 2 2 2" xfId="4420"/>
    <cellStyle name="Input cel new 2 2 2 5 2 2 3" xfId="5832"/>
    <cellStyle name="Input cel new 2 2 2 5 2 2 4" xfId="3186"/>
    <cellStyle name="Input cel new 2 2 2 5 2 3" xfId="4103"/>
    <cellStyle name="Input cel new 2 2 2 5 2 4" xfId="5516"/>
    <cellStyle name="Input cel new 2 2 2 5 2 5" xfId="2901"/>
    <cellStyle name="Input cel new 2 2 2 5 3" xfId="1051"/>
    <cellStyle name="Input cel new 2 2 2 5 3 2" xfId="3854"/>
    <cellStyle name="Input cel new 2 2 2 5 3 3" xfId="5274"/>
    <cellStyle name="Input cel new 2 2 2 5 3 4" xfId="2678"/>
    <cellStyle name="Input cel new 2 2 2 5 4" xfId="940"/>
    <cellStyle name="Input cel new 2 2 2 5 4 2" xfId="3742"/>
    <cellStyle name="Input cel new 2 2 2 5 4 3" xfId="5163"/>
    <cellStyle name="Input cel new 2 2 2 5 4 4" xfId="2574"/>
    <cellStyle name="Input cel new 2 2 2 5 5" xfId="698"/>
    <cellStyle name="Input cel new 2 2 2 5 5 2" xfId="4923"/>
    <cellStyle name="Input cel new 2 2 2 5 5 3" xfId="2343"/>
    <cellStyle name="Input cel new 2 2 2 5 6" xfId="3498"/>
    <cellStyle name="Input cel new 2 2 2 5 7" xfId="4695"/>
    <cellStyle name="Input cel new 2 2 2 6" xfId="761"/>
    <cellStyle name="Input cel new 2 2 2 6 2" xfId="1674"/>
    <cellStyle name="Input cel new 2 2 2 6 2 2" xfId="4483"/>
    <cellStyle name="Input cel new 2 2 2 6 2 3" xfId="5895"/>
    <cellStyle name="Input cel new 2 2 2 6 2 4" xfId="3245"/>
    <cellStyle name="Input cel new 2 2 2 6 3" xfId="976"/>
    <cellStyle name="Input cel new 2 2 2 6 3 2" xfId="3779"/>
    <cellStyle name="Input cel new 2 2 2 6 3 3" xfId="5199"/>
    <cellStyle name="Input cel new 2 2 2 6 3 4" xfId="2609"/>
    <cellStyle name="Input cel new 2 2 2 6 4" xfId="2405"/>
    <cellStyle name="Input cel new 2 2 2 6 5" xfId="3561"/>
    <cellStyle name="Input cel new 2 2 2 6 6" xfId="4986"/>
    <cellStyle name="Input cel new 2 2 2 6 7" xfId="2109"/>
    <cellStyle name="Input cel new 2 2 2 7" xfId="1150"/>
    <cellStyle name="Input cel new 2 2 2 7 2" xfId="1408"/>
    <cellStyle name="Input cel new 2 2 2 7 2 2" xfId="4217"/>
    <cellStyle name="Input cel new 2 2 2 7 2 3" xfId="5629"/>
    <cellStyle name="Input cel new 2 2 2 7 2 4" xfId="3010"/>
    <cellStyle name="Input cel new 2 2 2 7 3" xfId="2770"/>
    <cellStyle name="Input cel new 2 2 2 7 4" xfId="3958"/>
    <cellStyle name="Input cel new 2 2 2 7 5" xfId="5372"/>
    <cellStyle name="Input cel new 2 2 2 7 6" xfId="1915"/>
    <cellStyle name="Input cel new 2 2 2 8" xfId="576"/>
    <cellStyle name="Input cel new 2 2 2 8 2" xfId="4801"/>
    <cellStyle name="Input cel new 2 2 2 8 3" xfId="1890"/>
    <cellStyle name="Input cel new 2 2 2 9" xfId="1894"/>
    <cellStyle name="Input cel new 2 2 3" xfId="232"/>
    <cellStyle name="Input cel new 2 2 3 2" xfId="434"/>
    <cellStyle name="Input cel new 2 2 3 2 10" xfId="1909"/>
    <cellStyle name="Input cel new 2 2 3 2 11" xfId="4665"/>
    <cellStyle name="Input cel new 2 2 3 2 2" xfId="529"/>
    <cellStyle name="Input cel new 2 2 3 2 2 2" xfId="1266"/>
    <cellStyle name="Input cel new 2 2 3 2 2 2 2" xfId="1580"/>
    <cellStyle name="Input cel new 2 2 3 2 2 2 2 2" xfId="4389"/>
    <cellStyle name="Input cel new 2 2 3 2 2 2 2 3" xfId="5801"/>
    <cellStyle name="Input cel new 2 2 3 2 2 2 2 4" xfId="3157"/>
    <cellStyle name="Input cel new 2 2 3 2 2 2 3" xfId="4075"/>
    <cellStyle name="Input cel new 2 2 3 2 2 2 4" xfId="5488"/>
    <cellStyle name="Input cel new 2 2 3 2 2 2 5" xfId="2873"/>
    <cellStyle name="Input cel new 2 2 3 2 2 3" xfId="1446"/>
    <cellStyle name="Input cel new 2 2 3 2 2 3 2" xfId="4255"/>
    <cellStyle name="Input cel new 2 2 3 2 2 3 3" xfId="5667"/>
    <cellStyle name="Input cel new 2 2 3 2 2 3 4" xfId="3046"/>
    <cellStyle name="Input cel new 2 2 3 2 2 4" xfId="1046"/>
    <cellStyle name="Input cel new 2 2 3 2 2 4 2" xfId="3849"/>
    <cellStyle name="Input cel new 2 2 3 2 2 4 3" xfId="5269"/>
    <cellStyle name="Input cel new 2 2 3 2 2 4 4" xfId="2673"/>
    <cellStyle name="Input cel new 2 2 3 2 2 5" xfId="667"/>
    <cellStyle name="Input cel new 2 2 3 2 2 5 2" xfId="4892"/>
    <cellStyle name="Input cel new 2 2 3 2 2 5 3" xfId="2314"/>
    <cellStyle name="Input cel new 2 2 3 2 2 6" xfId="3467"/>
    <cellStyle name="Input cel new 2 2 3 2 2 7" xfId="4754"/>
    <cellStyle name="Input cel new 2 2 3 2 3" xfId="731"/>
    <cellStyle name="Input cel new 2 2 3 2 3 2" xfId="1644"/>
    <cellStyle name="Input cel new 2 2 3 2 3 2 2" xfId="4453"/>
    <cellStyle name="Input cel new 2 2 3 2 3 2 3" xfId="5865"/>
    <cellStyle name="Input cel new 2 2 3 2 3 2 4" xfId="3217"/>
    <cellStyle name="Input cel new 2 2 3 2 3 3" xfId="1327"/>
    <cellStyle name="Input cel new 2 2 3 2 3 3 2" xfId="4136"/>
    <cellStyle name="Input cel new 2 2 3 2 3 3 3" xfId="5549"/>
    <cellStyle name="Input cel new 2 2 3 2 3 3 4" xfId="2933"/>
    <cellStyle name="Input cel new 2 2 3 2 3 4" xfId="2375"/>
    <cellStyle name="Input cel new 2 2 3 2 3 5" xfId="3531"/>
    <cellStyle name="Input cel new 2 2 3 2 3 6" xfId="4956"/>
    <cellStyle name="Input cel new 2 2 3 2 3 7" xfId="2081"/>
    <cellStyle name="Input cel new 2 2 3 2 4" xfId="793"/>
    <cellStyle name="Input cel new 2 2 3 2 4 2" xfId="1706"/>
    <cellStyle name="Input cel new 2 2 3 2 4 2 2" xfId="4515"/>
    <cellStyle name="Input cel new 2 2 3 2 4 2 3" xfId="5927"/>
    <cellStyle name="Input cel new 2 2 3 2 4 2 4" xfId="3276"/>
    <cellStyle name="Input cel new 2 2 3 2 4 3" xfId="1384"/>
    <cellStyle name="Input cel new 2 2 3 2 4 3 2" xfId="4193"/>
    <cellStyle name="Input cel new 2 2 3 2 4 3 3" xfId="5605"/>
    <cellStyle name="Input cel new 2 2 3 2 4 3 4" xfId="2987"/>
    <cellStyle name="Input cel new 2 2 3 2 4 4" xfId="2437"/>
    <cellStyle name="Input cel new 2 2 3 2 4 5" xfId="3593"/>
    <cellStyle name="Input cel new 2 2 3 2 4 6" xfId="5018"/>
    <cellStyle name="Input cel new 2 2 3 2 4 7" xfId="2140"/>
    <cellStyle name="Input cel new 2 2 3 2 5" xfId="1229"/>
    <cellStyle name="Input cel new 2 2 3 2 5 2" xfId="1540"/>
    <cellStyle name="Input cel new 2 2 3 2 5 2 2" xfId="4349"/>
    <cellStyle name="Input cel new 2 2 3 2 5 2 3" xfId="5761"/>
    <cellStyle name="Input cel new 2 2 3 2 5 2 4" xfId="3118"/>
    <cellStyle name="Input cel new 2 2 3 2 5 3" xfId="2837"/>
    <cellStyle name="Input cel new 2 2 3 2 5 4" xfId="4037"/>
    <cellStyle name="Input cel new 2 2 3 2 5 5" xfId="5451"/>
    <cellStyle name="Input cel new 2 2 3 2 5 6" xfId="1999"/>
    <cellStyle name="Input cel new 2 2 3 2 6" xfId="1250"/>
    <cellStyle name="Input cel new 2 2 3 2 6 2" xfId="4058"/>
    <cellStyle name="Input cel new 2 2 3 2 6 3" xfId="5472"/>
    <cellStyle name="Input cel new 2 2 3 2 6 4" xfId="2858"/>
    <cellStyle name="Input cel new 2 2 3 2 7" xfId="883"/>
    <cellStyle name="Input cel new 2 2 3 2 7 2" xfId="3683"/>
    <cellStyle name="Input cel new 2 2 3 2 7 3" xfId="5107"/>
    <cellStyle name="Input cel new 2 2 3 2 7 4" xfId="2521"/>
    <cellStyle name="Input cel new 2 2 3 2 8" xfId="619"/>
    <cellStyle name="Input cel new 2 2 3 2 8 2" xfId="4844"/>
    <cellStyle name="Input cel new 2 2 3 2 8 3" xfId="2266"/>
    <cellStyle name="Input cel new 2 2 3 2 9" xfId="3419"/>
    <cellStyle name="Input cel new 2 2 3 3" xfId="387"/>
    <cellStyle name="Input cel new 2 2 3 3 2" xfId="482"/>
    <cellStyle name="Input cel new 2 2 3 3 2 2" xfId="1504"/>
    <cellStyle name="Input cel new 2 2 3 3 2 2 2" xfId="5725"/>
    <cellStyle name="Input cel new 2 2 3 3 2 2 3" xfId="4313"/>
    <cellStyle name="Input cel new 2 2 3 3 2 3" xfId="4707"/>
    <cellStyle name="Input cel new 2 2 3 3 3" xfId="1088"/>
    <cellStyle name="Input cel new 2 2 3 3 3 2" xfId="3891"/>
    <cellStyle name="Input cel new 2 2 3 3 3 3" xfId="5311"/>
    <cellStyle name="Input cel new 2 2 3 3 3 4" xfId="2712"/>
    <cellStyle name="Input cel new 2 2 3 3 4" xfId="312"/>
    <cellStyle name="Input cel new 2 2 3 3 4 2" xfId="4558"/>
    <cellStyle name="Input cel new 2 2 3 3 4 3" xfId="2198"/>
    <cellStyle name="Input cel new 2 2 3 3 5" xfId="3351"/>
    <cellStyle name="Input cel new 2 2 3 3 6" xfId="4631"/>
    <cellStyle name="Input cel new 2 2 3 4" xfId="354"/>
    <cellStyle name="Input cel new 2 2 3 4 2" xfId="1482"/>
    <cellStyle name="Input cel new 2 2 3 4 2 2" xfId="5703"/>
    <cellStyle name="Input cel new 2 2 3 4 2 3" xfId="4291"/>
    <cellStyle name="Input cel new 2 2 3 4 3" xfId="4600"/>
    <cellStyle name="Input cel new 2 2 3 4 4" xfId="3073"/>
    <cellStyle name="Input cel new 2 2 3 5" xfId="286"/>
    <cellStyle name="Input cel new 2 2 3 5 2" xfId="3948"/>
    <cellStyle name="Input cel new 2 2 3 5 3" xfId="1777"/>
    <cellStyle name="Input cel new 2 2 3 5 4" xfId="2761"/>
    <cellStyle name="Input cel new 2 2 3 6" xfId="2176"/>
    <cellStyle name="Input cel new 2 2 3 7" xfId="3330"/>
    <cellStyle name="Input cel new 2 2 3 8" xfId="1776"/>
    <cellStyle name="Input cel new 2 2 3 9" xfId="1749"/>
    <cellStyle name="Input cel new 2 2 4" xfId="815"/>
    <cellStyle name="Input cel new 2 2 4 2" xfId="3615"/>
    <cellStyle name="Input cel new 2 2 4 3" xfId="5040"/>
    <cellStyle name="Input cel new 2 2 4 4" xfId="2459"/>
    <cellStyle name="Input cel new 2 2 5" xfId="1758"/>
    <cellStyle name="Input cel new 2 2 6" xfId="1735"/>
    <cellStyle name="Input cel new 2 3" xfId="273"/>
    <cellStyle name="Input cel new 2 3 10" xfId="1790"/>
    <cellStyle name="Input cel new 2 3 2" xfId="409"/>
    <cellStyle name="Input cel new 2 3 2 10" xfId="1873"/>
    <cellStyle name="Input cel new 2 3 2 11" xfId="4645"/>
    <cellStyle name="Input cel new 2 3 2 2" xfId="504"/>
    <cellStyle name="Input cel new 2 3 2 2 2" xfId="1211"/>
    <cellStyle name="Input cel new 2 3 2 2 2 2" xfId="2819"/>
    <cellStyle name="Input cel new 2 3 2 2 2 3" xfId="4019"/>
    <cellStyle name="Input cel new 2 3 2 2 2 4" xfId="5433"/>
    <cellStyle name="Input cel new 2 3 2 2 2 5" xfId="1982"/>
    <cellStyle name="Input cel new 2 3 2 2 3" xfId="1130"/>
    <cellStyle name="Input cel new 2 3 2 2 3 2" xfId="3936"/>
    <cellStyle name="Input cel new 2 3 2 2 3 3" xfId="5352"/>
    <cellStyle name="Input cel new 2 3 2 2 3 4" xfId="2751"/>
    <cellStyle name="Input cel new 2 3 2 2 4" xfId="1421"/>
    <cellStyle name="Input cel new 2 3 2 2 4 2" xfId="4230"/>
    <cellStyle name="Input cel new 2 3 2 2 4 3" xfId="5642"/>
    <cellStyle name="Input cel new 2 3 2 2 4 4" xfId="3023"/>
    <cellStyle name="Input cel new 2 3 2 2 5" xfId="956"/>
    <cellStyle name="Input cel new 2 3 2 2 5 2" xfId="3759"/>
    <cellStyle name="Input cel new 2 3 2 2 5 3" xfId="5179"/>
    <cellStyle name="Input cel new 2 3 2 2 5 4" xfId="2591"/>
    <cellStyle name="Input cel new 2 3 2 2 6" xfId="601"/>
    <cellStyle name="Input cel new 2 3 2 2 6 2" xfId="4826"/>
    <cellStyle name="Input cel new 2 3 2 2 6 3" xfId="2248"/>
    <cellStyle name="Input cel new 2 3 2 2 7" xfId="3401"/>
    <cellStyle name="Input cel new 2 3 2 2 8" xfId="4729"/>
    <cellStyle name="Input cel new 2 3 2 3" xfId="649"/>
    <cellStyle name="Input cel new 2 3 2 3 2" xfId="1562"/>
    <cellStyle name="Input cel new 2 3 2 3 2 2" xfId="4371"/>
    <cellStyle name="Input cel new 2 3 2 3 2 3" xfId="5783"/>
    <cellStyle name="Input cel new 2 3 2 3 2 4" xfId="3140"/>
    <cellStyle name="Input cel new 2 3 2 3 3" xfId="1097"/>
    <cellStyle name="Input cel new 2 3 2 3 3 2" xfId="3902"/>
    <cellStyle name="Input cel new 2 3 2 3 3 3" xfId="5320"/>
    <cellStyle name="Input cel new 2 3 2 3 3 4" xfId="2722"/>
    <cellStyle name="Input cel new 2 3 2 3 4" xfId="1018"/>
    <cellStyle name="Input cel new 2 3 2 3 4 2" xfId="3821"/>
    <cellStyle name="Input cel new 2 3 2 3 4 3" xfId="5241"/>
    <cellStyle name="Input cel new 2 3 2 3 4 4" xfId="2647"/>
    <cellStyle name="Input cel new 2 3 2 3 5" xfId="2296"/>
    <cellStyle name="Input cel new 2 3 2 3 6" xfId="3449"/>
    <cellStyle name="Input cel new 2 3 2 3 7" xfId="4874"/>
    <cellStyle name="Input cel new 2 3 2 3 8" xfId="2030"/>
    <cellStyle name="Input cel new 2 3 2 4" xfId="713"/>
    <cellStyle name="Input cel new 2 3 2 4 2" xfId="1626"/>
    <cellStyle name="Input cel new 2 3 2 4 2 2" xfId="4435"/>
    <cellStyle name="Input cel new 2 3 2 4 2 3" xfId="5847"/>
    <cellStyle name="Input cel new 2 3 2 4 2 4" xfId="3200"/>
    <cellStyle name="Input cel new 2 3 2 4 3" xfId="1309"/>
    <cellStyle name="Input cel new 2 3 2 4 3 2" xfId="4118"/>
    <cellStyle name="Input cel new 2 3 2 4 3 3" xfId="5531"/>
    <cellStyle name="Input cel new 2 3 2 4 3 4" xfId="2916"/>
    <cellStyle name="Input cel new 2 3 2 4 4" xfId="2357"/>
    <cellStyle name="Input cel new 2 3 2 4 5" xfId="3513"/>
    <cellStyle name="Input cel new 2 3 2 4 6" xfId="4938"/>
    <cellStyle name="Input cel new 2 3 2 4 7" xfId="2064"/>
    <cellStyle name="Input cel new 2 3 2 5" xfId="775"/>
    <cellStyle name="Input cel new 2 3 2 5 2" xfId="1688"/>
    <cellStyle name="Input cel new 2 3 2 5 2 2" xfId="4497"/>
    <cellStyle name="Input cel new 2 3 2 5 2 3" xfId="5909"/>
    <cellStyle name="Input cel new 2 3 2 5 2 4" xfId="3259"/>
    <cellStyle name="Input cel new 2 3 2 5 3" xfId="1366"/>
    <cellStyle name="Input cel new 2 3 2 5 3 2" xfId="4175"/>
    <cellStyle name="Input cel new 2 3 2 5 3 3" xfId="5587"/>
    <cellStyle name="Input cel new 2 3 2 5 3 4" xfId="2970"/>
    <cellStyle name="Input cel new 2 3 2 5 4" xfId="2419"/>
    <cellStyle name="Input cel new 2 3 2 5 5" xfId="3575"/>
    <cellStyle name="Input cel new 2 3 2 5 6" xfId="5000"/>
    <cellStyle name="Input cel new 2 3 2 5 7" xfId="2123"/>
    <cellStyle name="Input cel new 2 3 2 6" xfId="1192"/>
    <cellStyle name="Input cel new 2 3 2 6 2" xfId="2800"/>
    <cellStyle name="Input cel new 2 3 2 6 3" xfId="4000"/>
    <cellStyle name="Input cel new 2 3 2 6 4" xfId="5414"/>
    <cellStyle name="Input cel new 2 3 2 6 5" xfId="1963"/>
    <cellStyle name="Input cel new 2 3 2 7" xfId="844"/>
    <cellStyle name="Input cel new 2 3 2 7 2" xfId="3644"/>
    <cellStyle name="Input cel new 2 3 2 7 3" xfId="5069"/>
    <cellStyle name="Input cel new 2 3 2 7 4" xfId="2486"/>
    <cellStyle name="Input cel new 2 3 2 8" xfId="356"/>
    <cellStyle name="Input cel new 2 3 2 8 2" xfId="4602"/>
    <cellStyle name="Input cel new 2 3 2 8 3" xfId="2225"/>
    <cellStyle name="Input cel new 2 3 2 9" xfId="3378"/>
    <cellStyle name="Input cel new 2 3 3" xfId="451"/>
    <cellStyle name="Input cel new 2 3 3 10" xfId="3360"/>
    <cellStyle name="Input cel new 2 3 3 11" xfId="1855"/>
    <cellStyle name="Input cel new 2 3 3 12" xfId="4678"/>
    <cellStyle name="Input cel new 2 3 3 2" xfId="545"/>
    <cellStyle name="Input cel new 2 3 3 2 2" xfId="1242"/>
    <cellStyle name="Input cel new 2 3 3 2 2 2" xfId="1545"/>
    <cellStyle name="Input cel new 2 3 3 2 2 2 2" xfId="4354"/>
    <cellStyle name="Input cel new 2 3 3 2 2 2 3" xfId="5766"/>
    <cellStyle name="Input cel new 2 3 3 2 2 2 4" xfId="3123"/>
    <cellStyle name="Input cel new 2 3 3 2 2 3" xfId="2850"/>
    <cellStyle name="Input cel new 2 3 3 2 2 4" xfId="4050"/>
    <cellStyle name="Input cel new 2 3 3 2 2 5" xfId="5464"/>
    <cellStyle name="Input cel new 2 3 3 2 2 6" xfId="2013"/>
    <cellStyle name="Input cel new 2 3 3 2 3" xfId="1460"/>
    <cellStyle name="Input cel new 2 3 3 2 3 2" xfId="4269"/>
    <cellStyle name="Input cel new 2 3 3 2 3 3" xfId="5681"/>
    <cellStyle name="Input cel new 2 3 3 2 3 4" xfId="3059"/>
    <cellStyle name="Input cel new 2 3 3 2 4" xfId="1001"/>
    <cellStyle name="Input cel new 2 3 3 2 4 2" xfId="3804"/>
    <cellStyle name="Input cel new 2 3 3 2 4 3" xfId="5224"/>
    <cellStyle name="Input cel new 2 3 3 2 4 4" xfId="2630"/>
    <cellStyle name="Input cel new 2 3 3 2 5" xfId="632"/>
    <cellStyle name="Input cel new 2 3 3 2 5 2" xfId="4857"/>
    <cellStyle name="Input cel new 2 3 3 2 5 3" xfId="2279"/>
    <cellStyle name="Input cel new 2 3 3 2 6" xfId="3432"/>
    <cellStyle name="Input cel new 2 3 3 2 7" xfId="4770"/>
    <cellStyle name="Input cel new 2 3 3 3" xfId="681"/>
    <cellStyle name="Input cel new 2 3 3 3 2" xfId="1280"/>
    <cellStyle name="Input cel new 2 3 3 3 2 2" xfId="4089"/>
    <cellStyle name="Input cel new 2 3 3 3 2 3" xfId="5502"/>
    <cellStyle name="Input cel new 2 3 3 3 2 4" xfId="2887"/>
    <cellStyle name="Input cel new 2 3 3 3 3" xfId="1594"/>
    <cellStyle name="Input cel new 2 3 3 3 3 2" xfId="4403"/>
    <cellStyle name="Input cel new 2 3 3 3 3 3" xfId="5815"/>
    <cellStyle name="Input cel new 2 3 3 3 3 4" xfId="3170"/>
    <cellStyle name="Input cel new 2 3 3 3 4" xfId="1061"/>
    <cellStyle name="Input cel new 2 3 3 3 4 2" xfId="3864"/>
    <cellStyle name="Input cel new 2 3 3 3 4 3" xfId="5284"/>
    <cellStyle name="Input cel new 2 3 3 3 4 4" xfId="2688"/>
    <cellStyle name="Input cel new 2 3 3 3 5" xfId="2327"/>
    <cellStyle name="Input cel new 2 3 3 3 6" xfId="3481"/>
    <cellStyle name="Input cel new 2 3 3 3 7" xfId="4906"/>
    <cellStyle name="Input cel new 2 3 3 3 8" xfId="2047"/>
    <cellStyle name="Input cel new 2 3 3 4" xfId="745"/>
    <cellStyle name="Input cel new 2 3 3 4 2" xfId="1658"/>
    <cellStyle name="Input cel new 2 3 3 4 2 2" xfId="4467"/>
    <cellStyle name="Input cel new 2 3 3 4 2 3" xfId="5879"/>
    <cellStyle name="Input cel new 2 3 3 4 2 4" xfId="3230"/>
    <cellStyle name="Input cel new 2 3 3 4 3" xfId="1341"/>
    <cellStyle name="Input cel new 2 3 3 4 3 2" xfId="4150"/>
    <cellStyle name="Input cel new 2 3 3 4 3 3" xfId="5563"/>
    <cellStyle name="Input cel new 2 3 3 4 3 4" xfId="2946"/>
    <cellStyle name="Input cel new 2 3 3 4 4" xfId="2389"/>
    <cellStyle name="Input cel new 2 3 3 4 5" xfId="3545"/>
    <cellStyle name="Input cel new 2 3 3 4 6" xfId="4970"/>
    <cellStyle name="Input cel new 2 3 3 4 7" xfId="2094"/>
    <cellStyle name="Input cel new 2 3 3 5" xfId="806"/>
    <cellStyle name="Input cel new 2 3 3 5 2" xfId="1719"/>
    <cellStyle name="Input cel new 2 3 3 5 2 2" xfId="4528"/>
    <cellStyle name="Input cel new 2 3 3 5 2 3" xfId="5940"/>
    <cellStyle name="Input cel new 2 3 3 5 2 4" xfId="3289"/>
    <cellStyle name="Input cel new 2 3 3 5 3" xfId="1397"/>
    <cellStyle name="Input cel new 2 3 3 5 3 2" xfId="4206"/>
    <cellStyle name="Input cel new 2 3 3 5 3 3" xfId="5618"/>
    <cellStyle name="Input cel new 2 3 3 5 3 4" xfId="3000"/>
    <cellStyle name="Input cel new 2 3 3 5 4" xfId="2450"/>
    <cellStyle name="Input cel new 2 3 3 5 5" xfId="3606"/>
    <cellStyle name="Input cel new 2 3 3 5 6" xfId="5031"/>
    <cellStyle name="Input cel new 2 3 3 5 7" xfId="2153"/>
    <cellStyle name="Input cel new 2 3 3 6" xfId="1174"/>
    <cellStyle name="Input cel new 2 3 3 6 2" xfId="2783"/>
    <cellStyle name="Input cel new 2 3 3 6 3" xfId="3982"/>
    <cellStyle name="Input cel new 2 3 3 6 4" xfId="5396"/>
    <cellStyle name="Input cel new 2 3 3 6 5" xfId="1945"/>
    <cellStyle name="Input cel new 2 3 3 7" xfId="871"/>
    <cellStyle name="Input cel new 2 3 3 7 2" xfId="3671"/>
    <cellStyle name="Input cel new 2 3 3 7 3" xfId="5095"/>
    <cellStyle name="Input cel new 2 3 3 7 4" xfId="2512"/>
    <cellStyle name="Input cel new 2 3 3 8" xfId="830"/>
    <cellStyle name="Input cel new 2 3 3 8 2" xfId="3630"/>
    <cellStyle name="Input cel new 2 3 3 8 3" xfId="5055"/>
    <cellStyle name="Input cel new 2 3 3 8 4" xfId="2473"/>
    <cellStyle name="Input cel new 2 3 3 9" xfId="297"/>
    <cellStyle name="Input cel new 2 3 3 9 2" xfId="4543"/>
    <cellStyle name="Input cel new 2 3 3 9 3" xfId="2207"/>
    <cellStyle name="Input cel new 2 3 4" xfId="427"/>
    <cellStyle name="Input cel new 2 3 4 2" xfId="522"/>
    <cellStyle name="Input cel new 2 3 4 2 2" xfId="1085"/>
    <cellStyle name="Input cel new 2 3 4 2 2 2" xfId="5308"/>
    <cellStyle name="Input cel new 2 3 4 2 2 3" xfId="3888"/>
    <cellStyle name="Input cel new 2 3 4 2 3" xfId="4747"/>
    <cellStyle name="Input cel new 2 3 4 3" xfId="1031"/>
    <cellStyle name="Input cel new 2 3 4 3 2" xfId="3834"/>
    <cellStyle name="Input cel new 2 3 4 3 3" xfId="5254"/>
    <cellStyle name="Input cel new 2 3 4 3 4" xfId="2659"/>
    <cellStyle name="Input cel new 2 3 4 4" xfId="376"/>
    <cellStyle name="Input cel new 2 3 4 4 2" xfId="4622"/>
    <cellStyle name="Input cel new 2 3 4 4 3" xfId="1816"/>
    <cellStyle name="Input cel new 2 3 4 5" xfId="3296"/>
    <cellStyle name="Input cel new 2 3 4 6" xfId="1845"/>
    <cellStyle name="Input cel new 2 3 5" xfId="467"/>
    <cellStyle name="Input cel new 2 3 5 2" xfId="1291"/>
    <cellStyle name="Input cel new 2 3 5 2 2" xfId="1608"/>
    <cellStyle name="Input cel new 2 3 5 2 2 2" xfId="4417"/>
    <cellStyle name="Input cel new 2 3 5 2 2 3" xfId="5829"/>
    <cellStyle name="Input cel new 2 3 5 2 2 4" xfId="3183"/>
    <cellStyle name="Input cel new 2 3 5 2 3" xfId="4100"/>
    <cellStyle name="Input cel new 2 3 5 2 4" xfId="5513"/>
    <cellStyle name="Input cel new 2 3 5 2 5" xfId="2898"/>
    <cellStyle name="Input cel new 2 3 5 3" xfId="915"/>
    <cellStyle name="Input cel new 2 3 5 3 2" xfId="3717"/>
    <cellStyle name="Input cel new 2 3 5 3 3" xfId="5138"/>
    <cellStyle name="Input cel new 2 3 5 3 4" xfId="2553"/>
    <cellStyle name="Input cel new 2 3 5 4" xfId="937"/>
    <cellStyle name="Input cel new 2 3 5 4 2" xfId="3739"/>
    <cellStyle name="Input cel new 2 3 5 4 3" xfId="5160"/>
    <cellStyle name="Input cel new 2 3 5 4 4" xfId="2571"/>
    <cellStyle name="Input cel new 2 3 5 5" xfId="695"/>
    <cellStyle name="Input cel new 2 3 5 5 2" xfId="4920"/>
    <cellStyle name="Input cel new 2 3 5 5 3" xfId="2340"/>
    <cellStyle name="Input cel new 2 3 5 6" xfId="3495"/>
    <cellStyle name="Input cel new 2 3 5 7" xfId="4692"/>
    <cellStyle name="Input cel new 2 3 6" xfId="758"/>
    <cellStyle name="Input cel new 2 3 6 2" xfId="1671"/>
    <cellStyle name="Input cel new 2 3 6 2 2" xfId="4480"/>
    <cellStyle name="Input cel new 2 3 6 2 3" xfId="5892"/>
    <cellStyle name="Input cel new 2 3 6 2 4" xfId="3242"/>
    <cellStyle name="Input cel new 2 3 6 3" xfId="973"/>
    <cellStyle name="Input cel new 2 3 6 3 2" xfId="3776"/>
    <cellStyle name="Input cel new 2 3 6 3 3" xfId="5196"/>
    <cellStyle name="Input cel new 2 3 6 3 4" xfId="2606"/>
    <cellStyle name="Input cel new 2 3 6 4" xfId="2402"/>
    <cellStyle name="Input cel new 2 3 6 5" xfId="3558"/>
    <cellStyle name="Input cel new 2 3 6 6" xfId="4983"/>
    <cellStyle name="Input cel new 2 3 6 7" xfId="2106"/>
    <cellStyle name="Input cel new 2 3 7" xfId="1149"/>
    <cellStyle name="Input cel new 2 3 7 2" xfId="1092"/>
    <cellStyle name="Input cel new 2 3 7 2 2" xfId="3895"/>
    <cellStyle name="Input cel new 2 3 7 2 3" xfId="5315"/>
    <cellStyle name="Input cel new 2 3 7 2 4" xfId="2715"/>
    <cellStyle name="Input cel new 2 3 7 3" xfId="2769"/>
    <cellStyle name="Input cel new 2 3 7 4" xfId="3957"/>
    <cellStyle name="Input cel new 2 3 7 5" xfId="5371"/>
    <cellStyle name="Input cel new 2 3 7 6" xfId="1914"/>
    <cellStyle name="Input cel new 2 3 8" xfId="569"/>
    <cellStyle name="Input cel new 2 3 8 2" xfId="4794"/>
    <cellStyle name="Input cel new 2 3 8 3" xfId="1796"/>
    <cellStyle name="Input cel new 2 3 9" xfId="1841"/>
    <cellStyle name="Input cel new 2 4" xfId="211"/>
    <cellStyle name="Input cel new 2 4 2" xfId="423"/>
    <cellStyle name="Input cel new 2 4 2 10" xfId="1903"/>
    <cellStyle name="Input cel new 2 4 2 11" xfId="4656"/>
    <cellStyle name="Input cel new 2 4 2 2" xfId="518"/>
    <cellStyle name="Input cel new 2 4 2 2 2" xfId="1257"/>
    <cellStyle name="Input cel new 2 4 2 2 2 2" xfId="1571"/>
    <cellStyle name="Input cel new 2 4 2 2 2 2 2" xfId="4380"/>
    <cellStyle name="Input cel new 2 4 2 2 2 2 3" xfId="5792"/>
    <cellStyle name="Input cel new 2 4 2 2 2 2 4" xfId="3148"/>
    <cellStyle name="Input cel new 2 4 2 2 2 3" xfId="4066"/>
    <cellStyle name="Input cel new 2 4 2 2 2 4" xfId="5479"/>
    <cellStyle name="Input cel new 2 4 2 2 2 5" xfId="2864"/>
    <cellStyle name="Input cel new 2 4 2 2 3" xfId="1443"/>
    <cellStyle name="Input cel new 2 4 2 2 3 2" xfId="4252"/>
    <cellStyle name="Input cel new 2 4 2 2 3 3" xfId="5664"/>
    <cellStyle name="Input cel new 2 4 2 2 3 4" xfId="3043"/>
    <cellStyle name="Input cel new 2 4 2 2 4" xfId="1037"/>
    <cellStyle name="Input cel new 2 4 2 2 4 2" xfId="3840"/>
    <cellStyle name="Input cel new 2 4 2 2 4 3" xfId="5260"/>
    <cellStyle name="Input cel new 2 4 2 2 4 4" xfId="2664"/>
    <cellStyle name="Input cel new 2 4 2 2 5" xfId="658"/>
    <cellStyle name="Input cel new 2 4 2 2 5 2" xfId="4883"/>
    <cellStyle name="Input cel new 2 4 2 2 5 3" xfId="2305"/>
    <cellStyle name="Input cel new 2 4 2 2 6" xfId="3458"/>
    <cellStyle name="Input cel new 2 4 2 2 7" xfId="4743"/>
    <cellStyle name="Input cel new 2 4 2 3" xfId="722"/>
    <cellStyle name="Input cel new 2 4 2 3 2" xfId="1635"/>
    <cellStyle name="Input cel new 2 4 2 3 2 2" xfId="4444"/>
    <cellStyle name="Input cel new 2 4 2 3 2 3" xfId="5856"/>
    <cellStyle name="Input cel new 2 4 2 3 2 4" xfId="3208"/>
    <cellStyle name="Input cel new 2 4 2 3 3" xfId="1318"/>
    <cellStyle name="Input cel new 2 4 2 3 3 2" xfId="4127"/>
    <cellStyle name="Input cel new 2 4 2 3 3 3" xfId="5540"/>
    <cellStyle name="Input cel new 2 4 2 3 3 4" xfId="2924"/>
    <cellStyle name="Input cel new 2 4 2 3 4" xfId="2366"/>
    <cellStyle name="Input cel new 2 4 2 3 5" xfId="3522"/>
    <cellStyle name="Input cel new 2 4 2 3 6" xfId="4947"/>
    <cellStyle name="Input cel new 2 4 2 3 7" xfId="2072"/>
    <cellStyle name="Input cel new 2 4 2 4" xfId="784"/>
    <cellStyle name="Input cel new 2 4 2 4 2" xfId="1697"/>
    <cellStyle name="Input cel new 2 4 2 4 2 2" xfId="4506"/>
    <cellStyle name="Input cel new 2 4 2 4 2 3" xfId="5918"/>
    <cellStyle name="Input cel new 2 4 2 4 2 4" xfId="3267"/>
    <cellStyle name="Input cel new 2 4 2 4 3" xfId="1375"/>
    <cellStyle name="Input cel new 2 4 2 4 3 2" xfId="4184"/>
    <cellStyle name="Input cel new 2 4 2 4 3 3" xfId="5596"/>
    <cellStyle name="Input cel new 2 4 2 4 3 4" xfId="2978"/>
    <cellStyle name="Input cel new 2 4 2 4 4" xfId="2428"/>
    <cellStyle name="Input cel new 2 4 2 4 5" xfId="3584"/>
    <cellStyle name="Input cel new 2 4 2 4 6" xfId="5009"/>
    <cellStyle name="Input cel new 2 4 2 4 7" xfId="2131"/>
    <cellStyle name="Input cel new 2 4 2 5" xfId="1220"/>
    <cellStyle name="Input cel new 2 4 2 5 2" xfId="1534"/>
    <cellStyle name="Input cel new 2 4 2 5 2 2" xfId="4343"/>
    <cellStyle name="Input cel new 2 4 2 5 2 3" xfId="5755"/>
    <cellStyle name="Input cel new 2 4 2 5 2 4" xfId="3112"/>
    <cellStyle name="Input cel new 2 4 2 5 3" xfId="2828"/>
    <cellStyle name="Input cel new 2 4 2 5 4" xfId="4028"/>
    <cellStyle name="Input cel new 2 4 2 5 5" xfId="5442"/>
    <cellStyle name="Input cel new 2 4 2 5 6" xfId="1990"/>
    <cellStyle name="Input cel new 2 4 2 6" xfId="1113"/>
    <cellStyle name="Input cel new 2 4 2 6 2" xfId="3919"/>
    <cellStyle name="Input cel new 2 4 2 6 3" xfId="5336"/>
    <cellStyle name="Input cel new 2 4 2 6 4" xfId="2734"/>
    <cellStyle name="Input cel new 2 4 2 7" xfId="886"/>
    <cellStyle name="Input cel new 2 4 2 7 2" xfId="3686"/>
    <cellStyle name="Input cel new 2 4 2 7 3" xfId="5110"/>
    <cellStyle name="Input cel new 2 4 2 7 4" xfId="2524"/>
    <cellStyle name="Input cel new 2 4 2 8" xfId="610"/>
    <cellStyle name="Input cel new 2 4 2 8 2" xfId="4835"/>
    <cellStyle name="Input cel new 2 4 2 8 3" xfId="2257"/>
    <cellStyle name="Input cel new 2 4 2 9" xfId="3410"/>
    <cellStyle name="Input cel new 2 4 3" xfId="382"/>
    <cellStyle name="Input cel new 2 4 3 2" xfId="478"/>
    <cellStyle name="Input cel new 2 4 3 2 2" xfId="1503"/>
    <cellStyle name="Input cel new 2 4 3 2 2 2" xfId="5724"/>
    <cellStyle name="Input cel new 2 4 3 2 2 3" xfId="4312"/>
    <cellStyle name="Input cel new 2 4 3 2 3" xfId="4703"/>
    <cellStyle name="Input cel new 2 4 3 3" xfId="928"/>
    <cellStyle name="Input cel new 2 4 3 3 2" xfId="3730"/>
    <cellStyle name="Input cel new 2 4 3 3 3" xfId="5151"/>
    <cellStyle name="Input cel new 2 4 3 3 4" xfId="2564"/>
    <cellStyle name="Input cel new 2 4 3 4" xfId="305"/>
    <cellStyle name="Input cel new 2 4 3 4 2" xfId="4551"/>
    <cellStyle name="Input cel new 2 4 3 4 3" xfId="2197"/>
    <cellStyle name="Input cel new 2 4 3 5" xfId="3350"/>
    <cellStyle name="Input cel new 2 4 3 6" xfId="4627"/>
    <cellStyle name="Input cel new 2 4 4" xfId="338"/>
    <cellStyle name="Input cel new 2 4 4 2" xfId="1468"/>
    <cellStyle name="Input cel new 2 4 4 2 2" xfId="5689"/>
    <cellStyle name="Input cel new 2 4 4 2 3" xfId="4277"/>
    <cellStyle name="Input cel new 2 4 4 3" xfId="4584"/>
    <cellStyle name="Input cel new 2 4 4 4" xfId="3065"/>
    <cellStyle name="Input cel new 2 4 5" xfId="318"/>
    <cellStyle name="Input cel new 2 4 5 2" xfId="4162"/>
    <cellStyle name="Input cel new 2 4 5 3" xfId="4564"/>
    <cellStyle name="Input cel new 2 4 5 4" xfId="2957"/>
    <cellStyle name="Input cel new 2 4 6" xfId="1917"/>
    <cellStyle name="Input cel new 2 4 7" xfId="3299"/>
    <cellStyle name="Input cel new 2 4 8" xfId="1762"/>
    <cellStyle name="Input cel new 2 4 9" xfId="1745"/>
    <cellStyle name="Input cel new 2 5" xfId="497"/>
    <cellStyle name="Input cel new 2 5 2" xfId="3324"/>
    <cellStyle name="Input cel new 2 5 3" xfId="4722"/>
    <cellStyle name="Input cel new 2 5 4" xfId="2170"/>
    <cellStyle name="Input cel new 2 6" xfId="812"/>
    <cellStyle name="Input cel new 2 6 2" xfId="3612"/>
    <cellStyle name="Input cel new 2 6 3" xfId="5037"/>
    <cellStyle name="Input cel new 2 6 4" xfId="2456"/>
    <cellStyle name="Input cel new 2 7" xfId="1773"/>
    <cellStyle name="Input cel new 2 8" xfId="1731"/>
    <cellStyle name="Input cel new 3" xfId="25"/>
    <cellStyle name="Input cel new 3 2" xfId="169"/>
    <cellStyle name="Input cel new 3 2 2" xfId="277"/>
    <cellStyle name="Input cel new 3 2 2 10" xfId="1794"/>
    <cellStyle name="Input cel new 3 2 2 2" xfId="413"/>
    <cellStyle name="Input cel new 3 2 2 2 10" xfId="1877"/>
    <cellStyle name="Input cel new 3 2 2 2 11" xfId="4649"/>
    <cellStyle name="Input cel new 3 2 2 2 2" xfId="508"/>
    <cellStyle name="Input cel new 3 2 2 2 2 2" xfId="1215"/>
    <cellStyle name="Input cel new 3 2 2 2 2 2 2" xfId="2823"/>
    <cellStyle name="Input cel new 3 2 2 2 2 2 3" xfId="4023"/>
    <cellStyle name="Input cel new 3 2 2 2 2 2 4" xfId="5437"/>
    <cellStyle name="Input cel new 3 2 2 2 2 2 5" xfId="1986"/>
    <cellStyle name="Input cel new 3 2 2 2 2 3" xfId="1134"/>
    <cellStyle name="Input cel new 3 2 2 2 2 3 2" xfId="3940"/>
    <cellStyle name="Input cel new 3 2 2 2 2 3 3" xfId="5356"/>
    <cellStyle name="Input cel new 3 2 2 2 2 3 4" xfId="2755"/>
    <cellStyle name="Input cel new 3 2 2 2 2 4" xfId="1425"/>
    <cellStyle name="Input cel new 3 2 2 2 2 4 2" xfId="4234"/>
    <cellStyle name="Input cel new 3 2 2 2 2 4 3" xfId="5646"/>
    <cellStyle name="Input cel new 3 2 2 2 2 4 4" xfId="3027"/>
    <cellStyle name="Input cel new 3 2 2 2 2 5" xfId="960"/>
    <cellStyle name="Input cel new 3 2 2 2 2 5 2" xfId="3763"/>
    <cellStyle name="Input cel new 3 2 2 2 2 5 3" xfId="5183"/>
    <cellStyle name="Input cel new 3 2 2 2 2 5 4" xfId="2595"/>
    <cellStyle name="Input cel new 3 2 2 2 2 6" xfId="605"/>
    <cellStyle name="Input cel new 3 2 2 2 2 6 2" xfId="4830"/>
    <cellStyle name="Input cel new 3 2 2 2 2 6 3" xfId="2252"/>
    <cellStyle name="Input cel new 3 2 2 2 2 7" xfId="3405"/>
    <cellStyle name="Input cel new 3 2 2 2 2 8" xfId="4733"/>
    <cellStyle name="Input cel new 3 2 2 2 3" xfId="653"/>
    <cellStyle name="Input cel new 3 2 2 2 3 2" xfId="1566"/>
    <cellStyle name="Input cel new 3 2 2 2 3 2 2" xfId="4375"/>
    <cellStyle name="Input cel new 3 2 2 2 3 2 3" xfId="5787"/>
    <cellStyle name="Input cel new 3 2 2 2 3 2 4" xfId="3144"/>
    <cellStyle name="Input cel new 3 2 2 2 3 3" xfId="916"/>
    <cellStyle name="Input cel new 3 2 2 2 3 3 2" xfId="3718"/>
    <cellStyle name="Input cel new 3 2 2 2 3 3 3" xfId="5139"/>
    <cellStyle name="Input cel new 3 2 2 2 3 3 4" xfId="2554"/>
    <cellStyle name="Input cel new 3 2 2 2 3 4" xfId="1022"/>
    <cellStyle name="Input cel new 3 2 2 2 3 4 2" xfId="3825"/>
    <cellStyle name="Input cel new 3 2 2 2 3 4 3" xfId="5245"/>
    <cellStyle name="Input cel new 3 2 2 2 3 4 4" xfId="2651"/>
    <cellStyle name="Input cel new 3 2 2 2 3 5" xfId="2300"/>
    <cellStyle name="Input cel new 3 2 2 2 3 6" xfId="3453"/>
    <cellStyle name="Input cel new 3 2 2 2 3 7" xfId="4878"/>
    <cellStyle name="Input cel new 3 2 2 2 3 8" xfId="2034"/>
    <cellStyle name="Input cel new 3 2 2 2 4" xfId="717"/>
    <cellStyle name="Input cel new 3 2 2 2 4 2" xfId="1630"/>
    <cellStyle name="Input cel new 3 2 2 2 4 2 2" xfId="4439"/>
    <cellStyle name="Input cel new 3 2 2 2 4 2 3" xfId="5851"/>
    <cellStyle name="Input cel new 3 2 2 2 4 2 4" xfId="3204"/>
    <cellStyle name="Input cel new 3 2 2 2 4 3" xfId="1313"/>
    <cellStyle name="Input cel new 3 2 2 2 4 3 2" xfId="4122"/>
    <cellStyle name="Input cel new 3 2 2 2 4 3 3" xfId="5535"/>
    <cellStyle name="Input cel new 3 2 2 2 4 3 4" xfId="2920"/>
    <cellStyle name="Input cel new 3 2 2 2 4 4" xfId="2361"/>
    <cellStyle name="Input cel new 3 2 2 2 4 5" xfId="3517"/>
    <cellStyle name="Input cel new 3 2 2 2 4 6" xfId="4942"/>
    <cellStyle name="Input cel new 3 2 2 2 4 7" xfId="2068"/>
    <cellStyle name="Input cel new 3 2 2 2 5" xfId="779"/>
    <cellStyle name="Input cel new 3 2 2 2 5 2" xfId="1692"/>
    <cellStyle name="Input cel new 3 2 2 2 5 2 2" xfId="4501"/>
    <cellStyle name="Input cel new 3 2 2 2 5 2 3" xfId="5913"/>
    <cellStyle name="Input cel new 3 2 2 2 5 2 4" xfId="3263"/>
    <cellStyle name="Input cel new 3 2 2 2 5 3" xfId="1370"/>
    <cellStyle name="Input cel new 3 2 2 2 5 3 2" xfId="4179"/>
    <cellStyle name="Input cel new 3 2 2 2 5 3 3" xfId="5591"/>
    <cellStyle name="Input cel new 3 2 2 2 5 3 4" xfId="2974"/>
    <cellStyle name="Input cel new 3 2 2 2 5 4" xfId="2423"/>
    <cellStyle name="Input cel new 3 2 2 2 5 5" xfId="3579"/>
    <cellStyle name="Input cel new 3 2 2 2 5 6" xfId="5004"/>
    <cellStyle name="Input cel new 3 2 2 2 5 7" xfId="2127"/>
    <cellStyle name="Input cel new 3 2 2 2 6" xfId="1196"/>
    <cellStyle name="Input cel new 3 2 2 2 6 2" xfId="2804"/>
    <cellStyle name="Input cel new 3 2 2 2 6 3" xfId="4004"/>
    <cellStyle name="Input cel new 3 2 2 2 6 4" xfId="5418"/>
    <cellStyle name="Input cel new 3 2 2 2 6 5" xfId="1967"/>
    <cellStyle name="Input cel new 3 2 2 2 7" xfId="852"/>
    <cellStyle name="Input cel new 3 2 2 2 7 2" xfId="3652"/>
    <cellStyle name="Input cel new 3 2 2 2 7 3" xfId="5076"/>
    <cellStyle name="Input cel new 3 2 2 2 7 4" xfId="2494"/>
    <cellStyle name="Input cel new 3 2 2 2 8" xfId="306"/>
    <cellStyle name="Input cel new 3 2 2 2 8 2" xfId="4552"/>
    <cellStyle name="Input cel new 3 2 2 2 8 3" xfId="2229"/>
    <cellStyle name="Input cel new 3 2 2 2 9" xfId="3382"/>
    <cellStyle name="Input cel new 3 2 2 3" xfId="455"/>
    <cellStyle name="Input cel new 3 2 2 3 10" xfId="3364"/>
    <cellStyle name="Input cel new 3 2 2 3 11" xfId="1859"/>
    <cellStyle name="Input cel new 3 2 2 3 12" xfId="4682"/>
    <cellStyle name="Input cel new 3 2 2 3 2" xfId="549"/>
    <cellStyle name="Input cel new 3 2 2 3 2 2" xfId="1246"/>
    <cellStyle name="Input cel new 3 2 2 3 2 2 2" xfId="1549"/>
    <cellStyle name="Input cel new 3 2 2 3 2 2 2 2" xfId="4358"/>
    <cellStyle name="Input cel new 3 2 2 3 2 2 2 3" xfId="5770"/>
    <cellStyle name="Input cel new 3 2 2 3 2 2 2 4" xfId="3127"/>
    <cellStyle name="Input cel new 3 2 2 3 2 2 3" xfId="2854"/>
    <cellStyle name="Input cel new 3 2 2 3 2 2 4" xfId="4054"/>
    <cellStyle name="Input cel new 3 2 2 3 2 2 5" xfId="5468"/>
    <cellStyle name="Input cel new 3 2 2 3 2 2 6" xfId="2017"/>
    <cellStyle name="Input cel new 3 2 2 3 2 3" xfId="1464"/>
    <cellStyle name="Input cel new 3 2 2 3 2 3 2" xfId="4273"/>
    <cellStyle name="Input cel new 3 2 2 3 2 3 3" xfId="5685"/>
    <cellStyle name="Input cel new 3 2 2 3 2 3 4" xfId="3063"/>
    <cellStyle name="Input cel new 3 2 2 3 2 4" xfId="1005"/>
    <cellStyle name="Input cel new 3 2 2 3 2 4 2" xfId="3808"/>
    <cellStyle name="Input cel new 3 2 2 3 2 4 3" xfId="5228"/>
    <cellStyle name="Input cel new 3 2 2 3 2 4 4" xfId="2634"/>
    <cellStyle name="Input cel new 3 2 2 3 2 5" xfId="636"/>
    <cellStyle name="Input cel new 3 2 2 3 2 5 2" xfId="4861"/>
    <cellStyle name="Input cel new 3 2 2 3 2 5 3" xfId="2283"/>
    <cellStyle name="Input cel new 3 2 2 3 2 6" xfId="3436"/>
    <cellStyle name="Input cel new 3 2 2 3 2 7" xfId="4774"/>
    <cellStyle name="Input cel new 3 2 2 3 3" xfId="685"/>
    <cellStyle name="Input cel new 3 2 2 3 3 2" xfId="1284"/>
    <cellStyle name="Input cel new 3 2 2 3 3 2 2" xfId="4093"/>
    <cellStyle name="Input cel new 3 2 2 3 3 2 3" xfId="5506"/>
    <cellStyle name="Input cel new 3 2 2 3 3 2 4" xfId="2891"/>
    <cellStyle name="Input cel new 3 2 2 3 3 3" xfId="1598"/>
    <cellStyle name="Input cel new 3 2 2 3 3 3 2" xfId="4407"/>
    <cellStyle name="Input cel new 3 2 2 3 3 3 3" xfId="5819"/>
    <cellStyle name="Input cel new 3 2 2 3 3 3 4" xfId="3174"/>
    <cellStyle name="Input cel new 3 2 2 3 3 4" xfId="1065"/>
    <cellStyle name="Input cel new 3 2 2 3 3 4 2" xfId="3868"/>
    <cellStyle name="Input cel new 3 2 2 3 3 4 3" xfId="5288"/>
    <cellStyle name="Input cel new 3 2 2 3 3 4 4" xfId="2692"/>
    <cellStyle name="Input cel new 3 2 2 3 3 5" xfId="2331"/>
    <cellStyle name="Input cel new 3 2 2 3 3 6" xfId="3485"/>
    <cellStyle name="Input cel new 3 2 2 3 3 7" xfId="4910"/>
    <cellStyle name="Input cel new 3 2 2 3 3 8" xfId="2051"/>
    <cellStyle name="Input cel new 3 2 2 3 4" xfId="749"/>
    <cellStyle name="Input cel new 3 2 2 3 4 2" xfId="1662"/>
    <cellStyle name="Input cel new 3 2 2 3 4 2 2" xfId="4471"/>
    <cellStyle name="Input cel new 3 2 2 3 4 2 3" xfId="5883"/>
    <cellStyle name="Input cel new 3 2 2 3 4 2 4" xfId="3234"/>
    <cellStyle name="Input cel new 3 2 2 3 4 3" xfId="1345"/>
    <cellStyle name="Input cel new 3 2 2 3 4 3 2" xfId="4154"/>
    <cellStyle name="Input cel new 3 2 2 3 4 3 3" xfId="5567"/>
    <cellStyle name="Input cel new 3 2 2 3 4 3 4" xfId="2950"/>
    <cellStyle name="Input cel new 3 2 2 3 4 4" xfId="2393"/>
    <cellStyle name="Input cel new 3 2 2 3 4 5" xfId="3549"/>
    <cellStyle name="Input cel new 3 2 2 3 4 6" xfId="4974"/>
    <cellStyle name="Input cel new 3 2 2 3 4 7" xfId="2098"/>
    <cellStyle name="Input cel new 3 2 2 3 5" xfId="810"/>
    <cellStyle name="Input cel new 3 2 2 3 5 2" xfId="1723"/>
    <cellStyle name="Input cel new 3 2 2 3 5 2 2" xfId="4532"/>
    <cellStyle name="Input cel new 3 2 2 3 5 2 3" xfId="5944"/>
    <cellStyle name="Input cel new 3 2 2 3 5 2 4" xfId="3293"/>
    <cellStyle name="Input cel new 3 2 2 3 5 3" xfId="1401"/>
    <cellStyle name="Input cel new 3 2 2 3 5 3 2" xfId="4210"/>
    <cellStyle name="Input cel new 3 2 2 3 5 3 3" xfId="5622"/>
    <cellStyle name="Input cel new 3 2 2 3 5 3 4" xfId="3004"/>
    <cellStyle name="Input cel new 3 2 2 3 5 4" xfId="2454"/>
    <cellStyle name="Input cel new 3 2 2 3 5 5" xfId="3610"/>
    <cellStyle name="Input cel new 3 2 2 3 5 6" xfId="5035"/>
    <cellStyle name="Input cel new 3 2 2 3 5 7" xfId="2157"/>
    <cellStyle name="Input cel new 3 2 2 3 6" xfId="1178"/>
    <cellStyle name="Input cel new 3 2 2 3 6 2" xfId="2787"/>
    <cellStyle name="Input cel new 3 2 2 3 6 3" xfId="3986"/>
    <cellStyle name="Input cel new 3 2 2 3 6 4" xfId="5400"/>
    <cellStyle name="Input cel new 3 2 2 3 6 5" xfId="1949"/>
    <cellStyle name="Input cel new 3 2 2 3 7" xfId="1028"/>
    <cellStyle name="Input cel new 3 2 2 3 7 2" xfId="3831"/>
    <cellStyle name="Input cel new 3 2 2 3 7 3" xfId="5251"/>
    <cellStyle name="Input cel new 3 2 2 3 7 4" xfId="2656"/>
    <cellStyle name="Input cel new 3 2 2 3 8" xfId="834"/>
    <cellStyle name="Input cel new 3 2 2 3 8 2" xfId="3634"/>
    <cellStyle name="Input cel new 3 2 2 3 8 3" xfId="5059"/>
    <cellStyle name="Input cel new 3 2 2 3 8 4" xfId="2477"/>
    <cellStyle name="Input cel new 3 2 2 3 9" xfId="350"/>
    <cellStyle name="Input cel new 3 2 2 3 9 2" xfId="4596"/>
    <cellStyle name="Input cel new 3 2 2 3 9 3" xfId="2211"/>
    <cellStyle name="Input cel new 3 2 2 4" xfId="406"/>
    <cellStyle name="Input cel new 3 2 2 4 2" xfId="501"/>
    <cellStyle name="Input cel new 3 2 2 4 2 2" xfId="1101"/>
    <cellStyle name="Input cel new 3 2 2 4 2 2 2" xfId="5324"/>
    <cellStyle name="Input cel new 3 2 2 4 2 2 3" xfId="3907"/>
    <cellStyle name="Input cel new 3 2 2 4 2 3" xfId="4726"/>
    <cellStyle name="Input cel new 3 2 2 4 3" xfId="1404"/>
    <cellStyle name="Input cel new 3 2 2 4 3 2" xfId="4213"/>
    <cellStyle name="Input cel new 3 2 2 4 3 3" xfId="5625"/>
    <cellStyle name="Input cel new 3 2 2 4 3 4" xfId="3007"/>
    <cellStyle name="Input cel new 3 2 2 4 4" xfId="509"/>
    <cellStyle name="Input cel new 3 2 2 4 4 2" xfId="4734"/>
    <cellStyle name="Input cel new 3 2 2 4 4 3" xfId="2166"/>
    <cellStyle name="Input cel new 3 2 2 4 5" xfId="3320"/>
    <cellStyle name="Input cel new 3 2 2 4 6" xfId="1881"/>
    <cellStyle name="Input cel new 3 2 2 5" xfId="471"/>
    <cellStyle name="Input cel new 3 2 2 5 2" xfId="1295"/>
    <cellStyle name="Input cel new 3 2 2 5 2 2" xfId="1612"/>
    <cellStyle name="Input cel new 3 2 2 5 2 2 2" xfId="4421"/>
    <cellStyle name="Input cel new 3 2 2 5 2 2 3" xfId="5833"/>
    <cellStyle name="Input cel new 3 2 2 5 2 2 4" xfId="3187"/>
    <cellStyle name="Input cel new 3 2 2 5 2 3" xfId="4104"/>
    <cellStyle name="Input cel new 3 2 2 5 2 4" xfId="5517"/>
    <cellStyle name="Input cel new 3 2 2 5 2 5" xfId="2902"/>
    <cellStyle name="Input cel new 3 2 2 5 3" xfId="1416"/>
    <cellStyle name="Input cel new 3 2 2 5 3 2" xfId="4225"/>
    <cellStyle name="Input cel new 3 2 2 5 3 3" xfId="5637"/>
    <cellStyle name="Input cel new 3 2 2 5 3 4" xfId="3018"/>
    <cellStyle name="Input cel new 3 2 2 5 4" xfId="941"/>
    <cellStyle name="Input cel new 3 2 2 5 4 2" xfId="3743"/>
    <cellStyle name="Input cel new 3 2 2 5 4 3" xfId="5164"/>
    <cellStyle name="Input cel new 3 2 2 5 4 4" xfId="2575"/>
    <cellStyle name="Input cel new 3 2 2 5 5" xfId="699"/>
    <cellStyle name="Input cel new 3 2 2 5 5 2" xfId="4924"/>
    <cellStyle name="Input cel new 3 2 2 5 5 3" xfId="2344"/>
    <cellStyle name="Input cel new 3 2 2 5 6" xfId="3499"/>
    <cellStyle name="Input cel new 3 2 2 5 7" xfId="4696"/>
    <cellStyle name="Input cel new 3 2 2 6" xfId="762"/>
    <cellStyle name="Input cel new 3 2 2 6 2" xfId="1675"/>
    <cellStyle name="Input cel new 3 2 2 6 2 2" xfId="4484"/>
    <cellStyle name="Input cel new 3 2 2 6 2 3" xfId="5896"/>
    <cellStyle name="Input cel new 3 2 2 6 2 4" xfId="3246"/>
    <cellStyle name="Input cel new 3 2 2 6 3" xfId="977"/>
    <cellStyle name="Input cel new 3 2 2 6 3 2" xfId="3780"/>
    <cellStyle name="Input cel new 3 2 2 6 3 3" xfId="5200"/>
    <cellStyle name="Input cel new 3 2 2 6 3 4" xfId="2610"/>
    <cellStyle name="Input cel new 3 2 2 6 4" xfId="2406"/>
    <cellStyle name="Input cel new 3 2 2 6 5" xfId="3562"/>
    <cellStyle name="Input cel new 3 2 2 6 6" xfId="4987"/>
    <cellStyle name="Input cel new 3 2 2 6 7" xfId="2110"/>
    <cellStyle name="Input cel new 3 2 2 7" xfId="1136"/>
    <cellStyle name="Input cel new 3 2 2 7 2" xfId="1409"/>
    <cellStyle name="Input cel new 3 2 2 7 2 2" xfId="4218"/>
    <cellStyle name="Input cel new 3 2 2 7 2 3" xfId="5630"/>
    <cellStyle name="Input cel new 3 2 2 7 2 4" xfId="3011"/>
    <cellStyle name="Input cel new 3 2 2 7 3" xfId="2756"/>
    <cellStyle name="Input cel new 3 2 2 7 4" xfId="3942"/>
    <cellStyle name="Input cel new 3 2 2 7 5" xfId="5358"/>
    <cellStyle name="Input cel new 3 2 2 7 6" xfId="1897"/>
    <cellStyle name="Input cel new 3 2 2 8" xfId="581"/>
    <cellStyle name="Input cel new 3 2 2 8 2" xfId="4806"/>
    <cellStyle name="Input cel new 3 2 2 8 3" xfId="1810"/>
    <cellStyle name="Input cel new 3 2 2 9" xfId="1809"/>
    <cellStyle name="Input cel new 3 2 3" xfId="233"/>
    <cellStyle name="Input cel new 3 2 3 2" xfId="433"/>
    <cellStyle name="Input cel new 3 2 3 2 10" xfId="1908"/>
    <cellStyle name="Input cel new 3 2 3 2 11" xfId="4664"/>
    <cellStyle name="Input cel new 3 2 3 2 2" xfId="528"/>
    <cellStyle name="Input cel new 3 2 3 2 2 2" xfId="1265"/>
    <cellStyle name="Input cel new 3 2 3 2 2 2 2" xfId="1579"/>
    <cellStyle name="Input cel new 3 2 3 2 2 2 2 2" xfId="4388"/>
    <cellStyle name="Input cel new 3 2 3 2 2 2 2 3" xfId="5800"/>
    <cellStyle name="Input cel new 3 2 3 2 2 2 2 4" xfId="3156"/>
    <cellStyle name="Input cel new 3 2 3 2 2 2 3" xfId="4074"/>
    <cellStyle name="Input cel new 3 2 3 2 2 2 4" xfId="5487"/>
    <cellStyle name="Input cel new 3 2 3 2 2 2 5" xfId="2872"/>
    <cellStyle name="Input cel new 3 2 3 2 2 3" xfId="1405"/>
    <cellStyle name="Input cel new 3 2 3 2 2 3 2" xfId="4214"/>
    <cellStyle name="Input cel new 3 2 3 2 2 3 3" xfId="5626"/>
    <cellStyle name="Input cel new 3 2 3 2 2 3 4" xfId="3008"/>
    <cellStyle name="Input cel new 3 2 3 2 2 4" xfId="1045"/>
    <cellStyle name="Input cel new 3 2 3 2 2 4 2" xfId="3848"/>
    <cellStyle name="Input cel new 3 2 3 2 2 4 3" xfId="5268"/>
    <cellStyle name="Input cel new 3 2 3 2 2 4 4" xfId="2672"/>
    <cellStyle name="Input cel new 3 2 3 2 2 5" xfId="666"/>
    <cellStyle name="Input cel new 3 2 3 2 2 5 2" xfId="4891"/>
    <cellStyle name="Input cel new 3 2 3 2 2 5 3" xfId="2313"/>
    <cellStyle name="Input cel new 3 2 3 2 2 6" xfId="3466"/>
    <cellStyle name="Input cel new 3 2 3 2 2 7" xfId="4753"/>
    <cellStyle name="Input cel new 3 2 3 2 3" xfId="730"/>
    <cellStyle name="Input cel new 3 2 3 2 3 2" xfId="1643"/>
    <cellStyle name="Input cel new 3 2 3 2 3 2 2" xfId="4452"/>
    <cellStyle name="Input cel new 3 2 3 2 3 2 3" xfId="5864"/>
    <cellStyle name="Input cel new 3 2 3 2 3 2 4" xfId="3216"/>
    <cellStyle name="Input cel new 3 2 3 2 3 3" xfId="1326"/>
    <cellStyle name="Input cel new 3 2 3 2 3 3 2" xfId="4135"/>
    <cellStyle name="Input cel new 3 2 3 2 3 3 3" xfId="5548"/>
    <cellStyle name="Input cel new 3 2 3 2 3 3 4" xfId="2932"/>
    <cellStyle name="Input cel new 3 2 3 2 3 4" xfId="2374"/>
    <cellStyle name="Input cel new 3 2 3 2 3 5" xfId="3530"/>
    <cellStyle name="Input cel new 3 2 3 2 3 6" xfId="4955"/>
    <cellStyle name="Input cel new 3 2 3 2 3 7" xfId="2080"/>
    <cellStyle name="Input cel new 3 2 3 2 4" xfId="792"/>
    <cellStyle name="Input cel new 3 2 3 2 4 2" xfId="1705"/>
    <cellStyle name="Input cel new 3 2 3 2 4 2 2" xfId="4514"/>
    <cellStyle name="Input cel new 3 2 3 2 4 2 3" xfId="5926"/>
    <cellStyle name="Input cel new 3 2 3 2 4 2 4" xfId="3275"/>
    <cellStyle name="Input cel new 3 2 3 2 4 3" xfId="1383"/>
    <cellStyle name="Input cel new 3 2 3 2 4 3 2" xfId="4192"/>
    <cellStyle name="Input cel new 3 2 3 2 4 3 3" xfId="5604"/>
    <cellStyle name="Input cel new 3 2 3 2 4 3 4" xfId="2986"/>
    <cellStyle name="Input cel new 3 2 3 2 4 4" xfId="2436"/>
    <cellStyle name="Input cel new 3 2 3 2 4 5" xfId="3592"/>
    <cellStyle name="Input cel new 3 2 3 2 4 6" xfId="5017"/>
    <cellStyle name="Input cel new 3 2 3 2 4 7" xfId="2139"/>
    <cellStyle name="Input cel new 3 2 3 2 5" xfId="1228"/>
    <cellStyle name="Input cel new 3 2 3 2 5 2" xfId="1539"/>
    <cellStyle name="Input cel new 3 2 3 2 5 2 2" xfId="4348"/>
    <cellStyle name="Input cel new 3 2 3 2 5 2 3" xfId="5760"/>
    <cellStyle name="Input cel new 3 2 3 2 5 2 4" xfId="3117"/>
    <cellStyle name="Input cel new 3 2 3 2 5 3" xfId="2836"/>
    <cellStyle name="Input cel new 3 2 3 2 5 4" xfId="4036"/>
    <cellStyle name="Input cel new 3 2 3 2 5 5" xfId="5450"/>
    <cellStyle name="Input cel new 3 2 3 2 5 6" xfId="1998"/>
    <cellStyle name="Input cel new 3 2 3 2 6" xfId="1098"/>
    <cellStyle name="Input cel new 3 2 3 2 6 2" xfId="3903"/>
    <cellStyle name="Input cel new 3 2 3 2 6 3" xfId="5321"/>
    <cellStyle name="Input cel new 3 2 3 2 6 4" xfId="2723"/>
    <cellStyle name="Input cel new 3 2 3 2 7" xfId="884"/>
    <cellStyle name="Input cel new 3 2 3 2 7 2" xfId="3684"/>
    <cellStyle name="Input cel new 3 2 3 2 7 3" xfId="5108"/>
    <cellStyle name="Input cel new 3 2 3 2 7 4" xfId="2522"/>
    <cellStyle name="Input cel new 3 2 3 2 8" xfId="618"/>
    <cellStyle name="Input cel new 3 2 3 2 8 2" xfId="4843"/>
    <cellStyle name="Input cel new 3 2 3 2 8 3" xfId="2265"/>
    <cellStyle name="Input cel new 3 2 3 2 9" xfId="3418"/>
    <cellStyle name="Input cel new 3 2 3 3" xfId="407"/>
    <cellStyle name="Input cel new 3 2 3 3 2" xfId="502"/>
    <cellStyle name="Input cel new 3 2 3 3 2 2" xfId="1505"/>
    <cellStyle name="Input cel new 3 2 3 3 2 2 2" xfId="5726"/>
    <cellStyle name="Input cel new 3 2 3 3 2 2 3" xfId="4314"/>
    <cellStyle name="Input cel new 3 2 3 3 2 3" xfId="4727"/>
    <cellStyle name="Input cel new 3 2 3 3 3" xfId="1089"/>
    <cellStyle name="Input cel new 3 2 3 3 3 2" xfId="3892"/>
    <cellStyle name="Input cel new 3 2 3 3 3 3" xfId="5312"/>
    <cellStyle name="Input cel new 3 2 3 3 3 4" xfId="2713"/>
    <cellStyle name="Input cel new 3 2 3 3 4" xfId="290"/>
    <cellStyle name="Input cel new 3 2 3 3 4 2" xfId="4536"/>
    <cellStyle name="Input cel new 3 2 3 3 4 3" xfId="2199"/>
    <cellStyle name="Input cel new 3 2 3 3 5" xfId="3352"/>
    <cellStyle name="Input cel new 3 2 3 3 6" xfId="4644"/>
    <cellStyle name="Input cel new 3 2 3 4" xfId="355"/>
    <cellStyle name="Input cel new 3 2 3 4 2" xfId="1508"/>
    <cellStyle name="Input cel new 3 2 3 4 2 2" xfId="5729"/>
    <cellStyle name="Input cel new 3 2 3 4 2 3" xfId="4317"/>
    <cellStyle name="Input cel new 3 2 3 4 3" xfId="4601"/>
    <cellStyle name="Input cel new 3 2 3 4 4" xfId="3090"/>
    <cellStyle name="Input cel new 3 2 3 5" xfId="330"/>
    <cellStyle name="Input cel new 3 2 3 5 2" xfId="3712"/>
    <cellStyle name="Input cel new 3 2 3 5 3" xfId="4576"/>
    <cellStyle name="Input cel new 3 2 3 5 4" xfId="2548"/>
    <cellStyle name="Input cel new 3 2 3 6" xfId="2175"/>
    <cellStyle name="Input cel new 3 2 3 7" xfId="3329"/>
    <cellStyle name="Input cel new 3 2 3 8" xfId="1774"/>
    <cellStyle name="Input cel new 3 2 3 9" xfId="1750"/>
    <cellStyle name="Input cel new 3 2 4" xfId="816"/>
    <cellStyle name="Input cel new 3 2 4 2" xfId="3616"/>
    <cellStyle name="Input cel new 3 2 4 3" xfId="5041"/>
    <cellStyle name="Input cel new 3 2 4 4" xfId="2460"/>
    <cellStyle name="Input cel new 3 2 5" xfId="1780"/>
    <cellStyle name="Input cel new 3 2 6" xfId="1736"/>
    <cellStyle name="Input cel new 3 3" xfId="274"/>
    <cellStyle name="Input cel new 3 3 10" xfId="1791"/>
    <cellStyle name="Input cel new 3 3 2" xfId="410"/>
    <cellStyle name="Input cel new 3 3 2 10" xfId="1874"/>
    <cellStyle name="Input cel new 3 3 2 11" xfId="4646"/>
    <cellStyle name="Input cel new 3 3 2 2" xfId="505"/>
    <cellStyle name="Input cel new 3 3 2 2 2" xfId="1212"/>
    <cellStyle name="Input cel new 3 3 2 2 2 2" xfId="2820"/>
    <cellStyle name="Input cel new 3 3 2 2 2 3" xfId="4020"/>
    <cellStyle name="Input cel new 3 3 2 2 2 4" xfId="5434"/>
    <cellStyle name="Input cel new 3 3 2 2 2 5" xfId="1983"/>
    <cellStyle name="Input cel new 3 3 2 2 3" xfId="1131"/>
    <cellStyle name="Input cel new 3 3 2 2 3 2" xfId="3937"/>
    <cellStyle name="Input cel new 3 3 2 2 3 3" xfId="5353"/>
    <cellStyle name="Input cel new 3 3 2 2 3 4" xfId="2752"/>
    <cellStyle name="Input cel new 3 3 2 2 4" xfId="1422"/>
    <cellStyle name="Input cel new 3 3 2 2 4 2" xfId="4231"/>
    <cellStyle name="Input cel new 3 3 2 2 4 3" xfId="5643"/>
    <cellStyle name="Input cel new 3 3 2 2 4 4" xfId="3024"/>
    <cellStyle name="Input cel new 3 3 2 2 5" xfId="957"/>
    <cellStyle name="Input cel new 3 3 2 2 5 2" xfId="3760"/>
    <cellStyle name="Input cel new 3 3 2 2 5 3" xfId="5180"/>
    <cellStyle name="Input cel new 3 3 2 2 5 4" xfId="2592"/>
    <cellStyle name="Input cel new 3 3 2 2 6" xfId="602"/>
    <cellStyle name="Input cel new 3 3 2 2 6 2" xfId="4827"/>
    <cellStyle name="Input cel new 3 3 2 2 6 3" xfId="2249"/>
    <cellStyle name="Input cel new 3 3 2 2 7" xfId="3402"/>
    <cellStyle name="Input cel new 3 3 2 2 8" xfId="4730"/>
    <cellStyle name="Input cel new 3 3 2 3" xfId="650"/>
    <cellStyle name="Input cel new 3 3 2 3 2" xfId="1563"/>
    <cellStyle name="Input cel new 3 3 2 3 2 2" xfId="4372"/>
    <cellStyle name="Input cel new 3 3 2 3 2 3" xfId="5784"/>
    <cellStyle name="Input cel new 3 3 2 3 2 4" xfId="3141"/>
    <cellStyle name="Input cel new 3 3 2 3 3" xfId="1251"/>
    <cellStyle name="Input cel new 3 3 2 3 3 2" xfId="4059"/>
    <cellStyle name="Input cel new 3 3 2 3 3 3" xfId="5473"/>
    <cellStyle name="Input cel new 3 3 2 3 3 4" xfId="2859"/>
    <cellStyle name="Input cel new 3 3 2 3 4" xfId="1019"/>
    <cellStyle name="Input cel new 3 3 2 3 4 2" xfId="3822"/>
    <cellStyle name="Input cel new 3 3 2 3 4 3" xfId="5242"/>
    <cellStyle name="Input cel new 3 3 2 3 4 4" xfId="2648"/>
    <cellStyle name="Input cel new 3 3 2 3 5" xfId="2297"/>
    <cellStyle name="Input cel new 3 3 2 3 6" xfId="3450"/>
    <cellStyle name="Input cel new 3 3 2 3 7" xfId="4875"/>
    <cellStyle name="Input cel new 3 3 2 3 8" xfId="2031"/>
    <cellStyle name="Input cel new 3 3 2 4" xfId="714"/>
    <cellStyle name="Input cel new 3 3 2 4 2" xfId="1627"/>
    <cellStyle name="Input cel new 3 3 2 4 2 2" xfId="4436"/>
    <cellStyle name="Input cel new 3 3 2 4 2 3" xfId="5848"/>
    <cellStyle name="Input cel new 3 3 2 4 2 4" xfId="3201"/>
    <cellStyle name="Input cel new 3 3 2 4 3" xfId="1310"/>
    <cellStyle name="Input cel new 3 3 2 4 3 2" xfId="4119"/>
    <cellStyle name="Input cel new 3 3 2 4 3 3" xfId="5532"/>
    <cellStyle name="Input cel new 3 3 2 4 3 4" xfId="2917"/>
    <cellStyle name="Input cel new 3 3 2 4 4" xfId="2358"/>
    <cellStyle name="Input cel new 3 3 2 4 5" xfId="3514"/>
    <cellStyle name="Input cel new 3 3 2 4 6" xfId="4939"/>
    <cellStyle name="Input cel new 3 3 2 4 7" xfId="2065"/>
    <cellStyle name="Input cel new 3 3 2 5" xfId="776"/>
    <cellStyle name="Input cel new 3 3 2 5 2" xfId="1689"/>
    <cellStyle name="Input cel new 3 3 2 5 2 2" xfId="4498"/>
    <cellStyle name="Input cel new 3 3 2 5 2 3" xfId="5910"/>
    <cellStyle name="Input cel new 3 3 2 5 2 4" xfId="3260"/>
    <cellStyle name="Input cel new 3 3 2 5 3" xfId="1367"/>
    <cellStyle name="Input cel new 3 3 2 5 3 2" xfId="4176"/>
    <cellStyle name="Input cel new 3 3 2 5 3 3" xfId="5588"/>
    <cellStyle name="Input cel new 3 3 2 5 3 4" xfId="2971"/>
    <cellStyle name="Input cel new 3 3 2 5 4" xfId="2420"/>
    <cellStyle name="Input cel new 3 3 2 5 5" xfId="3576"/>
    <cellStyle name="Input cel new 3 3 2 5 6" xfId="5001"/>
    <cellStyle name="Input cel new 3 3 2 5 7" xfId="2124"/>
    <cellStyle name="Input cel new 3 3 2 6" xfId="1193"/>
    <cellStyle name="Input cel new 3 3 2 6 2" xfId="2801"/>
    <cellStyle name="Input cel new 3 3 2 6 3" xfId="4001"/>
    <cellStyle name="Input cel new 3 3 2 6 4" xfId="5415"/>
    <cellStyle name="Input cel new 3 3 2 6 5" xfId="1964"/>
    <cellStyle name="Input cel new 3 3 2 7" xfId="888"/>
    <cellStyle name="Input cel new 3 3 2 7 2" xfId="3688"/>
    <cellStyle name="Input cel new 3 3 2 7 3" xfId="5112"/>
    <cellStyle name="Input cel new 3 3 2 7 4" xfId="2526"/>
    <cellStyle name="Input cel new 3 3 2 8" xfId="344"/>
    <cellStyle name="Input cel new 3 3 2 8 2" xfId="4590"/>
    <cellStyle name="Input cel new 3 3 2 8 3" xfId="2226"/>
    <cellStyle name="Input cel new 3 3 2 9" xfId="3379"/>
    <cellStyle name="Input cel new 3 3 3" xfId="452"/>
    <cellStyle name="Input cel new 3 3 3 10" xfId="3361"/>
    <cellStyle name="Input cel new 3 3 3 11" xfId="1856"/>
    <cellStyle name="Input cel new 3 3 3 12" xfId="4679"/>
    <cellStyle name="Input cel new 3 3 3 2" xfId="546"/>
    <cellStyle name="Input cel new 3 3 3 2 2" xfId="1243"/>
    <cellStyle name="Input cel new 3 3 3 2 2 2" xfId="1546"/>
    <cellStyle name="Input cel new 3 3 3 2 2 2 2" xfId="4355"/>
    <cellStyle name="Input cel new 3 3 3 2 2 2 3" xfId="5767"/>
    <cellStyle name="Input cel new 3 3 3 2 2 2 4" xfId="3124"/>
    <cellStyle name="Input cel new 3 3 3 2 2 3" xfId="2851"/>
    <cellStyle name="Input cel new 3 3 3 2 2 4" xfId="4051"/>
    <cellStyle name="Input cel new 3 3 3 2 2 5" xfId="5465"/>
    <cellStyle name="Input cel new 3 3 3 2 2 6" xfId="2014"/>
    <cellStyle name="Input cel new 3 3 3 2 3" xfId="1461"/>
    <cellStyle name="Input cel new 3 3 3 2 3 2" xfId="4270"/>
    <cellStyle name="Input cel new 3 3 3 2 3 3" xfId="5682"/>
    <cellStyle name="Input cel new 3 3 3 2 3 4" xfId="3060"/>
    <cellStyle name="Input cel new 3 3 3 2 4" xfId="1002"/>
    <cellStyle name="Input cel new 3 3 3 2 4 2" xfId="3805"/>
    <cellStyle name="Input cel new 3 3 3 2 4 3" xfId="5225"/>
    <cellStyle name="Input cel new 3 3 3 2 4 4" xfId="2631"/>
    <cellStyle name="Input cel new 3 3 3 2 5" xfId="633"/>
    <cellStyle name="Input cel new 3 3 3 2 5 2" xfId="4858"/>
    <cellStyle name="Input cel new 3 3 3 2 5 3" xfId="2280"/>
    <cellStyle name="Input cel new 3 3 3 2 6" xfId="3433"/>
    <cellStyle name="Input cel new 3 3 3 2 7" xfId="4771"/>
    <cellStyle name="Input cel new 3 3 3 3" xfId="682"/>
    <cellStyle name="Input cel new 3 3 3 3 2" xfId="1281"/>
    <cellStyle name="Input cel new 3 3 3 3 2 2" xfId="4090"/>
    <cellStyle name="Input cel new 3 3 3 3 2 3" xfId="5503"/>
    <cellStyle name="Input cel new 3 3 3 3 2 4" xfId="2888"/>
    <cellStyle name="Input cel new 3 3 3 3 3" xfId="1595"/>
    <cellStyle name="Input cel new 3 3 3 3 3 2" xfId="4404"/>
    <cellStyle name="Input cel new 3 3 3 3 3 3" xfId="5816"/>
    <cellStyle name="Input cel new 3 3 3 3 3 4" xfId="3171"/>
    <cellStyle name="Input cel new 3 3 3 3 4" xfId="1062"/>
    <cellStyle name="Input cel new 3 3 3 3 4 2" xfId="3865"/>
    <cellStyle name="Input cel new 3 3 3 3 4 3" xfId="5285"/>
    <cellStyle name="Input cel new 3 3 3 3 4 4" xfId="2689"/>
    <cellStyle name="Input cel new 3 3 3 3 5" xfId="2328"/>
    <cellStyle name="Input cel new 3 3 3 3 6" xfId="3482"/>
    <cellStyle name="Input cel new 3 3 3 3 7" xfId="4907"/>
    <cellStyle name="Input cel new 3 3 3 3 8" xfId="2048"/>
    <cellStyle name="Input cel new 3 3 3 4" xfId="746"/>
    <cellStyle name="Input cel new 3 3 3 4 2" xfId="1659"/>
    <cellStyle name="Input cel new 3 3 3 4 2 2" xfId="4468"/>
    <cellStyle name="Input cel new 3 3 3 4 2 3" xfId="5880"/>
    <cellStyle name="Input cel new 3 3 3 4 2 4" xfId="3231"/>
    <cellStyle name="Input cel new 3 3 3 4 3" xfId="1342"/>
    <cellStyle name="Input cel new 3 3 3 4 3 2" xfId="4151"/>
    <cellStyle name="Input cel new 3 3 3 4 3 3" xfId="5564"/>
    <cellStyle name="Input cel new 3 3 3 4 3 4" xfId="2947"/>
    <cellStyle name="Input cel new 3 3 3 4 4" xfId="2390"/>
    <cellStyle name="Input cel new 3 3 3 4 5" xfId="3546"/>
    <cellStyle name="Input cel new 3 3 3 4 6" xfId="4971"/>
    <cellStyle name="Input cel new 3 3 3 4 7" xfId="2095"/>
    <cellStyle name="Input cel new 3 3 3 5" xfId="807"/>
    <cellStyle name="Input cel new 3 3 3 5 2" xfId="1720"/>
    <cellStyle name="Input cel new 3 3 3 5 2 2" xfId="4529"/>
    <cellStyle name="Input cel new 3 3 3 5 2 3" xfId="5941"/>
    <cellStyle name="Input cel new 3 3 3 5 2 4" xfId="3290"/>
    <cellStyle name="Input cel new 3 3 3 5 3" xfId="1398"/>
    <cellStyle name="Input cel new 3 3 3 5 3 2" xfId="4207"/>
    <cellStyle name="Input cel new 3 3 3 5 3 3" xfId="5619"/>
    <cellStyle name="Input cel new 3 3 3 5 3 4" xfId="3001"/>
    <cellStyle name="Input cel new 3 3 3 5 4" xfId="2451"/>
    <cellStyle name="Input cel new 3 3 3 5 5" xfId="3607"/>
    <cellStyle name="Input cel new 3 3 3 5 6" xfId="5032"/>
    <cellStyle name="Input cel new 3 3 3 5 7" xfId="2154"/>
    <cellStyle name="Input cel new 3 3 3 6" xfId="1175"/>
    <cellStyle name="Input cel new 3 3 3 6 2" xfId="2784"/>
    <cellStyle name="Input cel new 3 3 3 6 3" xfId="3983"/>
    <cellStyle name="Input cel new 3 3 3 6 4" xfId="5397"/>
    <cellStyle name="Input cel new 3 3 3 6 5" xfId="1946"/>
    <cellStyle name="Input cel new 3 3 3 7" xfId="887"/>
    <cellStyle name="Input cel new 3 3 3 7 2" xfId="3687"/>
    <cellStyle name="Input cel new 3 3 3 7 3" xfId="5111"/>
    <cellStyle name="Input cel new 3 3 3 7 4" xfId="2525"/>
    <cellStyle name="Input cel new 3 3 3 8" xfId="831"/>
    <cellStyle name="Input cel new 3 3 3 8 2" xfId="3631"/>
    <cellStyle name="Input cel new 3 3 3 8 3" xfId="5056"/>
    <cellStyle name="Input cel new 3 3 3 8 4" xfId="2474"/>
    <cellStyle name="Input cel new 3 3 3 9" xfId="370"/>
    <cellStyle name="Input cel new 3 3 3 9 2" xfId="4616"/>
    <cellStyle name="Input cel new 3 3 3 9 3" xfId="2208"/>
    <cellStyle name="Input cel new 3 3 4" xfId="377"/>
    <cellStyle name="Input cel new 3 3 4 2" xfId="473"/>
    <cellStyle name="Input cel new 3 3 4 2 2" xfId="1156"/>
    <cellStyle name="Input cel new 3 3 4 2 2 2" xfId="5378"/>
    <cellStyle name="Input cel new 3 3 4 2 2 3" xfId="3964"/>
    <cellStyle name="Input cel new 3 3 4 2 3" xfId="4698"/>
    <cellStyle name="Input cel new 3 3 4 3" xfId="847"/>
    <cellStyle name="Input cel new 3 3 4 3 2" xfId="3647"/>
    <cellStyle name="Input cel new 3 3 4 3 3" xfId="5072"/>
    <cellStyle name="Input cel new 3 3 4 3 4" xfId="2489"/>
    <cellStyle name="Input cel new 3 3 4 4" xfId="565"/>
    <cellStyle name="Input cel new 3 3 4 4 2" xfId="4790"/>
    <cellStyle name="Input cel new 3 3 4 4 3" xfId="2182"/>
    <cellStyle name="Input cel new 3 3 4 5" xfId="3336"/>
    <cellStyle name="Input cel new 3 3 4 6" xfId="1924"/>
    <cellStyle name="Input cel new 3 3 5" xfId="468"/>
    <cellStyle name="Input cel new 3 3 5 2" xfId="1292"/>
    <cellStyle name="Input cel new 3 3 5 2 2" xfId="1609"/>
    <cellStyle name="Input cel new 3 3 5 2 2 2" xfId="4418"/>
    <cellStyle name="Input cel new 3 3 5 2 2 3" xfId="5830"/>
    <cellStyle name="Input cel new 3 3 5 2 2 4" xfId="3184"/>
    <cellStyle name="Input cel new 3 3 5 2 3" xfId="4101"/>
    <cellStyle name="Input cel new 3 3 5 2 4" xfId="5514"/>
    <cellStyle name="Input cel new 3 3 5 2 5" xfId="2899"/>
    <cellStyle name="Input cel new 3 3 5 3" xfId="865"/>
    <cellStyle name="Input cel new 3 3 5 3 2" xfId="3665"/>
    <cellStyle name="Input cel new 3 3 5 3 3" xfId="5089"/>
    <cellStyle name="Input cel new 3 3 5 3 4" xfId="2506"/>
    <cellStyle name="Input cel new 3 3 5 4" xfId="938"/>
    <cellStyle name="Input cel new 3 3 5 4 2" xfId="3740"/>
    <cellStyle name="Input cel new 3 3 5 4 3" xfId="5161"/>
    <cellStyle name="Input cel new 3 3 5 4 4" xfId="2572"/>
    <cellStyle name="Input cel new 3 3 5 5" xfId="696"/>
    <cellStyle name="Input cel new 3 3 5 5 2" xfId="4921"/>
    <cellStyle name="Input cel new 3 3 5 5 3" xfId="2341"/>
    <cellStyle name="Input cel new 3 3 5 6" xfId="3496"/>
    <cellStyle name="Input cel new 3 3 5 7" xfId="4693"/>
    <cellStyle name="Input cel new 3 3 6" xfId="759"/>
    <cellStyle name="Input cel new 3 3 6 2" xfId="1672"/>
    <cellStyle name="Input cel new 3 3 6 2 2" xfId="4481"/>
    <cellStyle name="Input cel new 3 3 6 2 3" xfId="5893"/>
    <cellStyle name="Input cel new 3 3 6 2 4" xfId="3243"/>
    <cellStyle name="Input cel new 3 3 6 3" xfId="974"/>
    <cellStyle name="Input cel new 3 3 6 3 2" xfId="3777"/>
    <cellStyle name="Input cel new 3 3 6 3 3" xfId="5197"/>
    <cellStyle name="Input cel new 3 3 6 3 4" xfId="2607"/>
    <cellStyle name="Input cel new 3 3 6 4" xfId="2403"/>
    <cellStyle name="Input cel new 3 3 6 5" xfId="3559"/>
    <cellStyle name="Input cel new 3 3 6 6" xfId="4984"/>
    <cellStyle name="Input cel new 3 3 6 7" xfId="2107"/>
    <cellStyle name="Input cel new 3 3 7" xfId="1137"/>
    <cellStyle name="Input cel new 3 3 7 2" xfId="891"/>
    <cellStyle name="Input cel new 3 3 7 2 2" xfId="3691"/>
    <cellStyle name="Input cel new 3 3 7 2 3" xfId="5115"/>
    <cellStyle name="Input cel new 3 3 7 2 4" xfId="2529"/>
    <cellStyle name="Input cel new 3 3 7 3" xfId="2757"/>
    <cellStyle name="Input cel new 3 3 7 4" xfId="3943"/>
    <cellStyle name="Input cel new 3 3 7 5" xfId="5359"/>
    <cellStyle name="Input cel new 3 3 7 6" xfId="1898"/>
    <cellStyle name="Input cel new 3 3 8" xfId="573"/>
    <cellStyle name="Input cel new 3 3 8 2" xfId="4798"/>
    <cellStyle name="Input cel new 3 3 8 3" xfId="1827"/>
    <cellStyle name="Input cel new 3 3 9" xfId="1888"/>
    <cellStyle name="Input cel new 3 4" xfId="212"/>
    <cellStyle name="Input cel new 3 4 2" xfId="422"/>
    <cellStyle name="Input cel new 3 4 2 10" xfId="1902"/>
    <cellStyle name="Input cel new 3 4 2 11" xfId="4655"/>
    <cellStyle name="Input cel new 3 4 2 2" xfId="517"/>
    <cellStyle name="Input cel new 3 4 2 2 2" xfId="1256"/>
    <cellStyle name="Input cel new 3 4 2 2 2 2" xfId="1570"/>
    <cellStyle name="Input cel new 3 4 2 2 2 2 2" xfId="4379"/>
    <cellStyle name="Input cel new 3 4 2 2 2 2 3" xfId="5791"/>
    <cellStyle name="Input cel new 3 4 2 2 2 2 4" xfId="3147"/>
    <cellStyle name="Input cel new 3 4 2 2 2 3" xfId="4065"/>
    <cellStyle name="Input cel new 3 4 2 2 2 4" xfId="5478"/>
    <cellStyle name="Input cel new 3 4 2 2 2 5" xfId="2863"/>
    <cellStyle name="Input cel new 3 4 2 2 3" xfId="1247"/>
    <cellStyle name="Input cel new 3 4 2 2 3 2" xfId="4055"/>
    <cellStyle name="Input cel new 3 4 2 2 3 3" xfId="5469"/>
    <cellStyle name="Input cel new 3 4 2 2 3 4" xfId="2855"/>
    <cellStyle name="Input cel new 3 4 2 2 4" xfId="1036"/>
    <cellStyle name="Input cel new 3 4 2 2 4 2" xfId="3839"/>
    <cellStyle name="Input cel new 3 4 2 2 4 3" xfId="5259"/>
    <cellStyle name="Input cel new 3 4 2 2 4 4" xfId="2663"/>
    <cellStyle name="Input cel new 3 4 2 2 5" xfId="657"/>
    <cellStyle name="Input cel new 3 4 2 2 5 2" xfId="4882"/>
    <cellStyle name="Input cel new 3 4 2 2 5 3" xfId="2304"/>
    <cellStyle name="Input cel new 3 4 2 2 6" xfId="3457"/>
    <cellStyle name="Input cel new 3 4 2 2 7" xfId="4742"/>
    <cellStyle name="Input cel new 3 4 2 3" xfId="721"/>
    <cellStyle name="Input cel new 3 4 2 3 2" xfId="1634"/>
    <cellStyle name="Input cel new 3 4 2 3 2 2" xfId="4443"/>
    <cellStyle name="Input cel new 3 4 2 3 2 3" xfId="5855"/>
    <cellStyle name="Input cel new 3 4 2 3 2 4" xfId="3207"/>
    <cellStyle name="Input cel new 3 4 2 3 3" xfId="1317"/>
    <cellStyle name="Input cel new 3 4 2 3 3 2" xfId="4126"/>
    <cellStyle name="Input cel new 3 4 2 3 3 3" xfId="5539"/>
    <cellStyle name="Input cel new 3 4 2 3 3 4" xfId="2923"/>
    <cellStyle name="Input cel new 3 4 2 3 4" xfId="2365"/>
    <cellStyle name="Input cel new 3 4 2 3 5" xfId="3521"/>
    <cellStyle name="Input cel new 3 4 2 3 6" xfId="4946"/>
    <cellStyle name="Input cel new 3 4 2 3 7" xfId="2071"/>
    <cellStyle name="Input cel new 3 4 2 4" xfId="783"/>
    <cellStyle name="Input cel new 3 4 2 4 2" xfId="1696"/>
    <cellStyle name="Input cel new 3 4 2 4 2 2" xfId="4505"/>
    <cellStyle name="Input cel new 3 4 2 4 2 3" xfId="5917"/>
    <cellStyle name="Input cel new 3 4 2 4 2 4" xfId="3266"/>
    <cellStyle name="Input cel new 3 4 2 4 3" xfId="1374"/>
    <cellStyle name="Input cel new 3 4 2 4 3 2" xfId="4183"/>
    <cellStyle name="Input cel new 3 4 2 4 3 3" xfId="5595"/>
    <cellStyle name="Input cel new 3 4 2 4 3 4" xfId="2977"/>
    <cellStyle name="Input cel new 3 4 2 4 4" xfId="2427"/>
    <cellStyle name="Input cel new 3 4 2 4 5" xfId="3583"/>
    <cellStyle name="Input cel new 3 4 2 4 6" xfId="5008"/>
    <cellStyle name="Input cel new 3 4 2 4 7" xfId="2130"/>
    <cellStyle name="Input cel new 3 4 2 5" xfId="1219"/>
    <cellStyle name="Input cel new 3 4 2 5 2" xfId="1533"/>
    <cellStyle name="Input cel new 3 4 2 5 2 2" xfId="4342"/>
    <cellStyle name="Input cel new 3 4 2 5 2 3" xfId="5754"/>
    <cellStyle name="Input cel new 3 4 2 5 2 4" xfId="3111"/>
    <cellStyle name="Input cel new 3 4 2 5 3" xfId="2827"/>
    <cellStyle name="Input cel new 3 4 2 5 4" xfId="4027"/>
    <cellStyle name="Input cel new 3 4 2 5 5" xfId="5441"/>
    <cellStyle name="Input cel new 3 4 2 5 6" xfId="1989"/>
    <cellStyle name="Input cel new 3 4 2 6" xfId="892"/>
    <cellStyle name="Input cel new 3 4 2 6 2" xfId="3692"/>
    <cellStyle name="Input cel new 3 4 2 6 3" xfId="5116"/>
    <cellStyle name="Input cel new 3 4 2 6 4" xfId="2530"/>
    <cellStyle name="Input cel new 3 4 2 7" xfId="841"/>
    <cellStyle name="Input cel new 3 4 2 7 2" xfId="3641"/>
    <cellStyle name="Input cel new 3 4 2 7 3" xfId="5066"/>
    <cellStyle name="Input cel new 3 4 2 7 4" xfId="2483"/>
    <cellStyle name="Input cel new 3 4 2 8" xfId="609"/>
    <cellStyle name="Input cel new 3 4 2 8 2" xfId="4834"/>
    <cellStyle name="Input cel new 3 4 2 8 3" xfId="2256"/>
    <cellStyle name="Input cel new 3 4 2 9" xfId="3409"/>
    <cellStyle name="Input cel new 3 4 3" xfId="379"/>
    <cellStyle name="Input cel new 3 4 3 2" xfId="475"/>
    <cellStyle name="Input cel new 3 4 3 2 2" xfId="1487"/>
    <cellStyle name="Input cel new 3 4 3 2 2 2" xfId="5708"/>
    <cellStyle name="Input cel new 3 4 3 2 2 3" xfId="4296"/>
    <cellStyle name="Input cel new 3 4 3 2 3" xfId="4700"/>
    <cellStyle name="Input cel new 3 4 3 3" xfId="1075"/>
    <cellStyle name="Input cel new 3 4 3 3 2" xfId="3878"/>
    <cellStyle name="Input cel new 3 4 3 3 3" xfId="5298"/>
    <cellStyle name="Input cel new 3 4 3 3 4" xfId="2701"/>
    <cellStyle name="Input cel new 3 4 3 4" xfId="342"/>
    <cellStyle name="Input cel new 3 4 3 4 2" xfId="4588"/>
    <cellStyle name="Input cel new 3 4 3 4 3" xfId="2173"/>
    <cellStyle name="Input cel new 3 4 3 5" xfId="3327"/>
    <cellStyle name="Input cel new 3 4 3 6" xfId="4624"/>
    <cellStyle name="Input cel new 3 4 4" xfId="339"/>
    <cellStyle name="Input cel new 3 4 4 2" xfId="1492"/>
    <cellStyle name="Input cel new 3 4 4 2 2" xfId="5713"/>
    <cellStyle name="Input cel new 3 4 4 2 3" xfId="4301"/>
    <cellStyle name="Input cel new 3 4 4 3" xfId="4585"/>
    <cellStyle name="Input cel new 3 4 4 4" xfId="3080"/>
    <cellStyle name="Input cel new 3 4 5" xfId="322"/>
    <cellStyle name="Input cel new 3 4 5 2" xfId="3923"/>
    <cellStyle name="Input cel new 3 4 5 3" xfId="4568"/>
    <cellStyle name="Input cel new 3 4 5 4" xfId="2738"/>
    <cellStyle name="Input cel new 3 4 6" xfId="1813"/>
    <cellStyle name="Input cel new 3 4 7" xfId="3298"/>
    <cellStyle name="Input cel new 3 4 8" xfId="1755"/>
    <cellStyle name="Input cel new 3 4 9" xfId="1746"/>
    <cellStyle name="Input cel new 3 5" xfId="585"/>
    <cellStyle name="Input cel new 3 5 2" xfId="3385"/>
    <cellStyle name="Input cel new 3 5 3" xfId="4810"/>
    <cellStyle name="Input cel new 3 5 4" xfId="2232"/>
    <cellStyle name="Input cel new 3 6" xfId="813"/>
    <cellStyle name="Input cel new 3 6 2" xfId="3613"/>
    <cellStyle name="Input cel new 3 6 3" xfId="5038"/>
    <cellStyle name="Input cel new 3 6 4" xfId="2457"/>
    <cellStyle name="Input cel new 3 7" xfId="1769"/>
    <cellStyle name="Input cel new 3 8" xfId="1732"/>
    <cellStyle name="Input cel new 4" xfId="167"/>
    <cellStyle name="Input cel new 4 2" xfId="275"/>
    <cellStyle name="Input cel new 4 2 10" xfId="1792"/>
    <cellStyle name="Input cel new 4 2 2" xfId="411"/>
    <cellStyle name="Input cel new 4 2 2 10" xfId="1875"/>
    <cellStyle name="Input cel new 4 2 2 11" xfId="4647"/>
    <cellStyle name="Input cel new 4 2 2 2" xfId="506"/>
    <cellStyle name="Input cel new 4 2 2 2 2" xfId="1213"/>
    <cellStyle name="Input cel new 4 2 2 2 2 2" xfId="2821"/>
    <cellStyle name="Input cel new 4 2 2 2 2 3" xfId="4021"/>
    <cellStyle name="Input cel new 4 2 2 2 2 4" xfId="5435"/>
    <cellStyle name="Input cel new 4 2 2 2 2 5" xfId="1984"/>
    <cellStyle name="Input cel new 4 2 2 2 3" xfId="1132"/>
    <cellStyle name="Input cel new 4 2 2 2 3 2" xfId="3938"/>
    <cellStyle name="Input cel new 4 2 2 2 3 3" xfId="5354"/>
    <cellStyle name="Input cel new 4 2 2 2 3 4" xfId="2753"/>
    <cellStyle name="Input cel new 4 2 2 2 4" xfId="1423"/>
    <cellStyle name="Input cel new 4 2 2 2 4 2" xfId="4232"/>
    <cellStyle name="Input cel new 4 2 2 2 4 3" xfId="5644"/>
    <cellStyle name="Input cel new 4 2 2 2 4 4" xfId="3025"/>
    <cellStyle name="Input cel new 4 2 2 2 5" xfId="958"/>
    <cellStyle name="Input cel new 4 2 2 2 5 2" xfId="3761"/>
    <cellStyle name="Input cel new 4 2 2 2 5 3" xfId="5181"/>
    <cellStyle name="Input cel new 4 2 2 2 5 4" xfId="2593"/>
    <cellStyle name="Input cel new 4 2 2 2 6" xfId="603"/>
    <cellStyle name="Input cel new 4 2 2 2 6 2" xfId="4828"/>
    <cellStyle name="Input cel new 4 2 2 2 6 3" xfId="2250"/>
    <cellStyle name="Input cel new 4 2 2 2 7" xfId="3403"/>
    <cellStyle name="Input cel new 4 2 2 2 8" xfId="4731"/>
    <cellStyle name="Input cel new 4 2 2 3" xfId="651"/>
    <cellStyle name="Input cel new 4 2 2 3 2" xfId="1564"/>
    <cellStyle name="Input cel new 4 2 2 3 2 2" xfId="4373"/>
    <cellStyle name="Input cel new 4 2 2 3 2 3" xfId="5785"/>
    <cellStyle name="Input cel new 4 2 2 3 2 4" xfId="3142"/>
    <cellStyle name="Input cel new 4 2 2 3 3" xfId="867"/>
    <cellStyle name="Input cel new 4 2 2 3 3 2" xfId="3667"/>
    <cellStyle name="Input cel new 4 2 2 3 3 3" xfId="5091"/>
    <cellStyle name="Input cel new 4 2 2 3 3 4" xfId="2508"/>
    <cellStyle name="Input cel new 4 2 2 3 4" xfId="1020"/>
    <cellStyle name="Input cel new 4 2 2 3 4 2" xfId="3823"/>
    <cellStyle name="Input cel new 4 2 2 3 4 3" xfId="5243"/>
    <cellStyle name="Input cel new 4 2 2 3 4 4" xfId="2649"/>
    <cellStyle name="Input cel new 4 2 2 3 5" xfId="2298"/>
    <cellStyle name="Input cel new 4 2 2 3 6" xfId="3451"/>
    <cellStyle name="Input cel new 4 2 2 3 7" xfId="4876"/>
    <cellStyle name="Input cel new 4 2 2 3 8" xfId="2032"/>
    <cellStyle name="Input cel new 4 2 2 4" xfId="715"/>
    <cellStyle name="Input cel new 4 2 2 4 2" xfId="1628"/>
    <cellStyle name="Input cel new 4 2 2 4 2 2" xfId="4437"/>
    <cellStyle name="Input cel new 4 2 2 4 2 3" xfId="5849"/>
    <cellStyle name="Input cel new 4 2 2 4 2 4" xfId="3202"/>
    <cellStyle name="Input cel new 4 2 2 4 3" xfId="1311"/>
    <cellStyle name="Input cel new 4 2 2 4 3 2" xfId="4120"/>
    <cellStyle name="Input cel new 4 2 2 4 3 3" xfId="5533"/>
    <cellStyle name="Input cel new 4 2 2 4 3 4" xfId="2918"/>
    <cellStyle name="Input cel new 4 2 2 4 4" xfId="2359"/>
    <cellStyle name="Input cel new 4 2 2 4 5" xfId="3515"/>
    <cellStyle name="Input cel new 4 2 2 4 6" xfId="4940"/>
    <cellStyle name="Input cel new 4 2 2 4 7" xfId="2066"/>
    <cellStyle name="Input cel new 4 2 2 5" xfId="777"/>
    <cellStyle name="Input cel new 4 2 2 5 2" xfId="1690"/>
    <cellStyle name="Input cel new 4 2 2 5 2 2" xfId="4499"/>
    <cellStyle name="Input cel new 4 2 2 5 2 3" xfId="5911"/>
    <cellStyle name="Input cel new 4 2 2 5 2 4" xfId="3261"/>
    <cellStyle name="Input cel new 4 2 2 5 3" xfId="1368"/>
    <cellStyle name="Input cel new 4 2 2 5 3 2" xfId="4177"/>
    <cellStyle name="Input cel new 4 2 2 5 3 3" xfId="5589"/>
    <cellStyle name="Input cel new 4 2 2 5 3 4" xfId="2972"/>
    <cellStyle name="Input cel new 4 2 2 5 4" xfId="2421"/>
    <cellStyle name="Input cel new 4 2 2 5 5" xfId="3577"/>
    <cellStyle name="Input cel new 4 2 2 5 6" xfId="5002"/>
    <cellStyle name="Input cel new 4 2 2 5 7" xfId="2125"/>
    <cellStyle name="Input cel new 4 2 2 6" xfId="1194"/>
    <cellStyle name="Input cel new 4 2 2 6 2" xfId="2802"/>
    <cellStyle name="Input cel new 4 2 2 6 3" xfId="4002"/>
    <cellStyle name="Input cel new 4 2 2 6 4" xfId="5416"/>
    <cellStyle name="Input cel new 4 2 2 6 5" xfId="1965"/>
    <cellStyle name="Input cel new 4 2 2 7" xfId="913"/>
    <cellStyle name="Input cel new 4 2 2 7 2" xfId="3715"/>
    <cellStyle name="Input cel new 4 2 2 7 3" xfId="5136"/>
    <cellStyle name="Input cel new 4 2 2 7 4" xfId="2551"/>
    <cellStyle name="Input cel new 4 2 2 8" xfId="343"/>
    <cellStyle name="Input cel new 4 2 2 8 2" xfId="4589"/>
    <cellStyle name="Input cel new 4 2 2 8 3" xfId="2227"/>
    <cellStyle name="Input cel new 4 2 2 9" xfId="3380"/>
    <cellStyle name="Input cel new 4 2 3" xfId="453"/>
    <cellStyle name="Input cel new 4 2 3 10" xfId="3362"/>
    <cellStyle name="Input cel new 4 2 3 11" xfId="1857"/>
    <cellStyle name="Input cel new 4 2 3 12" xfId="4680"/>
    <cellStyle name="Input cel new 4 2 3 2" xfId="547"/>
    <cellStyle name="Input cel new 4 2 3 2 2" xfId="1244"/>
    <cellStyle name="Input cel new 4 2 3 2 2 2" xfId="1547"/>
    <cellStyle name="Input cel new 4 2 3 2 2 2 2" xfId="4356"/>
    <cellStyle name="Input cel new 4 2 3 2 2 2 3" xfId="5768"/>
    <cellStyle name="Input cel new 4 2 3 2 2 2 4" xfId="3125"/>
    <cellStyle name="Input cel new 4 2 3 2 2 3" xfId="2852"/>
    <cellStyle name="Input cel new 4 2 3 2 2 4" xfId="4052"/>
    <cellStyle name="Input cel new 4 2 3 2 2 5" xfId="5466"/>
    <cellStyle name="Input cel new 4 2 3 2 2 6" xfId="2015"/>
    <cellStyle name="Input cel new 4 2 3 2 3" xfId="1462"/>
    <cellStyle name="Input cel new 4 2 3 2 3 2" xfId="4271"/>
    <cellStyle name="Input cel new 4 2 3 2 3 3" xfId="5683"/>
    <cellStyle name="Input cel new 4 2 3 2 3 4" xfId="3061"/>
    <cellStyle name="Input cel new 4 2 3 2 4" xfId="1003"/>
    <cellStyle name="Input cel new 4 2 3 2 4 2" xfId="3806"/>
    <cellStyle name="Input cel new 4 2 3 2 4 3" xfId="5226"/>
    <cellStyle name="Input cel new 4 2 3 2 4 4" xfId="2632"/>
    <cellStyle name="Input cel new 4 2 3 2 5" xfId="634"/>
    <cellStyle name="Input cel new 4 2 3 2 5 2" xfId="4859"/>
    <cellStyle name="Input cel new 4 2 3 2 5 3" xfId="2281"/>
    <cellStyle name="Input cel new 4 2 3 2 6" xfId="3434"/>
    <cellStyle name="Input cel new 4 2 3 2 7" xfId="4772"/>
    <cellStyle name="Input cel new 4 2 3 3" xfId="683"/>
    <cellStyle name="Input cel new 4 2 3 3 2" xfId="1282"/>
    <cellStyle name="Input cel new 4 2 3 3 2 2" xfId="4091"/>
    <cellStyle name="Input cel new 4 2 3 3 2 3" xfId="5504"/>
    <cellStyle name="Input cel new 4 2 3 3 2 4" xfId="2889"/>
    <cellStyle name="Input cel new 4 2 3 3 3" xfId="1596"/>
    <cellStyle name="Input cel new 4 2 3 3 3 2" xfId="4405"/>
    <cellStyle name="Input cel new 4 2 3 3 3 3" xfId="5817"/>
    <cellStyle name="Input cel new 4 2 3 3 3 4" xfId="3172"/>
    <cellStyle name="Input cel new 4 2 3 3 4" xfId="1063"/>
    <cellStyle name="Input cel new 4 2 3 3 4 2" xfId="3866"/>
    <cellStyle name="Input cel new 4 2 3 3 4 3" xfId="5286"/>
    <cellStyle name="Input cel new 4 2 3 3 4 4" xfId="2690"/>
    <cellStyle name="Input cel new 4 2 3 3 5" xfId="2329"/>
    <cellStyle name="Input cel new 4 2 3 3 6" xfId="3483"/>
    <cellStyle name="Input cel new 4 2 3 3 7" xfId="4908"/>
    <cellStyle name="Input cel new 4 2 3 3 8" xfId="2049"/>
    <cellStyle name="Input cel new 4 2 3 4" xfId="747"/>
    <cellStyle name="Input cel new 4 2 3 4 2" xfId="1660"/>
    <cellStyle name="Input cel new 4 2 3 4 2 2" xfId="4469"/>
    <cellStyle name="Input cel new 4 2 3 4 2 3" xfId="5881"/>
    <cellStyle name="Input cel new 4 2 3 4 2 4" xfId="3232"/>
    <cellStyle name="Input cel new 4 2 3 4 3" xfId="1343"/>
    <cellStyle name="Input cel new 4 2 3 4 3 2" xfId="4152"/>
    <cellStyle name="Input cel new 4 2 3 4 3 3" xfId="5565"/>
    <cellStyle name="Input cel new 4 2 3 4 3 4" xfId="2948"/>
    <cellStyle name="Input cel new 4 2 3 4 4" xfId="2391"/>
    <cellStyle name="Input cel new 4 2 3 4 5" xfId="3547"/>
    <cellStyle name="Input cel new 4 2 3 4 6" xfId="4972"/>
    <cellStyle name="Input cel new 4 2 3 4 7" xfId="2096"/>
    <cellStyle name="Input cel new 4 2 3 5" xfId="808"/>
    <cellStyle name="Input cel new 4 2 3 5 2" xfId="1721"/>
    <cellStyle name="Input cel new 4 2 3 5 2 2" xfId="4530"/>
    <cellStyle name="Input cel new 4 2 3 5 2 3" xfId="5942"/>
    <cellStyle name="Input cel new 4 2 3 5 2 4" xfId="3291"/>
    <cellStyle name="Input cel new 4 2 3 5 3" xfId="1399"/>
    <cellStyle name="Input cel new 4 2 3 5 3 2" xfId="4208"/>
    <cellStyle name="Input cel new 4 2 3 5 3 3" xfId="5620"/>
    <cellStyle name="Input cel new 4 2 3 5 3 4" xfId="3002"/>
    <cellStyle name="Input cel new 4 2 3 5 4" xfId="2452"/>
    <cellStyle name="Input cel new 4 2 3 5 5" xfId="3608"/>
    <cellStyle name="Input cel new 4 2 3 5 6" xfId="5033"/>
    <cellStyle name="Input cel new 4 2 3 5 7" xfId="2155"/>
    <cellStyle name="Input cel new 4 2 3 6" xfId="1176"/>
    <cellStyle name="Input cel new 4 2 3 6 2" xfId="2785"/>
    <cellStyle name="Input cel new 4 2 3 6 3" xfId="3984"/>
    <cellStyle name="Input cel new 4 2 3 6 4" xfId="5398"/>
    <cellStyle name="Input cel new 4 2 3 6 5" xfId="1947"/>
    <cellStyle name="Input cel new 4 2 3 7" xfId="857"/>
    <cellStyle name="Input cel new 4 2 3 7 2" xfId="3657"/>
    <cellStyle name="Input cel new 4 2 3 7 3" xfId="5081"/>
    <cellStyle name="Input cel new 4 2 3 7 4" xfId="2499"/>
    <cellStyle name="Input cel new 4 2 3 8" xfId="832"/>
    <cellStyle name="Input cel new 4 2 3 8 2" xfId="3632"/>
    <cellStyle name="Input cel new 4 2 3 8 3" xfId="5057"/>
    <cellStyle name="Input cel new 4 2 3 8 4" xfId="2475"/>
    <cellStyle name="Input cel new 4 2 3 9" xfId="367"/>
    <cellStyle name="Input cel new 4 2 3 9 2" xfId="4613"/>
    <cellStyle name="Input cel new 4 2 3 9 3" xfId="2209"/>
    <cellStyle name="Input cel new 4 2 4" xfId="428"/>
    <cellStyle name="Input cel new 4 2 4 2" xfId="523"/>
    <cellStyle name="Input cel new 4 2 4 2 2" xfId="1158"/>
    <cellStyle name="Input cel new 4 2 4 2 2 2" xfId="5380"/>
    <cellStyle name="Input cel new 4 2 4 2 2 3" xfId="3966"/>
    <cellStyle name="Input cel new 4 2 4 2 3" xfId="4748"/>
    <cellStyle name="Input cel new 4 2 4 3" xfId="1402"/>
    <cellStyle name="Input cel new 4 2 4 3 2" xfId="4211"/>
    <cellStyle name="Input cel new 4 2 4 3 3" xfId="5623"/>
    <cellStyle name="Input cel new 4 2 4 3 4" xfId="3005"/>
    <cellStyle name="Input cel new 4 2 4 4" xfId="555"/>
    <cellStyle name="Input cel new 4 2 4 4 2" xfId="4780"/>
    <cellStyle name="Input cel new 4 2 4 4 3" xfId="2185"/>
    <cellStyle name="Input cel new 4 2 4 5" xfId="3339"/>
    <cellStyle name="Input cel new 4 2 4 6" xfId="1926"/>
    <cellStyle name="Input cel new 4 2 5" xfId="469"/>
    <cellStyle name="Input cel new 4 2 5 2" xfId="1293"/>
    <cellStyle name="Input cel new 4 2 5 2 2" xfId="1610"/>
    <cellStyle name="Input cel new 4 2 5 2 2 2" xfId="4419"/>
    <cellStyle name="Input cel new 4 2 5 2 2 3" xfId="5831"/>
    <cellStyle name="Input cel new 4 2 5 2 2 4" xfId="3185"/>
    <cellStyle name="Input cel new 4 2 5 2 3" xfId="4102"/>
    <cellStyle name="Input cel new 4 2 5 2 4" xfId="5515"/>
    <cellStyle name="Input cel new 4 2 5 2 5" xfId="2900"/>
    <cellStyle name="Input cel new 4 2 5 3" xfId="1066"/>
    <cellStyle name="Input cel new 4 2 5 3 2" xfId="3869"/>
    <cellStyle name="Input cel new 4 2 5 3 3" xfId="5289"/>
    <cellStyle name="Input cel new 4 2 5 3 4" xfId="2693"/>
    <cellStyle name="Input cel new 4 2 5 4" xfId="939"/>
    <cellStyle name="Input cel new 4 2 5 4 2" xfId="3741"/>
    <cellStyle name="Input cel new 4 2 5 4 3" xfId="5162"/>
    <cellStyle name="Input cel new 4 2 5 4 4" xfId="2573"/>
    <cellStyle name="Input cel new 4 2 5 5" xfId="697"/>
    <cellStyle name="Input cel new 4 2 5 5 2" xfId="4922"/>
    <cellStyle name="Input cel new 4 2 5 5 3" xfId="2342"/>
    <cellStyle name="Input cel new 4 2 5 6" xfId="3497"/>
    <cellStyle name="Input cel new 4 2 5 7" xfId="4694"/>
    <cellStyle name="Input cel new 4 2 6" xfId="760"/>
    <cellStyle name="Input cel new 4 2 6 2" xfId="1673"/>
    <cellStyle name="Input cel new 4 2 6 2 2" xfId="4482"/>
    <cellStyle name="Input cel new 4 2 6 2 3" xfId="5894"/>
    <cellStyle name="Input cel new 4 2 6 2 4" xfId="3244"/>
    <cellStyle name="Input cel new 4 2 6 3" xfId="975"/>
    <cellStyle name="Input cel new 4 2 6 3 2" xfId="3778"/>
    <cellStyle name="Input cel new 4 2 6 3 3" xfId="5198"/>
    <cellStyle name="Input cel new 4 2 6 3 4" xfId="2608"/>
    <cellStyle name="Input cel new 4 2 6 4" xfId="2404"/>
    <cellStyle name="Input cel new 4 2 6 5" xfId="3560"/>
    <cellStyle name="Input cel new 4 2 6 6" xfId="4985"/>
    <cellStyle name="Input cel new 4 2 6 7" xfId="2108"/>
    <cellStyle name="Input cel new 4 2 7" xfId="855"/>
    <cellStyle name="Input cel new 4 2 7 2" xfId="1025"/>
    <cellStyle name="Input cel new 4 2 7 2 2" xfId="3828"/>
    <cellStyle name="Input cel new 4 2 7 2 3" xfId="5248"/>
    <cellStyle name="Input cel new 4 2 7 2 4" xfId="2654"/>
    <cellStyle name="Input cel new 4 2 7 3" xfId="2497"/>
    <cellStyle name="Input cel new 4 2 7 4" xfId="3655"/>
    <cellStyle name="Input cel new 4 2 7 5" xfId="5079"/>
    <cellStyle name="Input cel new 4 2 7 6" xfId="1817"/>
    <cellStyle name="Input cel new 4 2 8" xfId="296"/>
    <cellStyle name="Input cel new 4 2 8 2" xfId="4542"/>
    <cellStyle name="Input cel new 4 2 8 3" xfId="1819"/>
    <cellStyle name="Input cel new 4 2 9" xfId="1935"/>
    <cellStyle name="Input cel new 4 3" xfId="231"/>
    <cellStyle name="Input cel new 4 3 2" xfId="435"/>
    <cellStyle name="Input cel new 4 3 2 10" xfId="1910"/>
    <cellStyle name="Input cel new 4 3 2 11" xfId="4666"/>
    <cellStyle name="Input cel new 4 3 2 2" xfId="530"/>
    <cellStyle name="Input cel new 4 3 2 2 2" xfId="1267"/>
    <cellStyle name="Input cel new 4 3 2 2 2 2" xfId="1581"/>
    <cellStyle name="Input cel new 4 3 2 2 2 2 2" xfId="4390"/>
    <cellStyle name="Input cel new 4 3 2 2 2 2 3" xfId="5802"/>
    <cellStyle name="Input cel new 4 3 2 2 2 2 4" xfId="3158"/>
    <cellStyle name="Input cel new 4 3 2 2 2 3" xfId="4076"/>
    <cellStyle name="Input cel new 4 3 2 2 2 4" xfId="5489"/>
    <cellStyle name="Input cel new 4 3 2 2 2 5" xfId="2874"/>
    <cellStyle name="Input cel new 4 3 2 2 3" xfId="1447"/>
    <cellStyle name="Input cel new 4 3 2 2 3 2" xfId="4256"/>
    <cellStyle name="Input cel new 4 3 2 2 3 3" xfId="5668"/>
    <cellStyle name="Input cel new 4 3 2 2 3 4" xfId="3047"/>
    <cellStyle name="Input cel new 4 3 2 2 4" xfId="1047"/>
    <cellStyle name="Input cel new 4 3 2 2 4 2" xfId="3850"/>
    <cellStyle name="Input cel new 4 3 2 2 4 3" xfId="5270"/>
    <cellStyle name="Input cel new 4 3 2 2 4 4" xfId="2674"/>
    <cellStyle name="Input cel new 4 3 2 2 5" xfId="668"/>
    <cellStyle name="Input cel new 4 3 2 2 5 2" xfId="4893"/>
    <cellStyle name="Input cel new 4 3 2 2 5 3" xfId="2315"/>
    <cellStyle name="Input cel new 4 3 2 2 6" xfId="3468"/>
    <cellStyle name="Input cel new 4 3 2 2 7" xfId="4755"/>
    <cellStyle name="Input cel new 4 3 2 3" xfId="732"/>
    <cellStyle name="Input cel new 4 3 2 3 2" xfId="1645"/>
    <cellStyle name="Input cel new 4 3 2 3 2 2" xfId="4454"/>
    <cellStyle name="Input cel new 4 3 2 3 2 3" xfId="5866"/>
    <cellStyle name="Input cel new 4 3 2 3 2 4" xfId="3218"/>
    <cellStyle name="Input cel new 4 3 2 3 3" xfId="1328"/>
    <cellStyle name="Input cel new 4 3 2 3 3 2" xfId="4137"/>
    <cellStyle name="Input cel new 4 3 2 3 3 3" xfId="5550"/>
    <cellStyle name="Input cel new 4 3 2 3 3 4" xfId="2934"/>
    <cellStyle name="Input cel new 4 3 2 3 4" xfId="2376"/>
    <cellStyle name="Input cel new 4 3 2 3 5" xfId="3532"/>
    <cellStyle name="Input cel new 4 3 2 3 6" xfId="4957"/>
    <cellStyle name="Input cel new 4 3 2 3 7" xfId="2082"/>
    <cellStyle name="Input cel new 4 3 2 4" xfId="794"/>
    <cellStyle name="Input cel new 4 3 2 4 2" xfId="1707"/>
    <cellStyle name="Input cel new 4 3 2 4 2 2" xfId="4516"/>
    <cellStyle name="Input cel new 4 3 2 4 2 3" xfId="5928"/>
    <cellStyle name="Input cel new 4 3 2 4 2 4" xfId="3277"/>
    <cellStyle name="Input cel new 4 3 2 4 3" xfId="1385"/>
    <cellStyle name="Input cel new 4 3 2 4 3 2" xfId="4194"/>
    <cellStyle name="Input cel new 4 3 2 4 3 3" xfId="5606"/>
    <cellStyle name="Input cel new 4 3 2 4 3 4" xfId="2988"/>
    <cellStyle name="Input cel new 4 3 2 4 4" xfId="2438"/>
    <cellStyle name="Input cel new 4 3 2 4 5" xfId="3594"/>
    <cellStyle name="Input cel new 4 3 2 4 6" xfId="5019"/>
    <cellStyle name="Input cel new 4 3 2 4 7" xfId="2141"/>
    <cellStyle name="Input cel new 4 3 2 5" xfId="1230"/>
    <cellStyle name="Input cel new 4 3 2 5 2" xfId="1541"/>
    <cellStyle name="Input cel new 4 3 2 5 2 2" xfId="4350"/>
    <cellStyle name="Input cel new 4 3 2 5 2 3" xfId="5762"/>
    <cellStyle name="Input cel new 4 3 2 5 2 4" xfId="3119"/>
    <cellStyle name="Input cel new 4 3 2 5 3" xfId="2838"/>
    <cellStyle name="Input cel new 4 3 2 5 4" xfId="4038"/>
    <cellStyle name="Input cel new 4 3 2 5 5" xfId="5452"/>
    <cellStyle name="Input cel new 4 3 2 5 6" xfId="2000"/>
    <cellStyle name="Input cel new 4 3 2 6" xfId="854"/>
    <cellStyle name="Input cel new 4 3 2 6 2" xfId="3654"/>
    <cellStyle name="Input cel new 4 3 2 6 3" xfId="5078"/>
    <cellStyle name="Input cel new 4 3 2 6 4" xfId="2496"/>
    <cellStyle name="Input cel new 4 3 2 7" xfId="923"/>
    <cellStyle name="Input cel new 4 3 2 7 2" xfId="3725"/>
    <cellStyle name="Input cel new 4 3 2 7 3" xfId="5146"/>
    <cellStyle name="Input cel new 4 3 2 7 4" xfId="2560"/>
    <cellStyle name="Input cel new 4 3 2 8" xfId="620"/>
    <cellStyle name="Input cel new 4 3 2 8 2" xfId="4845"/>
    <cellStyle name="Input cel new 4 3 2 8 3" xfId="2267"/>
    <cellStyle name="Input cel new 4 3 2 9" xfId="3420"/>
    <cellStyle name="Input cel new 4 3 3" xfId="385"/>
    <cellStyle name="Input cel new 4 3 3 2" xfId="480"/>
    <cellStyle name="Input cel new 4 3 3 2 2" xfId="1502"/>
    <cellStyle name="Input cel new 4 3 3 2 2 2" xfId="5723"/>
    <cellStyle name="Input cel new 4 3 3 2 2 3" xfId="4311"/>
    <cellStyle name="Input cel new 4 3 3 2 3" xfId="4705"/>
    <cellStyle name="Input cel new 4 3 3 3" xfId="1087"/>
    <cellStyle name="Input cel new 4 3 3 3 2" xfId="3890"/>
    <cellStyle name="Input cel new 4 3 3 3 3" xfId="5310"/>
    <cellStyle name="Input cel new 4 3 3 3 4" xfId="2711"/>
    <cellStyle name="Input cel new 4 3 3 4" xfId="374"/>
    <cellStyle name="Input cel new 4 3 3 4 2" xfId="4620"/>
    <cellStyle name="Input cel new 4 3 3 4 3" xfId="2196"/>
    <cellStyle name="Input cel new 4 3 3 5" xfId="3349"/>
    <cellStyle name="Input cel new 4 3 3 6" xfId="4630"/>
    <cellStyle name="Input cel new 4 3 4" xfId="353"/>
    <cellStyle name="Input cel new 4 3 4 2" xfId="1488"/>
    <cellStyle name="Input cel new 4 3 4 2 2" xfId="5709"/>
    <cellStyle name="Input cel new 4 3 4 2 3" xfId="4297"/>
    <cellStyle name="Input cel new 4 3 4 3" xfId="4599"/>
    <cellStyle name="Input cel new 4 3 4 4" xfId="3077"/>
    <cellStyle name="Input cel new 4 3 5" xfId="287"/>
    <cellStyle name="Input cel new 4 3 5 2" xfId="3714"/>
    <cellStyle name="Input cel new 4 3 5 3" xfId="4533"/>
    <cellStyle name="Input cel new 4 3 5 4" xfId="2550"/>
    <cellStyle name="Input cel new 4 3 6" xfId="2177"/>
    <cellStyle name="Input cel new 4 3 7" xfId="3331"/>
    <cellStyle name="Input cel new 4 3 8" xfId="1768"/>
    <cellStyle name="Input cel new 4 3 9" xfId="1748"/>
    <cellStyle name="Input cel new 4 4" xfId="814"/>
    <cellStyle name="Input cel new 4 4 2" xfId="3614"/>
    <cellStyle name="Input cel new 4 4 3" xfId="5039"/>
    <cellStyle name="Input cel new 4 4 4" xfId="2458"/>
    <cellStyle name="Input cel new 4 5" xfId="1770"/>
    <cellStyle name="Input cel new 4 6" xfId="1734"/>
    <cellStyle name="Input cel new 5" xfId="272"/>
    <cellStyle name="Input cel new 5 10" xfId="1789"/>
    <cellStyle name="Input cel new 5 2" xfId="392"/>
    <cellStyle name="Input cel new 5 2 10" xfId="1863"/>
    <cellStyle name="Input cel new 5 2 11" xfId="4633"/>
    <cellStyle name="Input cel new 5 2 2" xfId="487"/>
    <cellStyle name="Input cel new 5 2 2 2" xfId="1201"/>
    <cellStyle name="Input cel new 5 2 2 2 2" xfId="2809"/>
    <cellStyle name="Input cel new 5 2 2 2 3" xfId="4009"/>
    <cellStyle name="Input cel new 5 2 2 2 4" xfId="5423"/>
    <cellStyle name="Input cel new 5 2 2 2 5" xfId="1972"/>
    <cellStyle name="Input cel new 5 2 2 3" xfId="1120"/>
    <cellStyle name="Input cel new 5 2 2 3 2" xfId="3926"/>
    <cellStyle name="Input cel new 5 2 2 3 3" xfId="5342"/>
    <cellStyle name="Input cel new 5 2 2 3 4" xfId="2741"/>
    <cellStyle name="Input cel new 5 2 2 4" xfId="1420"/>
    <cellStyle name="Input cel new 5 2 2 4 2" xfId="4229"/>
    <cellStyle name="Input cel new 5 2 2 4 3" xfId="5641"/>
    <cellStyle name="Input cel new 5 2 2 4 4" xfId="3022"/>
    <cellStyle name="Input cel new 5 2 2 5" xfId="946"/>
    <cellStyle name="Input cel new 5 2 2 5 2" xfId="3749"/>
    <cellStyle name="Input cel new 5 2 2 5 3" xfId="5169"/>
    <cellStyle name="Input cel new 5 2 2 5 4" xfId="2581"/>
    <cellStyle name="Input cel new 5 2 2 6" xfId="591"/>
    <cellStyle name="Input cel new 5 2 2 6 2" xfId="4816"/>
    <cellStyle name="Input cel new 5 2 2 6 3" xfId="2238"/>
    <cellStyle name="Input cel new 5 2 2 7" xfId="3391"/>
    <cellStyle name="Input cel new 5 2 2 8" xfId="4712"/>
    <cellStyle name="Input cel new 5 2 3" xfId="639"/>
    <cellStyle name="Input cel new 5 2 3 2" xfId="1552"/>
    <cellStyle name="Input cel new 5 2 3 2 2" xfId="4361"/>
    <cellStyle name="Input cel new 5 2 3 2 3" xfId="5773"/>
    <cellStyle name="Input cel new 5 2 3 2 4" xfId="3130"/>
    <cellStyle name="Input cel new 5 2 3 3" xfId="1435"/>
    <cellStyle name="Input cel new 5 2 3 3 2" xfId="4244"/>
    <cellStyle name="Input cel new 5 2 3 3 3" xfId="5656"/>
    <cellStyle name="Input cel new 5 2 3 3 4" xfId="3035"/>
    <cellStyle name="Input cel new 5 2 3 4" xfId="1008"/>
    <cellStyle name="Input cel new 5 2 3 4 2" xfId="3811"/>
    <cellStyle name="Input cel new 5 2 3 4 3" xfId="5231"/>
    <cellStyle name="Input cel new 5 2 3 4 4" xfId="2637"/>
    <cellStyle name="Input cel new 5 2 3 5" xfId="2286"/>
    <cellStyle name="Input cel new 5 2 3 6" xfId="3439"/>
    <cellStyle name="Input cel new 5 2 3 7" xfId="4864"/>
    <cellStyle name="Input cel new 5 2 3 8" xfId="2020"/>
    <cellStyle name="Input cel new 5 2 4" xfId="703"/>
    <cellStyle name="Input cel new 5 2 4 2" xfId="1616"/>
    <cellStyle name="Input cel new 5 2 4 2 2" xfId="4425"/>
    <cellStyle name="Input cel new 5 2 4 2 3" xfId="5837"/>
    <cellStyle name="Input cel new 5 2 4 2 4" xfId="3190"/>
    <cellStyle name="Input cel new 5 2 4 3" xfId="1299"/>
    <cellStyle name="Input cel new 5 2 4 3 2" xfId="4108"/>
    <cellStyle name="Input cel new 5 2 4 3 3" xfId="5521"/>
    <cellStyle name="Input cel new 5 2 4 3 4" xfId="2906"/>
    <cellStyle name="Input cel new 5 2 4 4" xfId="2347"/>
    <cellStyle name="Input cel new 5 2 4 5" xfId="3503"/>
    <cellStyle name="Input cel new 5 2 4 6" xfId="4928"/>
    <cellStyle name="Input cel new 5 2 4 7" xfId="2054"/>
    <cellStyle name="Input cel new 5 2 5" xfId="765"/>
    <cellStyle name="Input cel new 5 2 5 2" xfId="1678"/>
    <cellStyle name="Input cel new 5 2 5 2 2" xfId="4487"/>
    <cellStyle name="Input cel new 5 2 5 2 3" xfId="5899"/>
    <cellStyle name="Input cel new 5 2 5 2 4" xfId="3249"/>
    <cellStyle name="Input cel new 5 2 5 3" xfId="1356"/>
    <cellStyle name="Input cel new 5 2 5 3 2" xfId="4165"/>
    <cellStyle name="Input cel new 5 2 5 3 3" xfId="5577"/>
    <cellStyle name="Input cel new 5 2 5 3 4" xfId="2960"/>
    <cellStyle name="Input cel new 5 2 5 4" xfId="2409"/>
    <cellStyle name="Input cel new 5 2 5 5" xfId="3565"/>
    <cellStyle name="Input cel new 5 2 5 6" xfId="4990"/>
    <cellStyle name="Input cel new 5 2 5 7" xfId="2113"/>
    <cellStyle name="Input cel new 5 2 6" xfId="1182"/>
    <cellStyle name="Input cel new 5 2 6 2" xfId="2790"/>
    <cellStyle name="Input cel new 5 2 6 3" xfId="3990"/>
    <cellStyle name="Input cel new 5 2 6 4" xfId="5404"/>
    <cellStyle name="Input cel new 5 2 6 5" xfId="1953"/>
    <cellStyle name="Input cel new 5 2 7" xfId="907"/>
    <cellStyle name="Input cel new 5 2 7 2" xfId="3708"/>
    <cellStyle name="Input cel new 5 2 7 3" xfId="5131"/>
    <cellStyle name="Input cel new 5 2 7 4" xfId="2544"/>
    <cellStyle name="Input cel new 5 2 8" xfId="357"/>
    <cellStyle name="Input cel new 5 2 8 2" xfId="4603"/>
    <cellStyle name="Input cel new 5 2 8 3" xfId="2215"/>
    <cellStyle name="Input cel new 5 2 9" xfId="3368"/>
    <cellStyle name="Input cel new 5 3" xfId="450"/>
    <cellStyle name="Input cel new 5 3 10" xfId="3359"/>
    <cellStyle name="Input cel new 5 3 11" xfId="1854"/>
    <cellStyle name="Input cel new 5 3 12" xfId="4677"/>
    <cellStyle name="Input cel new 5 3 2" xfId="544"/>
    <cellStyle name="Input cel new 5 3 2 2" xfId="1241"/>
    <cellStyle name="Input cel new 5 3 2 2 2" xfId="1544"/>
    <cellStyle name="Input cel new 5 3 2 2 2 2" xfId="4353"/>
    <cellStyle name="Input cel new 5 3 2 2 2 3" xfId="5765"/>
    <cellStyle name="Input cel new 5 3 2 2 2 4" xfId="3122"/>
    <cellStyle name="Input cel new 5 3 2 2 3" xfId="2849"/>
    <cellStyle name="Input cel new 5 3 2 2 4" xfId="4049"/>
    <cellStyle name="Input cel new 5 3 2 2 5" xfId="5463"/>
    <cellStyle name="Input cel new 5 3 2 2 6" xfId="2012"/>
    <cellStyle name="Input cel new 5 3 2 3" xfId="1459"/>
    <cellStyle name="Input cel new 5 3 2 3 2" xfId="4268"/>
    <cellStyle name="Input cel new 5 3 2 3 3" xfId="5680"/>
    <cellStyle name="Input cel new 5 3 2 3 4" xfId="3058"/>
    <cellStyle name="Input cel new 5 3 2 4" xfId="1000"/>
    <cellStyle name="Input cel new 5 3 2 4 2" xfId="3803"/>
    <cellStyle name="Input cel new 5 3 2 4 3" xfId="5223"/>
    <cellStyle name="Input cel new 5 3 2 4 4" xfId="2629"/>
    <cellStyle name="Input cel new 5 3 2 5" xfId="631"/>
    <cellStyle name="Input cel new 5 3 2 5 2" xfId="4856"/>
    <cellStyle name="Input cel new 5 3 2 5 3" xfId="2278"/>
    <cellStyle name="Input cel new 5 3 2 6" xfId="3431"/>
    <cellStyle name="Input cel new 5 3 2 7" xfId="4769"/>
    <cellStyle name="Input cel new 5 3 3" xfId="680"/>
    <cellStyle name="Input cel new 5 3 3 2" xfId="1279"/>
    <cellStyle name="Input cel new 5 3 3 2 2" xfId="4088"/>
    <cellStyle name="Input cel new 5 3 3 2 3" xfId="5501"/>
    <cellStyle name="Input cel new 5 3 3 2 4" xfId="2886"/>
    <cellStyle name="Input cel new 5 3 3 3" xfId="1593"/>
    <cellStyle name="Input cel new 5 3 3 3 2" xfId="4402"/>
    <cellStyle name="Input cel new 5 3 3 3 3" xfId="5814"/>
    <cellStyle name="Input cel new 5 3 3 3 4" xfId="3169"/>
    <cellStyle name="Input cel new 5 3 3 4" xfId="1060"/>
    <cellStyle name="Input cel new 5 3 3 4 2" xfId="3863"/>
    <cellStyle name="Input cel new 5 3 3 4 3" xfId="5283"/>
    <cellStyle name="Input cel new 5 3 3 4 4" xfId="2687"/>
    <cellStyle name="Input cel new 5 3 3 5" xfId="2326"/>
    <cellStyle name="Input cel new 5 3 3 6" xfId="3480"/>
    <cellStyle name="Input cel new 5 3 3 7" xfId="4905"/>
    <cellStyle name="Input cel new 5 3 3 8" xfId="2046"/>
    <cellStyle name="Input cel new 5 3 4" xfId="744"/>
    <cellStyle name="Input cel new 5 3 4 2" xfId="1657"/>
    <cellStyle name="Input cel new 5 3 4 2 2" xfId="4466"/>
    <cellStyle name="Input cel new 5 3 4 2 3" xfId="5878"/>
    <cellStyle name="Input cel new 5 3 4 2 4" xfId="3229"/>
    <cellStyle name="Input cel new 5 3 4 3" xfId="1340"/>
    <cellStyle name="Input cel new 5 3 4 3 2" xfId="4149"/>
    <cellStyle name="Input cel new 5 3 4 3 3" xfId="5562"/>
    <cellStyle name="Input cel new 5 3 4 3 4" xfId="2945"/>
    <cellStyle name="Input cel new 5 3 4 4" xfId="2388"/>
    <cellStyle name="Input cel new 5 3 4 5" xfId="3544"/>
    <cellStyle name="Input cel new 5 3 4 6" xfId="4969"/>
    <cellStyle name="Input cel new 5 3 4 7" xfId="2093"/>
    <cellStyle name="Input cel new 5 3 5" xfId="805"/>
    <cellStyle name="Input cel new 5 3 5 2" xfId="1718"/>
    <cellStyle name="Input cel new 5 3 5 2 2" xfId="4527"/>
    <cellStyle name="Input cel new 5 3 5 2 3" xfId="5939"/>
    <cellStyle name="Input cel new 5 3 5 2 4" xfId="3288"/>
    <cellStyle name="Input cel new 5 3 5 3" xfId="1396"/>
    <cellStyle name="Input cel new 5 3 5 3 2" xfId="4205"/>
    <cellStyle name="Input cel new 5 3 5 3 3" xfId="5617"/>
    <cellStyle name="Input cel new 5 3 5 3 4" xfId="2999"/>
    <cellStyle name="Input cel new 5 3 5 4" xfId="2449"/>
    <cellStyle name="Input cel new 5 3 5 5" xfId="3605"/>
    <cellStyle name="Input cel new 5 3 5 6" xfId="5030"/>
    <cellStyle name="Input cel new 5 3 5 7" xfId="2152"/>
    <cellStyle name="Input cel new 5 3 6" xfId="1173"/>
    <cellStyle name="Input cel new 5 3 6 2" xfId="2782"/>
    <cellStyle name="Input cel new 5 3 6 3" xfId="3981"/>
    <cellStyle name="Input cel new 5 3 6 4" xfId="5395"/>
    <cellStyle name="Input cel new 5 3 6 5" xfId="1944"/>
    <cellStyle name="Input cel new 5 3 7" xfId="927"/>
    <cellStyle name="Input cel new 5 3 7 2" xfId="3729"/>
    <cellStyle name="Input cel new 5 3 7 3" xfId="5150"/>
    <cellStyle name="Input cel new 5 3 7 4" xfId="2563"/>
    <cellStyle name="Input cel new 5 3 8" xfId="829"/>
    <cellStyle name="Input cel new 5 3 8 2" xfId="3629"/>
    <cellStyle name="Input cel new 5 3 8 3" xfId="5054"/>
    <cellStyle name="Input cel new 5 3 8 4" xfId="2472"/>
    <cellStyle name="Input cel new 5 3 9" xfId="364"/>
    <cellStyle name="Input cel new 5 3 9 2" xfId="4610"/>
    <cellStyle name="Input cel new 5 3 9 3" xfId="2206"/>
    <cellStyle name="Input cel new 5 4" xfId="389"/>
    <cellStyle name="Input cel new 5 4 2" xfId="484"/>
    <cellStyle name="Input cel new 5 4 2 2" xfId="1160"/>
    <cellStyle name="Input cel new 5 4 2 2 2" xfId="5382"/>
    <cellStyle name="Input cel new 5 4 2 2 3" xfId="3968"/>
    <cellStyle name="Input cel new 5 4 2 3" xfId="4709"/>
    <cellStyle name="Input cel new 5 4 3" xfId="978"/>
    <cellStyle name="Input cel new 5 4 3 2" xfId="3781"/>
    <cellStyle name="Input cel new 5 4 3 3" xfId="5201"/>
    <cellStyle name="Input cel new 5 4 3 4" xfId="2611"/>
    <cellStyle name="Input cel new 5 4 4" xfId="582"/>
    <cellStyle name="Input cel new 5 4 4 2" xfId="4807"/>
    <cellStyle name="Input cel new 5 4 4 3" xfId="2187"/>
    <cellStyle name="Input cel new 5 4 5" xfId="3341"/>
    <cellStyle name="Input cel new 5 4 6" xfId="1928"/>
    <cellStyle name="Input cel new 5 5" xfId="466"/>
    <cellStyle name="Input cel new 5 5 2" xfId="1290"/>
    <cellStyle name="Input cel new 5 5 2 2" xfId="1607"/>
    <cellStyle name="Input cel new 5 5 2 2 2" xfId="4416"/>
    <cellStyle name="Input cel new 5 5 2 2 3" xfId="5828"/>
    <cellStyle name="Input cel new 5 5 2 2 4" xfId="3182"/>
    <cellStyle name="Input cel new 5 5 2 3" xfId="4099"/>
    <cellStyle name="Input cel new 5 5 2 4" xfId="5512"/>
    <cellStyle name="Input cel new 5 5 2 5" xfId="2897"/>
    <cellStyle name="Input cel new 5 5 3" xfId="1417"/>
    <cellStyle name="Input cel new 5 5 3 2" xfId="4226"/>
    <cellStyle name="Input cel new 5 5 3 3" xfId="5638"/>
    <cellStyle name="Input cel new 5 5 3 4" xfId="3019"/>
    <cellStyle name="Input cel new 5 5 4" xfId="936"/>
    <cellStyle name="Input cel new 5 5 4 2" xfId="3738"/>
    <cellStyle name="Input cel new 5 5 4 3" xfId="5159"/>
    <cellStyle name="Input cel new 5 5 4 4" xfId="2570"/>
    <cellStyle name="Input cel new 5 5 5" xfId="694"/>
    <cellStyle name="Input cel new 5 5 5 2" xfId="4919"/>
    <cellStyle name="Input cel new 5 5 5 3" xfId="2339"/>
    <cellStyle name="Input cel new 5 5 6" xfId="3494"/>
    <cellStyle name="Input cel new 5 5 7" xfId="4691"/>
    <cellStyle name="Input cel new 5 6" xfId="757"/>
    <cellStyle name="Input cel new 5 6 2" xfId="1670"/>
    <cellStyle name="Input cel new 5 6 2 2" xfId="4479"/>
    <cellStyle name="Input cel new 5 6 2 3" xfId="5891"/>
    <cellStyle name="Input cel new 5 6 2 4" xfId="3241"/>
    <cellStyle name="Input cel new 5 6 3" xfId="972"/>
    <cellStyle name="Input cel new 5 6 3 2" xfId="3775"/>
    <cellStyle name="Input cel new 5 6 3 3" xfId="5195"/>
    <cellStyle name="Input cel new 5 6 3 4" xfId="2605"/>
    <cellStyle name="Input cel new 5 6 4" xfId="2401"/>
    <cellStyle name="Input cel new 5 6 5" xfId="3557"/>
    <cellStyle name="Input cel new 5 6 6" xfId="4982"/>
    <cellStyle name="Input cel new 5 6 7" xfId="2105"/>
    <cellStyle name="Input cel new 5 7" xfId="873"/>
    <cellStyle name="Input cel new 5 7 2" xfId="863"/>
    <cellStyle name="Input cel new 5 7 2 2" xfId="3663"/>
    <cellStyle name="Input cel new 5 7 2 3" xfId="5087"/>
    <cellStyle name="Input cel new 5 7 2 4" xfId="2505"/>
    <cellStyle name="Input cel new 5 7 3" xfId="2514"/>
    <cellStyle name="Input cel new 5 7 4" xfId="3673"/>
    <cellStyle name="Input cel new 5 7 5" xfId="5097"/>
    <cellStyle name="Input cel new 5 7 6" xfId="1801"/>
    <cellStyle name="Input cel new 5 8" xfId="556"/>
    <cellStyle name="Input cel new 5 8 2" xfId="4781"/>
    <cellStyle name="Input cel new 5 8 3" xfId="1886"/>
    <cellStyle name="Input cel new 5 9" xfId="1829"/>
    <cellStyle name="Input cel new 6" xfId="210"/>
    <cellStyle name="Input cel new 6 2" xfId="429"/>
    <cellStyle name="Input cel new 6 2 10" xfId="1907"/>
    <cellStyle name="Input cel new 6 2 11" xfId="4660"/>
    <cellStyle name="Input cel new 6 2 2" xfId="524"/>
    <cellStyle name="Input cel new 6 2 2 2" xfId="1261"/>
    <cellStyle name="Input cel new 6 2 2 2 2" xfId="1575"/>
    <cellStyle name="Input cel new 6 2 2 2 2 2" xfId="4384"/>
    <cellStyle name="Input cel new 6 2 2 2 2 3" xfId="5796"/>
    <cellStyle name="Input cel new 6 2 2 2 2 4" xfId="3152"/>
    <cellStyle name="Input cel new 6 2 2 2 3" xfId="4070"/>
    <cellStyle name="Input cel new 6 2 2 2 4" xfId="5483"/>
    <cellStyle name="Input cel new 6 2 2 2 5" xfId="2868"/>
    <cellStyle name="Input cel new 6 2 2 3" xfId="1412"/>
    <cellStyle name="Input cel new 6 2 2 3 2" xfId="4221"/>
    <cellStyle name="Input cel new 6 2 2 3 3" xfId="5633"/>
    <cellStyle name="Input cel new 6 2 2 3 4" xfId="3014"/>
    <cellStyle name="Input cel new 6 2 2 4" xfId="1041"/>
    <cellStyle name="Input cel new 6 2 2 4 2" xfId="3844"/>
    <cellStyle name="Input cel new 6 2 2 4 3" xfId="5264"/>
    <cellStyle name="Input cel new 6 2 2 4 4" xfId="2668"/>
    <cellStyle name="Input cel new 6 2 2 5" xfId="662"/>
    <cellStyle name="Input cel new 6 2 2 5 2" xfId="4887"/>
    <cellStyle name="Input cel new 6 2 2 5 3" xfId="2309"/>
    <cellStyle name="Input cel new 6 2 2 6" xfId="3462"/>
    <cellStyle name="Input cel new 6 2 2 7" xfId="4749"/>
    <cellStyle name="Input cel new 6 2 3" xfId="726"/>
    <cellStyle name="Input cel new 6 2 3 2" xfId="1639"/>
    <cellStyle name="Input cel new 6 2 3 2 2" xfId="4448"/>
    <cellStyle name="Input cel new 6 2 3 2 3" xfId="5860"/>
    <cellStyle name="Input cel new 6 2 3 2 4" xfId="3212"/>
    <cellStyle name="Input cel new 6 2 3 3" xfId="1322"/>
    <cellStyle name="Input cel new 6 2 3 3 2" xfId="4131"/>
    <cellStyle name="Input cel new 6 2 3 3 3" xfId="5544"/>
    <cellStyle name="Input cel new 6 2 3 3 4" xfId="2928"/>
    <cellStyle name="Input cel new 6 2 3 4" xfId="2370"/>
    <cellStyle name="Input cel new 6 2 3 5" xfId="3526"/>
    <cellStyle name="Input cel new 6 2 3 6" xfId="4951"/>
    <cellStyle name="Input cel new 6 2 3 7" xfId="2076"/>
    <cellStyle name="Input cel new 6 2 4" xfId="788"/>
    <cellStyle name="Input cel new 6 2 4 2" xfId="1701"/>
    <cellStyle name="Input cel new 6 2 4 2 2" xfId="4510"/>
    <cellStyle name="Input cel new 6 2 4 2 3" xfId="5922"/>
    <cellStyle name="Input cel new 6 2 4 2 4" xfId="3271"/>
    <cellStyle name="Input cel new 6 2 4 3" xfId="1379"/>
    <cellStyle name="Input cel new 6 2 4 3 2" xfId="4188"/>
    <cellStyle name="Input cel new 6 2 4 3 3" xfId="5600"/>
    <cellStyle name="Input cel new 6 2 4 3 4" xfId="2982"/>
    <cellStyle name="Input cel new 6 2 4 4" xfId="2432"/>
    <cellStyle name="Input cel new 6 2 4 5" xfId="3588"/>
    <cellStyle name="Input cel new 6 2 4 6" xfId="5013"/>
    <cellStyle name="Input cel new 6 2 4 7" xfId="2135"/>
    <cellStyle name="Input cel new 6 2 5" xfId="1224"/>
    <cellStyle name="Input cel new 6 2 5 2" xfId="1538"/>
    <cellStyle name="Input cel new 6 2 5 2 2" xfId="4347"/>
    <cellStyle name="Input cel new 6 2 5 2 3" xfId="5759"/>
    <cellStyle name="Input cel new 6 2 5 2 4" xfId="3116"/>
    <cellStyle name="Input cel new 6 2 5 3" xfId="2832"/>
    <cellStyle name="Input cel new 6 2 5 4" xfId="4032"/>
    <cellStyle name="Input cel new 6 2 5 5" xfId="5446"/>
    <cellStyle name="Input cel new 6 2 5 6" xfId="1994"/>
    <cellStyle name="Input cel new 6 2 6" xfId="1050"/>
    <cellStyle name="Input cel new 6 2 6 2" xfId="3853"/>
    <cellStyle name="Input cel new 6 2 6 3" xfId="5273"/>
    <cellStyle name="Input cel new 6 2 6 4" xfId="2677"/>
    <cellStyle name="Input cel new 6 2 7" xfId="903"/>
    <cellStyle name="Input cel new 6 2 7 2" xfId="3704"/>
    <cellStyle name="Input cel new 6 2 7 3" xfId="5127"/>
    <cellStyle name="Input cel new 6 2 7 4" xfId="2540"/>
    <cellStyle name="Input cel new 6 2 8" xfId="614"/>
    <cellStyle name="Input cel new 6 2 8 2" xfId="4839"/>
    <cellStyle name="Input cel new 6 2 8 3" xfId="2261"/>
    <cellStyle name="Input cel new 6 2 9" xfId="3414"/>
    <cellStyle name="Input cel new 6 3" xfId="381"/>
    <cellStyle name="Input cel new 6 3 2" xfId="477"/>
    <cellStyle name="Input cel new 6 3 2 2" xfId="1512"/>
    <cellStyle name="Input cel new 6 3 2 2 2" xfId="5733"/>
    <cellStyle name="Input cel new 6 3 2 2 3" xfId="4321"/>
    <cellStyle name="Input cel new 6 3 2 3" xfId="4702"/>
    <cellStyle name="Input cel new 6 3 3" xfId="1084"/>
    <cellStyle name="Input cel new 6 3 3 2" xfId="3887"/>
    <cellStyle name="Input cel new 6 3 3 3" xfId="5307"/>
    <cellStyle name="Input cel new 6 3 3 4" xfId="2709"/>
    <cellStyle name="Input cel new 6 3 4" xfId="583"/>
    <cellStyle name="Input cel new 6 3 4 2" xfId="4808"/>
    <cellStyle name="Input cel new 6 3 4 3" xfId="2230"/>
    <cellStyle name="Input cel new 6 3 5" xfId="3383"/>
    <cellStyle name="Input cel new 6 3 6" xfId="4626"/>
    <cellStyle name="Input cel new 6 4" xfId="337"/>
    <cellStyle name="Input cel new 6 4 2" xfId="992"/>
    <cellStyle name="Input cel new 6 4 2 2" xfId="5215"/>
    <cellStyle name="Input cel new 6 4 2 3" xfId="3795"/>
    <cellStyle name="Input cel new 6 4 3" xfId="4583"/>
    <cellStyle name="Input cel new 6 4 4" xfId="2621"/>
    <cellStyle name="Input cel new 6 5" xfId="284"/>
    <cellStyle name="Input cel new 6 5 2" xfId="3698"/>
    <cellStyle name="Input cel new 6 5 3" xfId="1767"/>
    <cellStyle name="Input cel new 6 5 4" xfId="2535"/>
    <cellStyle name="Input cel new 6 6" xfId="2167"/>
    <cellStyle name="Input cel new 6 7" xfId="3321"/>
    <cellStyle name="Input cel new 6 8" xfId="1759"/>
    <cellStyle name="Input cel new 6 9" xfId="1744"/>
    <cellStyle name="Input cel new 7" xfId="313"/>
    <cellStyle name="Input cel new 7 2" xfId="3308"/>
    <cellStyle name="Input cel new 7 3" xfId="4559"/>
    <cellStyle name="Input cel new 7 4" xfId="1814"/>
    <cellStyle name="Input cel new 8" xfId="811"/>
    <cellStyle name="Input cel new 8 2" xfId="3611"/>
    <cellStyle name="Input cel new 8 3" xfId="5036"/>
    <cellStyle name="Input cel new 8 4" xfId="2455"/>
    <cellStyle name="Input cel new 9" xfId="1751"/>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1" xfId="1763"/>
    <cellStyle name="Normal GHG Numbers (0.00) 2 2" xfId="395"/>
    <cellStyle name="Normal GHG Numbers (0.00) 2 2 10" xfId="1866"/>
    <cellStyle name="Normal GHG Numbers (0.00) 2 2 11" xfId="4636"/>
    <cellStyle name="Normal GHG Numbers (0.00) 2 2 2" xfId="490"/>
    <cellStyle name="Normal GHG Numbers (0.00) 2 2 2 2" xfId="1204"/>
    <cellStyle name="Normal GHG Numbers (0.00) 2 2 2 2 2" xfId="1521"/>
    <cellStyle name="Normal GHG Numbers (0.00) 2 2 2 2 2 2" xfId="4330"/>
    <cellStyle name="Normal GHG Numbers (0.00) 2 2 2 2 2 3" xfId="5742"/>
    <cellStyle name="Normal GHG Numbers (0.00) 2 2 2 2 2 4" xfId="3101"/>
    <cellStyle name="Normal GHG Numbers (0.00) 2 2 2 2 3" xfId="2812"/>
    <cellStyle name="Normal GHG Numbers (0.00) 2 2 2 2 4" xfId="4012"/>
    <cellStyle name="Normal GHG Numbers (0.00) 2 2 2 2 5" xfId="5426"/>
    <cellStyle name="Normal GHG Numbers (0.00) 2 2 2 2 6" xfId="1975"/>
    <cellStyle name="Normal GHG Numbers (0.00) 2 2 2 3" xfId="1123"/>
    <cellStyle name="Normal GHG Numbers (0.00) 2 2 2 3 2" xfId="3929"/>
    <cellStyle name="Normal GHG Numbers (0.00) 2 2 2 3 3" xfId="5345"/>
    <cellStyle name="Normal GHG Numbers (0.00) 2 2 2 3 4" xfId="2744"/>
    <cellStyle name="Normal GHG Numbers (0.00) 2 2 2 4" xfId="1109"/>
    <cellStyle name="Normal GHG Numbers (0.00) 2 2 2 4 2" xfId="3915"/>
    <cellStyle name="Normal GHG Numbers (0.00) 2 2 2 4 3" xfId="5332"/>
    <cellStyle name="Normal GHG Numbers (0.00) 2 2 2 4 4" xfId="2731"/>
    <cellStyle name="Normal GHG Numbers (0.00) 2 2 2 5" xfId="949"/>
    <cellStyle name="Normal GHG Numbers (0.00) 2 2 2 5 2" xfId="3752"/>
    <cellStyle name="Normal GHG Numbers (0.00) 2 2 2 5 3" xfId="5172"/>
    <cellStyle name="Normal GHG Numbers (0.00) 2 2 2 5 4" xfId="2584"/>
    <cellStyle name="Normal GHG Numbers (0.00) 2 2 2 6" xfId="594"/>
    <cellStyle name="Normal GHG Numbers (0.00) 2 2 2 6 2" xfId="4819"/>
    <cellStyle name="Normal GHG Numbers (0.00) 2 2 2 6 3" xfId="2241"/>
    <cellStyle name="Normal GHG Numbers (0.00) 2 2 2 7" xfId="3394"/>
    <cellStyle name="Normal GHG Numbers (0.00) 2 2 2 8" xfId="4715"/>
    <cellStyle name="Normal GHG Numbers (0.00) 2 2 3" xfId="642"/>
    <cellStyle name="Normal GHG Numbers (0.00) 2 2 3 2" xfId="1555"/>
    <cellStyle name="Normal GHG Numbers (0.00) 2 2 3 2 2" xfId="4364"/>
    <cellStyle name="Normal GHG Numbers (0.00) 2 2 3 2 3" xfId="5776"/>
    <cellStyle name="Normal GHG Numbers (0.00) 2 2 3 2 4" xfId="3133"/>
    <cellStyle name="Normal GHG Numbers (0.00) 2 2 3 3" xfId="1011"/>
    <cellStyle name="Normal GHG Numbers (0.00) 2 2 3 3 2" xfId="3814"/>
    <cellStyle name="Normal GHG Numbers (0.00) 2 2 3 3 3" xfId="5234"/>
    <cellStyle name="Normal GHG Numbers (0.00) 2 2 3 3 4" xfId="2640"/>
    <cellStyle name="Normal GHG Numbers (0.00) 2 2 3 4" xfId="2289"/>
    <cellStyle name="Normal GHG Numbers (0.00) 2 2 3 5" xfId="3442"/>
    <cellStyle name="Normal GHG Numbers (0.00) 2 2 3 6" xfId="4867"/>
    <cellStyle name="Normal GHG Numbers (0.00) 2 2 3 7" xfId="2023"/>
    <cellStyle name="Normal GHG Numbers (0.00) 2 2 4" xfId="706"/>
    <cellStyle name="Normal GHG Numbers (0.00) 2 2 4 2" xfId="1619"/>
    <cellStyle name="Normal GHG Numbers (0.00) 2 2 4 2 2" xfId="4428"/>
    <cellStyle name="Normal GHG Numbers (0.00) 2 2 4 2 3" xfId="5840"/>
    <cellStyle name="Normal GHG Numbers (0.00) 2 2 4 2 4" xfId="3193"/>
    <cellStyle name="Normal GHG Numbers (0.00) 2 2 4 3" xfId="1302"/>
    <cellStyle name="Normal GHG Numbers (0.00) 2 2 4 3 2" xfId="4111"/>
    <cellStyle name="Normal GHG Numbers (0.00) 2 2 4 3 3" xfId="5524"/>
    <cellStyle name="Normal GHG Numbers (0.00) 2 2 4 3 4" xfId="2909"/>
    <cellStyle name="Normal GHG Numbers (0.00) 2 2 4 4" xfId="2350"/>
    <cellStyle name="Normal GHG Numbers (0.00) 2 2 4 5" xfId="3506"/>
    <cellStyle name="Normal GHG Numbers (0.00) 2 2 4 6" xfId="4931"/>
    <cellStyle name="Normal GHG Numbers (0.00) 2 2 4 7" xfId="2057"/>
    <cellStyle name="Normal GHG Numbers (0.00) 2 2 5" xfId="768"/>
    <cellStyle name="Normal GHG Numbers (0.00) 2 2 5 2" xfId="1681"/>
    <cellStyle name="Normal GHG Numbers (0.00) 2 2 5 2 2" xfId="4490"/>
    <cellStyle name="Normal GHG Numbers (0.00) 2 2 5 2 3" xfId="5902"/>
    <cellStyle name="Normal GHG Numbers (0.00) 2 2 5 2 4" xfId="3252"/>
    <cellStyle name="Normal GHG Numbers (0.00) 2 2 5 3" xfId="1359"/>
    <cellStyle name="Normal GHG Numbers (0.00) 2 2 5 3 2" xfId="4168"/>
    <cellStyle name="Normal GHG Numbers (0.00) 2 2 5 3 3" xfId="5580"/>
    <cellStyle name="Normal GHG Numbers (0.00) 2 2 5 3 4" xfId="2963"/>
    <cellStyle name="Normal GHG Numbers (0.00) 2 2 5 4" xfId="2412"/>
    <cellStyle name="Normal GHG Numbers (0.00) 2 2 5 5" xfId="3568"/>
    <cellStyle name="Normal GHG Numbers (0.00) 2 2 5 6" xfId="4993"/>
    <cellStyle name="Normal GHG Numbers (0.00) 2 2 5 7" xfId="2116"/>
    <cellStyle name="Normal GHG Numbers (0.00) 2 2 6" xfId="1185"/>
    <cellStyle name="Normal GHG Numbers (0.00) 2 2 6 2" xfId="2793"/>
    <cellStyle name="Normal GHG Numbers (0.00) 2 2 6 3" xfId="3993"/>
    <cellStyle name="Normal GHG Numbers (0.00) 2 2 6 4" xfId="5407"/>
    <cellStyle name="Normal GHG Numbers (0.00) 2 2 6 5" xfId="1956"/>
    <cellStyle name="Normal GHG Numbers (0.00) 2 2 7" xfId="990"/>
    <cellStyle name="Normal GHG Numbers (0.00) 2 2 7 2" xfId="3793"/>
    <cellStyle name="Normal GHG Numbers (0.00) 2 2 7 3" xfId="5213"/>
    <cellStyle name="Normal GHG Numbers (0.00) 2 2 7 4" xfId="2619"/>
    <cellStyle name="Normal GHG Numbers (0.00) 2 2 8" xfId="371"/>
    <cellStyle name="Normal GHG Numbers (0.00) 2 2 8 2" xfId="4617"/>
    <cellStyle name="Normal GHG Numbers (0.00) 2 2 8 3" xfId="2218"/>
    <cellStyle name="Normal GHG Numbers (0.00) 2 2 9" xfId="3371"/>
    <cellStyle name="Normal GHG Numbers (0.00) 2 3" xfId="430"/>
    <cellStyle name="Normal GHG Numbers (0.00) 2 3 10" xfId="3322"/>
    <cellStyle name="Normal GHG Numbers (0.00) 2 3 11" xfId="1823"/>
    <cellStyle name="Normal GHG Numbers (0.00) 2 3 12" xfId="4661"/>
    <cellStyle name="Normal GHG Numbers (0.00) 2 3 2" xfId="525"/>
    <cellStyle name="Normal GHG Numbers (0.00) 2 3 2 2" xfId="1225"/>
    <cellStyle name="Normal GHG Numbers (0.00) 2 3 2 2 2" xfId="2833"/>
    <cellStyle name="Normal GHG Numbers (0.00) 2 3 2 2 3" xfId="4033"/>
    <cellStyle name="Normal GHG Numbers (0.00) 2 3 2 2 4" xfId="5447"/>
    <cellStyle name="Normal GHG Numbers (0.00) 2 3 2 2 5" xfId="1995"/>
    <cellStyle name="Normal GHG Numbers (0.00) 2 3 2 3" xfId="1427"/>
    <cellStyle name="Normal GHG Numbers (0.00) 2 3 2 3 2" xfId="4236"/>
    <cellStyle name="Normal GHG Numbers (0.00) 2 3 2 3 3" xfId="5648"/>
    <cellStyle name="Normal GHG Numbers (0.00) 2 3 2 3 4" xfId="3028"/>
    <cellStyle name="Normal GHG Numbers (0.00) 2 3 2 4" xfId="984"/>
    <cellStyle name="Normal GHG Numbers (0.00) 2 3 2 4 2" xfId="3787"/>
    <cellStyle name="Normal GHG Numbers (0.00) 2 3 2 4 3" xfId="5207"/>
    <cellStyle name="Normal GHG Numbers (0.00) 2 3 2 4 4" xfId="2614"/>
    <cellStyle name="Normal GHG Numbers (0.00) 2 3 2 5" xfId="615"/>
    <cellStyle name="Normal GHG Numbers (0.00) 2 3 2 5 2" xfId="4840"/>
    <cellStyle name="Normal GHG Numbers (0.00) 2 3 2 5 3" xfId="2262"/>
    <cellStyle name="Normal GHG Numbers (0.00) 2 3 2 6" xfId="3415"/>
    <cellStyle name="Normal GHG Numbers (0.00) 2 3 2 7" xfId="4750"/>
    <cellStyle name="Normal GHG Numbers (0.00) 2 3 3" xfId="663"/>
    <cellStyle name="Normal GHG Numbers (0.00) 2 3 3 2" xfId="1262"/>
    <cellStyle name="Normal GHG Numbers (0.00) 2 3 3 2 2" xfId="1576"/>
    <cellStyle name="Normal GHG Numbers (0.00) 2 3 3 2 2 2" xfId="4385"/>
    <cellStyle name="Normal GHG Numbers (0.00) 2 3 3 2 2 3" xfId="5797"/>
    <cellStyle name="Normal GHG Numbers (0.00) 2 3 3 2 2 4" xfId="3153"/>
    <cellStyle name="Normal GHG Numbers (0.00) 2 3 3 2 3" xfId="4071"/>
    <cellStyle name="Normal GHG Numbers (0.00) 2 3 3 2 4" xfId="5484"/>
    <cellStyle name="Normal GHG Numbers (0.00) 2 3 3 2 5" xfId="2869"/>
    <cellStyle name="Normal GHG Numbers (0.00) 2 3 3 3" xfId="882"/>
    <cellStyle name="Normal GHG Numbers (0.00) 2 3 3 3 2" xfId="3682"/>
    <cellStyle name="Normal GHG Numbers (0.00) 2 3 3 3 3" xfId="5106"/>
    <cellStyle name="Normal GHG Numbers (0.00) 2 3 3 3 4" xfId="2520"/>
    <cellStyle name="Normal GHG Numbers (0.00) 2 3 3 4" xfId="1042"/>
    <cellStyle name="Normal GHG Numbers (0.00) 2 3 3 4 2" xfId="3845"/>
    <cellStyle name="Normal GHG Numbers (0.00) 2 3 3 4 3" xfId="5265"/>
    <cellStyle name="Normal GHG Numbers (0.00) 2 3 3 4 4" xfId="2669"/>
    <cellStyle name="Normal GHG Numbers (0.00) 2 3 3 5" xfId="2310"/>
    <cellStyle name="Normal GHG Numbers (0.00) 2 3 3 6" xfId="3463"/>
    <cellStyle name="Normal GHG Numbers (0.00) 2 3 3 7" xfId="4888"/>
    <cellStyle name="Normal GHG Numbers (0.00) 2 3 3 8" xfId="2035"/>
    <cellStyle name="Normal GHG Numbers (0.00) 2 3 4" xfId="727"/>
    <cellStyle name="Normal GHG Numbers (0.00) 2 3 4 2" xfId="1640"/>
    <cellStyle name="Normal GHG Numbers (0.00) 2 3 4 2 2" xfId="4449"/>
    <cellStyle name="Normal GHG Numbers (0.00) 2 3 4 2 3" xfId="5861"/>
    <cellStyle name="Normal GHG Numbers (0.00) 2 3 4 2 4" xfId="3213"/>
    <cellStyle name="Normal GHG Numbers (0.00) 2 3 4 3" xfId="1323"/>
    <cellStyle name="Normal GHG Numbers (0.00) 2 3 4 3 2" xfId="4132"/>
    <cellStyle name="Normal GHG Numbers (0.00) 2 3 4 3 3" xfId="5545"/>
    <cellStyle name="Normal GHG Numbers (0.00) 2 3 4 3 4" xfId="2929"/>
    <cellStyle name="Normal GHG Numbers (0.00) 2 3 4 4" xfId="2371"/>
    <cellStyle name="Normal GHG Numbers (0.00) 2 3 4 5" xfId="3527"/>
    <cellStyle name="Normal GHG Numbers (0.00) 2 3 4 6" xfId="4952"/>
    <cellStyle name="Normal GHG Numbers (0.00) 2 3 4 7" xfId="2077"/>
    <cellStyle name="Normal GHG Numbers (0.00) 2 3 5" xfId="789"/>
    <cellStyle name="Normal GHG Numbers (0.00) 2 3 5 2" xfId="1702"/>
    <cellStyle name="Normal GHG Numbers (0.00) 2 3 5 2 2" xfId="4511"/>
    <cellStyle name="Normal GHG Numbers (0.00) 2 3 5 2 3" xfId="5923"/>
    <cellStyle name="Normal GHG Numbers (0.00) 2 3 5 2 4" xfId="3272"/>
    <cellStyle name="Normal GHG Numbers (0.00) 2 3 5 3" xfId="1380"/>
    <cellStyle name="Normal GHG Numbers (0.00) 2 3 5 3 2" xfId="4189"/>
    <cellStyle name="Normal GHG Numbers (0.00) 2 3 5 3 3" xfId="5601"/>
    <cellStyle name="Normal GHG Numbers (0.00) 2 3 5 3 4" xfId="2983"/>
    <cellStyle name="Normal GHG Numbers (0.00) 2 3 5 4" xfId="2433"/>
    <cellStyle name="Normal GHG Numbers (0.00) 2 3 5 5" xfId="3589"/>
    <cellStyle name="Normal GHG Numbers (0.00) 2 3 5 6" xfId="5014"/>
    <cellStyle name="Normal GHG Numbers (0.00) 2 3 5 7" xfId="2136"/>
    <cellStyle name="Normal GHG Numbers (0.00) 2 3 6" xfId="1111"/>
    <cellStyle name="Normal GHG Numbers (0.00) 2 3 6 2" xfId="2733"/>
    <cellStyle name="Normal GHG Numbers (0.00) 2 3 6 3" xfId="3917"/>
    <cellStyle name="Normal GHG Numbers (0.00) 2 3 6 4" xfId="5334"/>
    <cellStyle name="Normal GHG Numbers (0.00) 2 3 6 5" xfId="1892"/>
    <cellStyle name="Normal GHG Numbers (0.00) 2 3 7" xfId="1249"/>
    <cellStyle name="Normal GHG Numbers (0.00) 2 3 7 2" xfId="4057"/>
    <cellStyle name="Normal GHG Numbers (0.00) 2 3 7 3" xfId="5471"/>
    <cellStyle name="Normal GHG Numbers (0.00) 2 3 7 4" xfId="2857"/>
    <cellStyle name="Normal GHG Numbers (0.00) 2 3 8" xfId="819"/>
    <cellStyle name="Normal GHG Numbers (0.00) 2 3 8 2" xfId="3619"/>
    <cellStyle name="Normal GHG Numbers (0.00) 2 3 8 3" xfId="5044"/>
    <cellStyle name="Normal GHG Numbers (0.00) 2 3 8 4" xfId="2462"/>
    <cellStyle name="Normal GHG Numbers (0.00) 2 3 9" xfId="341"/>
    <cellStyle name="Normal GHG Numbers (0.00) 2 3 9 2" xfId="4587"/>
    <cellStyle name="Normal GHG Numbers (0.00) 2 3 9 3" xfId="2168"/>
    <cellStyle name="Normal GHG Numbers (0.00) 2 4" xfId="457"/>
    <cellStyle name="Normal GHG Numbers (0.00) 2 4 2" xfId="551"/>
    <cellStyle name="Normal GHG Numbers (0.00) 2 4 2 2" xfId="1509"/>
    <cellStyle name="Normal GHG Numbers (0.00) 2 4 2 2 2" xfId="4318"/>
    <cellStyle name="Normal GHG Numbers (0.00) 2 4 2 2 3" xfId="5730"/>
    <cellStyle name="Normal GHG Numbers (0.00) 2 4 2 2 4" xfId="3091"/>
    <cellStyle name="Normal GHG Numbers (0.00) 2 4 2 3" xfId="1179"/>
    <cellStyle name="Normal GHG Numbers (0.00) 2 4 2 3 2" xfId="5401"/>
    <cellStyle name="Normal GHG Numbers (0.00) 2 4 2 3 3" xfId="3987"/>
    <cellStyle name="Normal GHG Numbers (0.00) 2 4 2 4" xfId="4776"/>
    <cellStyle name="Normal GHG Numbers (0.00) 2 4 3" xfId="1418"/>
    <cellStyle name="Normal GHG Numbers (0.00) 2 4 3 2" xfId="4227"/>
    <cellStyle name="Normal GHG Numbers (0.00) 2 4 3 3" xfId="5639"/>
    <cellStyle name="Normal GHG Numbers (0.00) 2 4 3 4" xfId="3020"/>
    <cellStyle name="Normal GHG Numbers (0.00) 2 4 4" xfId="911"/>
    <cellStyle name="Normal GHG Numbers (0.00) 2 4 4 2" xfId="3711"/>
    <cellStyle name="Normal GHG Numbers (0.00) 2 4 4 3" xfId="5134"/>
    <cellStyle name="Normal GHG Numbers (0.00) 2 4 4 4" xfId="2547"/>
    <cellStyle name="Normal GHG Numbers (0.00) 2 4 5" xfId="292"/>
    <cellStyle name="Normal GHG Numbers (0.00) 2 4 5 2" xfId="4538"/>
    <cellStyle name="Normal GHG Numbers (0.00) 2 4 5 3" xfId="2212"/>
    <cellStyle name="Normal GHG Numbers (0.00) 2 4 6" xfId="3365"/>
    <cellStyle name="Normal GHG Numbers (0.00) 2 4 7" xfId="1950"/>
    <cellStyle name="Normal GHG Numbers (0.00) 2 5" xfId="327"/>
    <cellStyle name="Normal GHG Numbers (0.00) 2 5 2" xfId="1516"/>
    <cellStyle name="Normal GHG Numbers (0.00) 2 5 2 2" xfId="4325"/>
    <cellStyle name="Normal GHG Numbers (0.00) 2 5 2 3" xfId="5737"/>
    <cellStyle name="Normal GHG Numbers (0.00) 2 5 2 4" xfId="3096"/>
    <cellStyle name="Normal GHG Numbers (0.00) 2 5 3" xfId="914"/>
    <cellStyle name="Normal GHG Numbers (0.00) 2 5 3 2" xfId="3716"/>
    <cellStyle name="Normal GHG Numbers (0.00) 2 5 3 3" xfId="5137"/>
    <cellStyle name="Normal GHG Numbers (0.00) 2 5 3 4" xfId="2552"/>
    <cellStyle name="Normal GHG Numbers (0.00) 2 5 4" xfId="588"/>
    <cellStyle name="Normal GHG Numbers (0.00) 2 5 4 2" xfId="4813"/>
    <cellStyle name="Normal GHG Numbers (0.00) 2 5 4 3" xfId="2235"/>
    <cellStyle name="Normal GHG Numbers (0.00) 2 5 5" xfId="3388"/>
    <cellStyle name="Normal GHG Numbers (0.00) 2 5 6" xfId="4573"/>
    <cellStyle name="Normal GHG Numbers (0.00) 2 6" xfId="584"/>
    <cellStyle name="Normal GHG Numbers (0.00) 2 6 2" xfId="1513"/>
    <cellStyle name="Normal GHG Numbers (0.00) 2 6 2 2" xfId="4322"/>
    <cellStyle name="Normal GHG Numbers (0.00) 2 6 2 3" xfId="5734"/>
    <cellStyle name="Normal GHG Numbers (0.00) 2 6 2 4" xfId="3094"/>
    <cellStyle name="Normal GHG Numbers (0.00) 2 6 3" xfId="1197"/>
    <cellStyle name="Normal GHG Numbers (0.00) 2 6 3 2" xfId="4005"/>
    <cellStyle name="Normal GHG Numbers (0.00) 2 6 3 3" xfId="5419"/>
    <cellStyle name="Normal GHG Numbers (0.00) 2 6 3 4" xfId="2805"/>
    <cellStyle name="Normal GHG Numbers (0.00) 2 6 4" xfId="2231"/>
    <cellStyle name="Normal GHG Numbers (0.00) 2 6 5" xfId="3384"/>
    <cellStyle name="Normal GHG Numbers (0.00) 2 6 6" xfId="4809"/>
    <cellStyle name="Normal GHG Numbers (0.00) 2 6 7" xfId="1968"/>
    <cellStyle name="Normal GHG Numbers (0.00) 2 7" xfId="1070"/>
    <cellStyle name="Normal GHG Numbers (0.00) 2 7 2" xfId="1419"/>
    <cellStyle name="Normal GHG Numbers (0.00) 2 7 2 2" xfId="4228"/>
    <cellStyle name="Normal GHG Numbers (0.00) 2 7 2 3" xfId="5640"/>
    <cellStyle name="Normal GHG Numbers (0.00) 2 7 2 4" xfId="3021"/>
    <cellStyle name="Normal GHG Numbers (0.00) 2 7 3" xfId="2697"/>
    <cellStyle name="Normal GHG Numbers (0.00) 2 7 4" xfId="3873"/>
    <cellStyle name="Normal GHG Numbers (0.00) 2 7 5" xfId="5293"/>
    <cellStyle name="Normal GHG Numbers (0.00) 2 7 6" xfId="1836"/>
    <cellStyle name="Normal GHG Numbers (0.00) 2 8" xfId="839"/>
    <cellStyle name="Normal GHG Numbers (0.00) 2 8 2" xfId="3639"/>
    <cellStyle name="Normal GHG Numbers (0.00) 2 8 3" xfId="5064"/>
    <cellStyle name="Normal GHG Numbers (0.00) 2 8 4" xfId="2481"/>
    <cellStyle name="Normal GHG Numbers (0.00) 2 9" xfId="559"/>
    <cellStyle name="Normal GHG Numbers (0.00) 2 9 2" xfId="4784"/>
    <cellStyle name="Normal GHG Numbers (0.00) 2 9 3" xfId="1806"/>
    <cellStyle name="Normal GHG Numbers (0.00) 3" xfId="213"/>
    <cellStyle name="Normal GHG Numbers (0.00) 3 10" xfId="1747"/>
    <cellStyle name="Normal GHG Numbers (0.00) 3 2" xfId="421"/>
    <cellStyle name="Normal GHG Numbers (0.00) 3 2 10" xfId="3408"/>
    <cellStyle name="Normal GHG Numbers (0.00) 3 2 11" xfId="1901"/>
    <cellStyle name="Normal GHG Numbers (0.00) 3 2 12" xfId="4654"/>
    <cellStyle name="Normal GHG Numbers (0.00) 3 2 2" xfId="516"/>
    <cellStyle name="Normal GHG Numbers (0.00) 3 2 2 2" xfId="1569"/>
    <cellStyle name="Normal GHG Numbers (0.00) 3 2 2 2 2" xfId="4378"/>
    <cellStyle name="Normal GHG Numbers (0.00) 3 2 2 2 3" xfId="5790"/>
    <cellStyle name="Normal GHG Numbers (0.00) 3 2 2 2 4" xfId="3146"/>
    <cellStyle name="Normal GHG Numbers (0.00) 3 2 2 3" xfId="965"/>
    <cellStyle name="Normal GHG Numbers (0.00) 3 2 2 3 2" xfId="3768"/>
    <cellStyle name="Normal GHG Numbers (0.00) 3 2 2 3 3" xfId="5188"/>
    <cellStyle name="Normal GHG Numbers (0.00) 3 2 2 3 4" xfId="2598"/>
    <cellStyle name="Normal GHG Numbers (0.00) 3 2 2 4" xfId="1255"/>
    <cellStyle name="Normal GHG Numbers (0.00) 3 2 2 4 2" xfId="4064"/>
    <cellStyle name="Normal GHG Numbers (0.00) 3 2 2 4 3" xfId="5477"/>
    <cellStyle name="Normal GHG Numbers (0.00) 3 2 2 4 4" xfId="2862"/>
    <cellStyle name="Normal GHG Numbers (0.00) 3 2 2 5" xfId="656"/>
    <cellStyle name="Normal GHG Numbers (0.00) 3 2 2 5 2" xfId="4881"/>
    <cellStyle name="Normal GHG Numbers (0.00) 3 2 2 5 3" xfId="2303"/>
    <cellStyle name="Normal GHG Numbers (0.00) 3 2 2 6" xfId="3456"/>
    <cellStyle name="Normal GHG Numbers (0.00) 3 2 2 7" xfId="4741"/>
    <cellStyle name="Normal GHG Numbers (0.00) 3 2 3" xfId="720"/>
    <cellStyle name="Normal GHG Numbers (0.00) 3 2 3 2" xfId="1633"/>
    <cellStyle name="Normal GHG Numbers (0.00) 3 2 3 2 2" xfId="4442"/>
    <cellStyle name="Normal GHG Numbers (0.00) 3 2 3 2 3" xfId="5854"/>
    <cellStyle name="Normal GHG Numbers (0.00) 3 2 3 2 4" xfId="3206"/>
    <cellStyle name="Normal GHG Numbers (0.00) 3 2 3 3" xfId="1316"/>
    <cellStyle name="Normal GHG Numbers (0.00) 3 2 3 3 2" xfId="4125"/>
    <cellStyle name="Normal GHG Numbers (0.00) 3 2 3 3 3" xfId="5538"/>
    <cellStyle name="Normal GHG Numbers (0.00) 3 2 3 3 4" xfId="2922"/>
    <cellStyle name="Normal GHG Numbers (0.00) 3 2 3 4" xfId="2364"/>
    <cellStyle name="Normal GHG Numbers (0.00) 3 2 3 5" xfId="3520"/>
    <cellStyle name="Normal GHG Numbers (0.00) 3 2 3 6" xfId="4945"/>
    <cellStyle name="Normal GHG Numbers (0.00) 3 2 3 7" xfId="2070"/>
    <cellStyle name="Normal GHG Numbers (0.00) 3 2 4" xfId="782"/>
    <cellStyle name="Normal GHG Numbers (0.00) 3 2 4 2" xfId="1695"/>
    <cellStyle name="Normal GHG Numbers (0.00) 3 2 4 2 2" xfId="4504"/>
    <cellStyle name="Normal GHG Numbers (0.00) 3 2 4 2 3" xfId="5916"/>
    <cellStyle name="Normal GHG Numbers (0.00) 3 2 4 2 4" xfId="3265"/>
    <cellStyle name="Normal GHG Numbers (0.00) 3 2 4 3" xfId="1373"/>
    <cellStyle name="Normal GHG Numbers (0.00) 3 2 4 3 2" xfId="4182"/>
    <cellStyle name="Normal GHG Numbers (0.00) 3 2 4 3 3" xfId="5594"/>
    <cellStyle name="Normal GHG Numbers (0.00) 3 2 4 3 4" xfId="2976"/>
    <cellStyle name="Normal GHG Numbers (0.00) 3 2 4 4" xfId="2426"/>
    <cellStyle name="Normal GHG Numbers (0.00) 3 2 4 5" xfId="3582"/>
    <cellStyle name="Normal GHG Numbers (0.00) 3 2 4 6" xfId="5007"/>
    <cellStyle name="Normal GHG Numbers (0.00) 3 2 4 7" xfId="2129"/>
    <cellStyle name="Normal GHG Numbers (0.00) 3 2 5" xfId="1218"/>
    <cellStyle name="Normal GHG Numbers (0.00) 3 2 5 2" xfId="1532"/>
    <cellStyle name="Normal GHG Numbers (0.00) 3 2 5 2 2" xfId="4341"/>
    <cellStyle name="Normal GHG Numbers (0.00) 3 2 5 2 3" xfId="5753"/>
    <cellStyle name="Normal GHG Numbers (0.00) 3 2 5 2 4" xfId="3110"/>
    <cellStyle name="Normal GHG Numbers (0.00) 3 2 5 3" xfId="2826"/>
    <cellStyle name="Normal GHG Numbers (0.00) 3 2 5 4" xfId="4026"/>
    <cellStyle name="Normal GHG Numbers (0.00) 3 2 5 5" xfId="5440"/>
    <cellStyle name="Normal GHG Numbers (0.00) 3 2 5 6" xfId="1988"/>
    <cellStyle name="Normal GHG Numbers (0.00) 3 2 6" xfId="1140"/>
    <cellStyle name="Normal GHG Numbers (0.00) 3 2 6 2" xfId="3946"/>
    <cellStyle name="Normal GHG Numbers (0.00) 3 2 6 3" xfId="5362"/>
    <cellStyle name="Normal GHG Numbers (0.00) 3 2 6 4" xfId="2759"/>
    <cellStyle name="Normal GHG Numbers (0.00) 3 2 7" xfId="1027"/>
    <cellStyle name="Normal GHG Numbers (0.00) 3 2 7 2" xfId="3830"/>
    <cellStyle name="Normal GHG Numbers (0.00) 3 2 7 3" xfId="5250"/>
    <cellStyle name="Normal GHG Numbers (0.00) 3 2 7 4" xfId="2655"/>
    <cellStyle name="Normal GHG Numbers (0.00) 3 2 8" xfId="1035"/>
    <cellStyle name="Normal GHG Numbers (0.00) 3 2 8 2" xfId="3838"/>
    <cellStyle name="Normal GHG Numbers (0.00) 3 2 8 3" xfId="5258"/>
    <cellStyle name="Normal GHG Numbers (0.00) 3 2 8 4" xfId="2662"/>
    <cellStyle name="Normal GHG Numbers (0.00) 3 2 9" xfId="608"/>
    <cellStyle name="Normal GHG Numbers (0.00) 3 2 9 2" xfId="4833"/>
    <cellStyle name="Normal GHG Numbers (0.00) 3 2 9 3" xfId="2255"/>
    <cellStyle name="Normal GHG Numbers (0.00) 3 3" xfId="380"/>
    <cellStyle name="Normal GHG Numbers (0.00) 3 3 2" xfId="476"/>
    <cellStyle name="Normal GHG Numbers (0.00) 3 3 2 2" xfId="1469"/>
    <cellStyle name="Normal GHG Numbers (0.00) 3 3 2 2 2" xfId="5690"/>
    <cellStyle name="Normal GHG Numbers (0.00) 3 3 2 2 3" xfId="4278"/>
    <cellStyle name="Normal GHG Numbers (0.00) 3 3 2 3" xfId="4701"/>
    <cellStyle name="Normal GHG Numbers (0.00) 3 3 3" xfId="1083"/>
    <cellStyle name="Normal GHG Numbers (0.00) 3 3 3 2" xfId="3886"/>
    <cellStyle name="Normal GHG Numbers (0.00) 3 3 3 3" xfId="5306"/>
    <cellStyle name="Normal GHG Numbers (0.00) 3 3 3 4" xfId="2708"/>
    <cellStyle name="Normal GHG Numbers (0.00) 3 3 4" xfId="328"/>
    <cellStyle name="Normal GHG Numbers (0.00) 3 3 4 2" xfId="4574"/>
    <cellStyle name="Normal GHG Numbers (0.00) 3 3 4 3" xfId="1918"/>
    <cellStyle name="Normal GHG Numbers (0.00) 3 3 5" xfId="3300"/>
    <cellStyle name="Normal GHG Numbers (0.00) 3 3 6" xfId="4625"/>
    <cellStyle name="Normal GHG Numbers (0.00) 3 4" xfId="340"/>
    <cellStyle name="Normal GHG Numbers (0.00) 3 4 2" xfId="1506"/>
    <cellStyle name="Normal GHG Numbers (0.00) 3 4 2 2" xfId="5727"/>
    <cellStyle name="Normal GHG Numbers (0.00) 3 4 2 3" xfId="4315"/>
    <cellStyle name="Normal GHG Numbers (0.00) 3 4 3" xfId="4586"/>
    <cellStyle name="Normal GHG Numbers (0.00) 3 4 4" xfId="3088"/>
    <cellStyle name="Normal GHG Numbers (0.00) 3 5" xfId="295"/>
    <cellStyle name="Normal GHG Numbers (0.00) 3 5 2" xfId="3898"/>
    <cellStyle name="Normal GHG Numbers (0.00) 3 5 3" xfId="4541"/>
    <cellStyle name="Normal GHG Numbers (0.00) 3 5 4" xfId="2718"/>
    <cellStyle name="Normal GHG Numbers (0.00) 3 6" xfId="885"/>
    <cellStyle name="Normal GHG Numbers (0.00) 3 6 2" xfId="3685"/>
    <cellStyle name="Normal GHG Numbers (0.00) 3 6 3" xfId="5109"/>
    <cellStyle name="Normal GHG Numbers (0.00) 3 6 4" xfId="2523"/>
    <cellStyle name="Normal GHG Numbers (0.00) 3 7" xfId="1885"/>
    <cellStyle name="Normal GHG Numbers (0.00) 3 8" xfId="3297"/>
    <cellStyle name="Normal GHG Numbers (0.00) 3 9" xfId="1766"/>
    <cellStyle name="Normal GHG Numbers (0.00) 4" xfId="1772"/>
    <cellStyle name="Normal GHG Numbers (0.00) 5" xfId="1733"/>
    <cellStyle name="Normal GHG Textfiels Bold" xfId="250"/>
    <cellStyle name="Normal GHG Textfiels Bold 10" xfId="1847"/>
    <cellStyle name="Normal GHG Textfiels Bold 11" xfId="1765"/>
    <cellStyle name="Normal GHG Textfiels Bold 2" xfId="393"/>
    <cellStyle name="Normal GHG Textfiels Bold 2 10" xfId="1864"/>
    <cellStyle name="Normal GHG Textfiels Bold 2 11" xfId="4634"/>
    <cellStyle name="Normal GHG Textfiels Bold 2 2" xfId="488"/>
    <cellStyle name="Normal GHG Textfiels Bold 2 2 2" xfId="1202"/>
    <cellStyle name="Normal GHG Textfiels Bold 2 2 2 2" xfId="1519"/>
    <cellStyle name="Normal GHG Textfiels Bold 2 2 2 2 2" xfId="4328"/>
    <cellStyle name="Normal GHG Textfiels Bold 2 2 2 2 3" xfId="5740"/>
    <cellStyle name="Normal GHG Textfiels Bold 2 2 2 2 4" xfId="3099"/>
    <cellStyle name="Normal GHG Textfiels Bold 2 2 2 3" xfId="2810"/>
    <cellStyle name="Normal GHG Textfiels Bold 2 2 2 4" xfId="4010"/>
    <cellStyle name="Normal GHG Textfiels Bold 2 2 2 5" xfId="5424"/>
    <cellStyle name="Normal GHG Textfiels Bold 2 2 2 6" xfId="1973"/>
    <cellStyle name="Normal GHG Textfiels Bold 2 2 3" xfId="1121"/>
    <cellStyle name="Normal GHG Textfiels Bold 2 2 3 2" xfId="3927"/>
    <cellStyle name="Normal GHG Textfiels Bold 2 2 3 3" xfId="5343"/>
    <cellStyle name="Normal GHG Textfiels Bold 2 2 3 4" xfId="2742"/>
    <cellStyle name="Normal GHG Textfiels Bold 2 2 4" xfId="979"/>
    <cellStyle name="Normal GHG Textfiels Bold 2 2 4 2" xfId="3782"/>
    <cellStyle name="Normal GHG Textfiels Bold 2 2 4 3" xfId="5202"/>
    <cellStyle name="Normal GHG Textfiels Bold 2 2 4 4" xfId="2612"/>
    <cellStyle name="Normal GHG Textfiels Bold 2 2 5" xfId="947"/>
    <cellStyle name="Normal GHG Textfiels Bold 2 2 5 2" xfId="3750"/>
    <cellStyle name="Normal GHG Textfiels Bold 2 2 5 3" xfId="5170"/>
    <cellStyle name="Normal GHG Textfiels Bold 2 2 5 4" xfId="2582"/>
    <cellStyle name="Normal GHG Textfiels Bold 2 2 6" xfId="592"/>
    <cellStyle name="Normal GHG Textfiels Bold 2 2 6 2" xfId="4817"/>
    <cellStyle name="Normal GHG Textfiels Bold 2 2 6 3" xfId="2239"/>
    <cellStyle name="Normal GHG Textfiels Bold 2 2 7" xfId="3392"/>
    <cellStyle name="Normal GHG Textfiels Bold 2 2 8" xfId="4713"/>
    <cellStyle name="Normal GHG Textfiels Bold 2 3" xfId="640"/>
    <cellStyle name="Normal GHG Textfiels Bold 2 3 2" xfId="1553"/>
    <cellStyle name="Normal GHG Textfiels Bold 2 3 2 2" xfId="4362"/>
    <cellStyle name="Normal GHG Textfiels Bold 2 3 2 3" xfId="5774"/>
    <cellStyle name="Normal GHG Textfiels Bold 2 3 2 4" xfId="3131"/>
    <cellStyle name="Normal GHG Textfiels Bold 2 3 3" xfId="1009"/>
    <cellStyle name="Normal GHG Textfiels Bold 2 3 3 2" xfId="3812"/>
    <cellStyle name="Normal GHG Textfiels Bold 2 3 3 3" xfId="5232"/>
    <cellStyle name="Normal GHG Textfiels Bold 2 3 3 4" xfId="2638"/>
    <cellStyle name="Normal GHG Textfiels Bold 2 3 4" xfId="2287"/>
    <cellStyle name="Normal GHG Textfiels Bold 2 3 5" xfId="3440"/>
    <cellStyle name="Normal GHG Textfiels Bold 2 3 6" xfId="4865"/>
    <cellStyle name="Normal GHG Textfiels Bold 2 3 7" xfId="2021"/>
    <cellStyle name="Normal GHG Textfiels Bold 2 4" xfId="704"/>
    <cellStyle name="Normal GHG Textfiels Bold 2 4 2" xfId="1617"/>
    <cellStyle name="Normal GHG Textfiels Bold 2 4 2 2" xfId="4426"/>
    <cellStyle name="Normal GHG Textfiels Bold 2 4 2 3" xfId="5838"/>
    <cellStyle name="Normal GHG Textfiels Bold 2 4 2 4" xfId="3191"/>
    <cellStyle name="Normal GHG Textfiels Bold 2 4 3" xfId="1300"/>
    <cellStyle name="Normal GHG Textfiels Bold 2 4 3 2" xfId="4109"/>
    <cellStyle name="Normal GHG Textfiels Bold 2 4 3 3" xfId="5522"/>
    <cellStyle name="Normal GHG Textfiels Bold 2 4 3 4" xfId="2907"/>
    <cellStyle name="Normal GHG Textfiels Bold 2 4 4" xfId="2348"/>
    <cellStyle name="Normal GHG Textfiels Bold 2 4 5" xfId="3504"/>
    <cellStyle name="Normal GHG Textfiels Bold 2 4 6" xfId="4929"/>
    <cellStyle name="Normal GHG Textfiels Bold 2 4 7" xfId="2055"/>
    <cellStyle name="Normal GHG Textfiels Bold 2 5" xfId="766"/>
    <cellStyle name="Normal GHG Textfiels Bold 2 5 2" xfId="1679"/>
    <cellStyle name="Normal GHG Textfiels Bold 2 5 2 2" xfId="4488"/>
    <cellStyle name="Normal GHG Textfiels Bold 2 5 2 3" xfId="5900"/>
    <cellStyle name="Normal GHG Textfiels Bold 2 5 2 4" xfId="3250"/>
    <cellStyle name="Normal GHG Textfiels Bold 2 5 3" xfId="1357"/>
    <cellStyle name="Normal GHG Textfiels Bold 2 5 3 2" xfId="4166"/>
    <cellStyle name="Normal GHG Textfiels Bold 2 5 3 3" xfId="5578"/>
    <cellStyle name="Normal GHG Textfiels Bold 2 5 3 4" xfId="2961"/>
    <cellStyle name="Normal GHG Textfiels Bold 2 5 4" xfId="2410"/>
    <cellStyle name="Normal GHG Textfiels Bold 2 5 5" xfId="3566"/>
    <cellStyle name="Normal GHG Textfiels Bold 2 5 6" xfId="4991"/>
    <cellStyle name="Normal GHG Textfiels Bold 2 5 7" xfId="2114"/>
    <cellStyle name="Normal GHG Textfiels Bold 2 6" xfId="1183"/>
    <cellStyle name="Normal GHG Textfiels Bold 2 6 2" xfId="2791"/>
    <cellStyle name="Normal GHG Textfiels Bold 2 6 3" xfId="3991"/>
    <cellStyle name="Normal GHG Textfiels Bold 2 6 4" xfId="5405"/>
    <cellStyle name="Normal GHG Textfiels Bold 2 6 5" xfId="1954"/>
    <cellStyle name="Normal GHG Textfiels Bold 2 7" xfId="964"/>
    <cellStyle name="Normal GHG Textfiels Bold 2 7 2" xfId="3767"/>
    <cellStyle name="Normal GHG Textfiels Bold 2 7 3" xfId="5187"/>
    <cellStyle name="Normal GHG Textfiels Bold 2 7 4" xfId="2597"/>
    <cellStyle name="Normal GHG Textfiels Bold 2 8" xfId="348"/>
    <cellStyle name="Normal GHG Textfiels Bold 2 8 2" xfId="4594"/>
    <cellStyle name="Normal GHG Textfiels Bold 2 8 3" xfId="2216"/>
    <cellStyle name="Normal GHG Textfiels Bold 2 9" xfId="3369"/>
    <cellStyle name="Normal GHG Textfiels Bold 3" xfId="441"/>
    <cellStyle name="Normal GHG Textfiels Bold 3 10" xfId="3338"/>
    <cellStyle name="Normal GHG Textfiels Bold 3 11" xfId="1839"/>
    <cellStyle name="Normal GHG Textfiels Bold 3 12" xfId="4670"/>
    <cellStyle name="Normal GHG Textfiels Bold 3 2" xfId="535"/>
    <cellStyle name="Normal GHG Textfiels Bold 3 2 2" xfId="1234"/>
    <cellStyle name="Normal GHG Textfiels Bold 3 2 2 2" xfId="2842"/>
    <cellStyle name="Normal GHG Textfiels Bold 3 2 2 3" xfId="4042"/>
    <cellStyle name="Normal GHG Textfiels Bold 3 2 2 4" xfId="5456"/>
    <cellStyle name="Normal GHG Textfiels Bold 3 2 2 5" xfId="2005"/>
    <cellStyle name="Normal GHG Textfiels Bold 3 2 3" xfId="1433"/>
    <cellStyle name="Normal GHG Textfiels Bold 3 2 3 2" xfId="4242"/>
    <cellStyle name="Normal GHG Textfiels Bold 3 2 3 3" xfId="5654"/>
    <cellStyle name="Normal GHG Textfiels Bold 3 2 3 4" xfId="3033"/>
    <cellStyle name="Normal GHG Textfiels Bold 3 2 4" xfId="993"/>
    <cellStyle name="Normal GHG Textfiels Bold 3 2 4 2" xfId="3796"/>
    <cellStyle name="Normal GHG Textfiels Bold 3 2 4 3" xfId="5216"/>
    <cellStyle name="Normal GHG Textfiels Bold 3 2 4 4" xfId="2622"/>
    <cellStyle name="Normal GHG Textfiels Bold 3 2 5" xfId="624"/>
    <cellStyle name="Normal GHG Textfiels Bold 3 2 5 2" xfId="4849"/>
    <cellStyle name="Normal GHG Textfiels Bold 3 2 5 3" xfId="2271"/>
    <cellStyle name="Normal GHG Textfiels Bold 3 2 6" xfId="3424"/>
    <cellStyle name="Normal GHG Textfiels Bold 3 2 7" xfId="4760"/>
    <cellStyle name="Normal GHG Textfiels Bold 3 3" xfId="673"/>
    <cellStyle name="Normal GHG Textfiels Bold 3 3 2" xfId="1272"/>
    <cellStyle name="Normal GHG Textfiels Bold 3 3 2 2" xfId="1586"/>
    <cellStyle name="Normal GHG Textfiels Bold 3 3 2 2 2" xfId="4395"/>
    <cellStyle name="Normal GHG Textfiels Bold 3 3 2 2 3" xfId="5807"/>
    <cellStyle name="Normal GHG Textfiels Bold 3 3 2 2 4" xfId="3162"/>
    <cellStyle name="Normal GHG Textfiels Bold 3 3 2 3" xfId="4081"/>
    <cellStyle name="Normal GHG Textfiels Bold 3 3 2 4" xfId="5494"/>
    <cellStyle name="Normal GHG Textfiels Bold 3 3 2 5" xfId="2879"/>
    <cellStyle name="Normal GHG Textfiels Bold 3 3 3" xfId="1452"/>
    <cellStyle name="Normal GHG Textfiels Bold 3 3 3 2" xfId="4261"/>
    <cellStyle name="Normal GHG Textfiels Bold 3 3 3 3" xfId="5673"/>
    <cellStyle name="Normal GHG Textfiels Bold 3 3 3 4" xfId="3051"/>
    <cellStyle name="Normal GHG Textfiels Bold 3 3 4" xfId="1053"/>
    <cellStyle name="Normal GHG Textfiels Bold 3 3 4 2" xfId="3856"/>
    <cellStyle name="Normal GHG Textfiels Bold 3 3 4 3" xfId="5276"/>
    <cellStyle name="Normal GHG Textfiels Bold 3 3 4 4" xfId="2680"/>
    <cellStyle name="Normal GHG Textfiels Bold 3 3 5" xfId="2319"/>
    <cellStyle name="Normal GHG Textfiels Bold 3 3 6" xfId="3473"/>
    <cellStyle name="Normal GHG Textfiels Bold 3 3 7" xfId="4898"/>
    <cellStyle name="Normal GHG Textfiels Bold 3 3 8" xfId="2039"/>
    <cellStyle name="Normal GHG Textfiels Bold 3 4" xfId="737"/>
    <cellStyle name="Normal GHG Textfiels Bold 3 4 2" xfId="1650"/>
    <cellStyle name="Normal GHG Textfiels Bold 3 4 2 2" xfId="4459"/>
    <cellStyle name="Normal GHG Textfiels Bold 3 4 2 3" xfId="5871"/>
    <cellStyle name="Normal GHG Textfiels Bold 3 4 2 4" xfId="3222"/>
    <cellStyle name="Normal GHG Textfiels Bold 3 4 3" xfId="1333"/>
    <cellStyle name="Normal GHG Textfiels Bold 3 4 3 2" xfId="4142"/>
    <cellStyle name="Normal GHG Textfiels Bold 3 4 3 3" xfId="5555"/>
    <cellStyle name="Normal GHG Textfiels Bold 3 4 3 4" xfId="2938"/>
    <cellStyle name="Normal GHG Textfiels Bold 3 4 4" xfId="2381"/>
    <cellStyle name="Normal GHG Textfiels Bold 3 4 5" xfId="3537"/>
    <cellStyle name="Normal GHG Textfiels Bold 3 4 6" xfId="4962"/>
    <cellStyle name="Normal GHG Textfiels Bold 3 4 7" xfId="2086"/>
    <cellStyle name="Normal GHG Textfiels Bold 3 5" xfId="798"/>
    <cellStyle name="Normal GHG Textfiels Bold 3 5 2" xfId="1711"/>
    <cellStyle name="Normal GHG Textfiels Bold 3 5 2 2" xfId="4520"/>
    <cellStyle name="Normal GHG Textfiels Bold 3 5 2 3" xfId="5932"/>
    <cellStyle name="Normal GHG Textfiels Bold 3 5 2 4" xfId="3281"/>
    <cellStyle name="Normal GHG Textfiels Bold 3 5 3" xfId="1389"/>
    <cellStyle name="Normal GHG Textfiels Bold 3 5 3 2" xfId="4198"/>
    <cellStyle name="Normal GHG Textfiels Bold 3 5 3 3" xfId="5610"/>
    <cellStyle name="Normal GHG Textfiels Bold 3 5 3 4" xfId="2992"/>
    <cellStyle name="Normal GHG Textfiels Bold 3 5 4" xfId="2442"/>
    <cellStyle name="Normal GHG Textfiels Bold 3 5 5" xfId="3598"/>
    <cellStyle name="Normal GHG Textfiels Bold 3 5 6" xfId="5023"/>
    <cellStyle name="Normal GHG Textfiels Bold 3 5 7" xfId="2145"/>
    <cellStyle name="Normal GHG Textfiels Bold 3 6" xfId="1157"/>
    <cellStyle name="Normal GHG Textfiels Bold 3 6 2" xfId="2773"/>
    <cellStyle name="Normal GHG Textfiels Bold 3 6 3" xfId="3965"/>
    <cellStyle name="Normal GHG Textfiels Bold 3 6 4" xfId="5379"/>
    <cellStyle name="Normal GHG Textfiels Bold 3 6 5" xfId="1925"/>
    <cellStyle name="Normal GHG Textfiels Bold 3 7" xfId="1115"/>
    <cellStyle name="Normal GHG Textfiels Bold 3 7 2" xfId="3921"/>
    <cellStyle name="Normal GHG Textfiels Bold 3 7 3" xfId="5338"/>
    <cellStyle name="Normal GHG Textfiels Bold 3 7 4" xfId="2736"/>
    <cellStyle name="Normal GHG Textfiels Bold 3 8" xfId="820"/>
    <cellStyle name="Normal GHG Textfiels Bold 3 8 2" xfId="3620"/>
    <cellStyle name="Normal GHG Textfiels Bold 3 8 3" xfId="5045"/>
    <cellStyle name="Normal GHG Textfiels Bold 3 8 4" xfId="2463"/>
    <cellStyle name="Normal GHG Textfiels Bold 3 9" xfId="563"/>
    <cellStyle name="Normal GHG Textfiels Bold 3 9 2" xfId="4788"/>
    <cellStyle name="Normal GHG Textfiels Bold 3 9 3" xfId="2184"/>
    <cellStyle name="Normal GHG Textfiels Bold 4" xfId="415"/>
    <cellStyle name="Normal GHG Textfiels Bold 4 2" xfId="510"/>
    <cellStyle name="Normal GHG Textfiels Bold 4 2 2" xfId="1496"/>
    <cellStyle name="Normal GHG Textfiels Bold 4 2 2 2" xfId="4305"/>
    <cellStyle name="Normal GHG Textfiels Bold 4 2 2 3" xfId="5717"/>
    <cellStyle name="Normal GHG Textfiels Bold 4 2 2 4" xfId="3083"/>
    <cellStyle name="Normal GHG Textfiels Bold 4 2 3" xfId="1161"/>
    <cellStyle name="Normal GHG Textfiels Bold 4 2 3 2" xfId="5383"/>
    <cellStyle name="Normal GHG Textfiels Bold 4 2 3 3" xfId="3969"/>
    <cellStyle name="Normal GHG Textfiels Bold 4 2 4" xfId="4735"/>
    <cellStyle name="Normal GHG Textfiels Bold 4 3" xfId="1406"/>
    <cellStyle name="Normal GHG Textfiels Bold 4 3 2" xfId="4215"/>
    <cellStyle name="Normal GHG Textfiels Bold 4 3 3" xfId="5627"/>
    <cellStyle name="Normal GHG Textfiels Bold 4 3 4" xfId="3009"/>
    <cellStyle name="Normal GHG Textfiels Bold 4 4" xfId="848"/>
    <cellStyle name="Normal GHG Textfiels Bold 4 4 2" xfId="3648"/>
    <cellStyle name="Normal GHG Textfiels Bold 4 4 3" xfId="5073"/>
    <cellStyle name="Normal GHG Textfiels Bold 4 4 4" xfId="2490"/>
    <cellStyle name="Normal GHG Textfiels Bold 4 5" xfId="289"/>
    <cellStyle name="Normal GHG Textfiels Bold 4 5 2" xfId="4535"/>
    <cellStyle name="Normal GHG Textfiels Bold 4 5 3" xfId="2189"/>
    <cellStyle name="Normal GHG Textfiels Bold 4 6" xfId="3343"/>
    <cellStyle name="Normal GHG Textfiels Bold 4 7" xfId="1929"/>
    <cellStyle name="Normal GHG Textfiels Bold 5" xfId="326"/>
    <cellStyle name="Normal GHG Textfiels Bold 5 2" xfId="1478"/>
    <cellStyle name="Normal GHG Textfiels Bold 5 2 2" xfId="4287"/>
    <cellStyle name="Normal GHG Textfiels Bold 5 2 3" xfId="5699"/>
    <cellStyle name="Normal GHG Textfiels Bold 5 2 4" xfId="3071"/>
    <cellStyle name="Normal GHG Textfiels Bold 5 3" xfId="925"/>
    <cellStyle name="Normal GHG Textfiels Bold 5 3 2" xfId="3727"/>
    <cellStyle name="Normal GHG Textfiels Bold 5 3 3" xfId="5148"/>
    <cellStyle name="Normal GHG Textfiels Bold 5 3 4" xfId="2562"/>
    <cellStyle name="Normal GHG Textfiels Bold 5 4" xfId="304"/>
    <cellStyle name="Normal GHG Textfiels Bold 5 4 2" xfId="4550"/>
    <cellStyle name="Normal GHG Textfiels Bold 5 4 3" xfId="1880"/>
    <cellStyle name="Normal GHG Textfiels Bold 5 5" xfId="3311"/>
    <cellStyle name="Normal GHG Textfiels Bold 5 6" xfId="4572"/>
    <cellStyle name="Normal GHG Textfiels Bold 6" xfId="586"/>
    <cellStyle name="Normal GHG Textfiels Bold 6 2" xfId="1514"/>
    <cellStyle name="Normal GHG Textfiels Bold 6 2 2" xfId="4323"/>
    <cellStyle name="Normal GHG Textfiels Bold 6 2 3" xfId="5735"/>
    <cellStyle name="Normal GHG Textfiels Bold 6 2 4" xfId="3095"/>
    <cellStyle name="Normal GHG Textfiels Bold 6 3" xfId="1198"/>
    <cellStyle name="Normal GHG Textfiels Bold 6 3 2" xfId="4006"/>
    <cellStyle name="Normal GHG Textfiels Bold 6 3 3" xfId="5420"/>
    <cellStyle name="Normal GHG Textfiels Bold 6 3 4" xfId="2806"/>
    <cellStyle name="Normal GHG Textfiels Bold 6 4" xfId="2233"/>
    <cellStyle name="Normal GHG Textfiels Bold 6 5" xfId="3386"/>
    <cellStyle name="Normal GHG Textfiels Bold 6 6" xfId="4811"/>
    <cellStyle name="Normal GHG Textfiels Bold 6 7" xfId="1969"/>
    <cellStyle name="Normal GHG Textfiels Bold 7" xfId="1069"/>
    <cellStyle name="Normal GHG Textfiels Bold 7 2" xfId="918"/>
    <cellStyle name="Normal GHG Textfiels Bold 7 2 2" xfId="3720"/>
    <cellStyle name="Normal GHG Textfiels Bold 7 2 3" xfId="5141"/>
    <cellStyle name="Normal GHG Textfiels Bold 7 2 4" xfId="2556"/>
    <cellStyle name="Normal GHG Textfiels Bold 7 3" xfId="2696"/>
    <cellStyle name="Normal GHG Textfiels Bold 7 4" xfId="3872"/>
    <cellStyle name="Normal GHG Textfiels Bold 7 5" xfId="5292"/>
    <cellStyle name="Normal GHG Textfiels Bold 7 6" xfId="1832"/>
    <cellStyle name="Normal GHG Textfiels Bold 8" xfId="868"/>
    <cellStyle name="Normal GHG Textfiels Bold 8 2" xfId="3668"/>
    <cellStyle name="Normal GHG Textfiels Bold 8 3" xfId="5092"/>
    <cellStyle name="Normal GHG Textfiels Bold 8 4" xfId="2509"/>
    <cellStyle name="Normal GHG Textfiels Bold 9" xfId="571"/>
    <cellStyle name="Normal GHG Textfiels Bold 9 2" xfId="4796"/>
    <cellStyle name="Normal GHG Textfiels Bold 9 3" xfId="1798"/>
    <cellStyle name="Normal GHG whole table" xfId="251"/>
    <cellStyle name="Normal GHG whole table 10" xfId="1840"/>
    <cellStyle name="Normal GHG whole table 11" xfId="1771"/>
    <cellStyle name="Normal GHG whole table 2" xfId="391"/>
    <cellStyle name="Normal GHG whole table 2 10" xfId="1862"/>
    <cellStyle name="Normal GHG whole table 2 11" xfId="4632"/>
    <cellStyle name="Normal GHG whole table 2 2" xfId="486"/>
    <cellStyle name="Normal GHG whole table 2 2 2" xfId="1200"/>
    <cellStyle name="Normal GHG whole table 2 2 2 2" xfId="1518"/>
    <cellStyle name="Normal GHG whole table 2 2 2 2 2" xfId="4327"/>
    <cellStyle name="Normal GHG whole table 2 2 2 2 3" xfId="5739"/>
    <cellStyle name="Normal GHG whole table 2 2 2 2 4" xfId="3098"/>
    <cellStyle name="Normal GHG whole table 2 2 2 3" xfId="2808"/>
    <cellStyle name="Normal GHG whole table 2 2 2 4" xfId="4008"/>
    <cellStyle name="Normal GHG whole table 2 2 2 5" xfId="5422"/>
    <cellStyle name="Normal GHG whole table 2 2 2 6" xfId="1971"/>
    <cellStyle name="Normal GHG whole table 2 2 3" xfId="1119"/>
    <cellStyle name="Normal GHG whole table 2 2 3 2" xfId="3925"/>
    <cellStyle name="Normal GHG whole table 2 2 3 3" xfId="5341"/>
    <cellStyle name="Normal GHG whole table 2 2 3 4" xfId="2740"/>
    <cellStyle name="Normal GHG whole table 2 2 4" xfId="1029"/>
    <cellStyle name="Normal GHG whole table 2 2 4 2" xfId="3832"/>
    <cellStyle name="Normal GHG whole table 2 2 4 3" xfId="5252"/>
    <cellStyle name="Normal GHG whole table 2 2 4 4" xfId="2657"/>
    <cellStyle name="Normal GHG whole table 2 2 5" xfId="945"/>
    <cellStyle name="Normal GHG whole table 2 2 5 2" xfId="3748"/>
    <cellStyle name="Normal GHG whole table 2 2 5 3" xfId="5168"/>
    <cellStyle name="Normal GHG whole table 2 2 5 4" xfId="2580"/>
    <cellStyle name="Normal GHG whole table 2 2 6" xfId="590"/>
    <cellStyle name="Normal GHG whole table 2 2 6 2" xfId="4815"/>
    <cellStyle name="Normal GHG whole table 2 2 6 3" xfId="2237"/>
    <cellStyle name="Normal GHG whole table 2 2 7" xfId="3390"/>
    <cellStyle name="Normal GHG whole table 2 2 8" xfId="4711"/>
    <cellStyle name="Normal GHG whole table 2 3" xfId="638"/>
    <cellStyle name="Normal GHG whole table 2 3 2" xfId="1551"/>
    <cellStyle name="Normal GHG whole table 2 3 2 2" xfId="4360"/>
    <cellStyle name="Normal GHG whole table 2 3 2 3" xfId="5772"/>
    <cellStyle name="Normal GHG whole table 2 3 2 4" xfId="3129"/>
    <cellStyle name="Normal GHG whole table 2 3 3" xfId="1007"/>
    <cellStyle name="Normal GHG whole table 2 3 3 2" xfId="3810"/>
    <cellStyle name="Normal GHG whole table 2 3 3 3" xfId="5230"/>
    <cellStyle name="Normal GHG whole table 2 3 3 4" xfId="2636"/>
    <cellStyle name="Normal GHG whole table 2 3 4" xfId="2285"/>
    <cellStyle name="Normal GHG whole table 2 3 5" xfId="3438"/>
    <cellStyle name="Normal GHG whole table 2 3 6" xfId="4863"/>
    <cellStyle name="Normal GHG whole table 2 3 7" xfId="2019"/>
    <cellStyle name="Normal GHG whole table 2 4" xfId="702"/>
    <cellStyle name="Normal GHG whole table 2 4 2" xfId="1615"/>
    <cellStyle name="Normal GHG whole table 2 4 2 2" xfId="4424"/>
    <cellStyle name="Normal GHG whole table 2 4 2 3" xfId="5836"/>
    <cellStyle name="Normal GHG whole table 2 4 2 4" xfId="3189"/>
    <cellStyle name="Normal GHG whole table 2 4 3" xfId="1298"/>
    <cellStyle name="Normal GHG whole table 2 4 3 2" xfId="4107"/>
    <cellStyle name="Normal GHG whole table 2 4 3 3" xfId="5520"/>
    <cellStyle name="Normal GHG whole table 2 4 3 4" xfId="2905"/>
    <cellStyle name="Normal GHG whole table 2 4 4" xfId="2346"/>
    <cellStyle name="Normal GHG whole table 2 4 5" xfId="3502"/>
    <cellStyle name="Normal GHG whole table 2 4 6" xfId="4927"/>
    <cellStyle name="Normal GHG whole table 2 4 7" xfId="2053"/>
    <cellStyle name="Normal GHG whole table 2 5" xfId="764"/>
    <cellStyle name="Normal GHG whole table 2 5 2" xfId="1677"/>
    <cellStyle name="Normal GHG whole table 2 5 2 2" xfId="4486"/>
    <cellStyle name="Normal GHG whole table 2 5 2 3" xfId="5898"/>
    <cellStyle name="Normal GHG whole table 2 5 2 4" xfId="3248"/>
    <cellStyle name="Normal GHG whole table 2 5 3" xfId="1355"/>
    <cellStyle name="Normal GHG whole table 2 5 3 2" xfId="4164"/>
    <cellStyle name="Normal GHG whole table 2 5 3 3" xfId="5576"/>
    <cellStyle name="Normal GHG whole table 2 5 3 4" xfId="2959"/>
    <cellStyle name="Normal GHG whole table 2 5 4" xfId="2408"/>
    <cellStyle name="Normal GHG whole table 2 5 5" xfId="3564"/>
    <cellStyle name="Normal GHG whole table 2 5 6" xfId="4989"/>
    <cellStyle name="Normal GHG whole table 2 5 7" xfId="2112"/>
    <cellStyle name="Normal GHG whole table 2 6" xfId="1181"/>
    <cellStyle name="Normal GHG whole table 2 6 2" xfId="2789"/>
    <cellStyle name="Normal GHG whole table 2 6 3" xfId="3989"/>
    <cellStyle name="Normal GHG whole table 2 6 4" xfId="5403"/>
    <cellStyle name="Normal GHG whole table 2 6 5" xfId="1952"/>
    <cellStyle name="Normal GHG whole table 2 7" xfId="862"/>
    <cellStyle name="Normal GHG whole table 2 7 2" xfId="3662"/>
    <cellStyle name="Normal GHG whole table 2 7 3" xfId="5086"/>
    <cellStyle name="Normal GHG whole table 2 7 4" xfId="2504"/>
    <cellStyle name="Normal GHG whole table 2 8" xfId="349"/>
    <cellStyle name="Normal GHG whole table 2 8 2" xfId="4595"/>
    <cellStyle name="Normal GHG whole table 2 8 3" xfId="2214"/>
    <cellStyle name="Normal GHG whole table 2 9" xfId="3367"/>
    <cellStyle name="Normal GHG whole table 3" xfId="436"/>
    <cellStyle name="Normal GHG whole table 3 10" xfId="3332"/>
    <cellStyle name="Normal GHG whole table 3 11" xfId="1828"/>
    <cellStyle name="Normal GHG whole table 3 12" xfId="4667"/>
    <cellStyle name="Normal GHG whole table 3 2" xfId="531"/>
    <cellStyle name="Normal GHG whole table 3 2 2" xfId="1231"/>
    <cellStyle name="Normal GHG whole table 3 2 2 2" xfId="2839"/>
    <cellStyle name="Normal GHG whole table 3 2 2 3" xfId="4039"/>
    <cellStyle name="Normal GHG whole table 3 2 2 4" xfId="5453"/>
    <cellStyle name="Normal GHG whole table 3 2 2 5" xfId="2001"/>
    <cellStyle name="Normal GHG whole table 3 2 3" xfId="1430"/>
    <cellStyle name="Normal GHG whole table 3 2 3 2" xfId="4239"/>
    <cellStyle name="Normal GHG whole table 3 2 3 3" xfId="5651"/>
    <cellStyle name="Normal GHG whole table 3 2 3 4" xfId="3031"/>
    <cellStyle name="Normal GHG whole table 3 2 4" xfId="989"/>
    <cellStyle name="Normal GHG whole table 3 2 4 2" xfId="3792"/>
    <cellStyle name="Normal GHG whole table 3 2 4 3" xfId="5212"/>
    <cellStyle name="Normal GHG whole table 3 2 4 4" xfId="2618"/>
    <cellStyle name="Normal GHG whole table 3 2 5" xfId="621"/>
    <cellStyle name="Normal GHG whole table 3 2 5 2" xfId="4846"/>
    <cellStyle name="Normal GHG whole table 3 2 5 3" xfId="2268"/>
    <cellStyle name="Normal GHG whole table 3 2 6" xfId="3421"/>
    <cellStyle name="Normal GHG whole table 3 2 7" xfId="4756"/>
    <cellStyle name="Normal GHG whole table 3 3" xfId="669"/>
    <cellStyle name="Normal GHG whole table 3 3 2" xfId="1268"/>
    <cellStyle name="Normal GHG whole table 3 3 2 2" xfId="1582"/>
    <cellStyle name="Normal GHG whole table 3 3 2 2 2" xfId="4391"/>
    <cellStyle name="Normal GHG whole table 3 3 2 2 3" xfId="5803"/>
    <cellStyle name="Normal GHG whole table 3 3 2 2 4" xfId="3159"/>
    <cellStyle name="Normal GHG whole table 3 3 2 3" xfId="4077"/>
    <cellStyle name="Normal GHG whole table 3 3 2 4" xfId="5490"/>
    <cellStyle name="Normal GHG whole table 3 3 2 5" xfId="2875"/>
    <cellStyle name="Normal GHG whole table 3 3 3" xfId="1448"/>
    <cellStyle name="Normal GHG whole table 3 3 3 2" xfId="4257"/>
    <cellStyle name="Normal GHG whole table 3 3 3 3" xfId="5669"/>
    <cellStyle name="Normal GHG whole table 3 3 3 4" xfId="3048"/>
    <cellStyle name="Normal GHG whole table 3 3 4" xfId="1048"/>
    <cellStyle name="Normal GHG whole table 3 3 4 2" xfId="3851"/>
    <cellStyle name="Normal GHG whole table 3 3 4 3" xfId="5271"/>
    <cellStyle name="Normal GHG whole table 3 3 4 4" xfId="2675"/>
    <cellStyle name="Normal GHG whole table 3 3 5" xfId="2316"/>
    <cellStyle name="Normal GHG whole table 3 3 6" xfId="3469"/>
    <cellStyle name="Normal GHG whole table 3 3 7" xfId="4894"/>
    <cellStyle name="Normal GHG whole table 3 3 8" xfId="2038"/>
    <cellStyle name="Normal GHG whole table 3 4" xfId="733"/>
    <cellStyle name="Normal GHG whole table 3 4 2" xfId="1646"/>
    <cellStyle name="Normal GHG whole table 3 4 2 2" xfId="4455"/>
    <cellStyle name="Normal GHG whole table 3 4 2 3" xfId="5867"/>
    <cellStyle name="Normal GHG whole table 3 4 2 4" xfId="3219"/>
    <cellStyle name="Normal GHG whole table 3 4 3" xfId="1329"/>
    <cellStyle name="Normal GHG whole table 3 4 3 2" xfId="4138"/>
    <cellStyle name="Normal GHG whole table 3 4 3 3" xfId="5551"/>
    <cellStyle name="Normal GHG whole table 3 4 3 4" xfId="2935"/>
    <cellStyle name="Normal GHG whole table 3 4 4" xfId="2377"/>
    <cellStyle name="Normal GHG whole table 3 4 5" xfId="3533"/>
    <cellStyle name="Normal GHG whole table 3 4 6" xfId="4958"/>
    <cellStyle name="Normal GHG whole table 3 4 7" xfId="2083"/>
    <cellStyle name="Normal GHG whole table 3 5" xfId="795"/>
    <cellStyle name="Normal GHG whole table 3 5 2" xfId="1708"/>
    <cellStyle name="Normal GHG whole table 3 5 2 2" xfId="4517"/>
    <cellStyle name="Normal GHG whole table 3 5 2 3" xfId="5929"/>
    <cellStyle name="Normal GHG whole table 3 5 2 4" xfId="3278"/>
    <cellStyle name="Normal GHG whole table 3 5 3" xfId="1386"/>
    <cellStyle name="Normal GHG whole table 3 5 3 2" xfId="4195"/>
    <cellStyle name="Normal GHG whole table 3 5 3 3" xfId="5607"/>
    <cellStyle name="Normal GHG whole table 3 5 3 4" xfId="2989"/>
    <cellStyle name="Normal GHG whole table 3 5 4" xfId="2439"/>
    <cellStyle name="Normal GHG whole table 3 5 5" xfId="3595"/>
    <cellStyle name="Normal GHG whole table 3 5 6" xfId="5020"/>
    <cellStyle name="Normal GHG whole table 3 5 7" xfId="2142"/>
    <cellStyle name="Normal GHG whole table 3 6" xfId="1153"/>
    <cellStyle name="Normal GHG whole table 3 6 2" xfId="2772"/>
    <cellStyle name="Normal GHG whole table 3 6 3" xfId="3961"/>
    <cellStyle name="Normal GHG whole table 3 6 4" xfId="5375"/>
    <cellStyle name="Normal GHG whole table 3 6 5" xfId="1922"/>
    <cellStyle name="Normal GHG whole table 3 7" xfId="866"/>
    <cellStyle name="Normal GHG whole table 3 7 2" xfId="3666"/>
    <cellStyle name="Normal GHG whole table 3 7 3" xfId="5090"/>
    <cellStyle name="Normal GHG whole table 3 7 4" xfId="2507"/>
    <cellStyle name="Normal GHG whole table 3 8" xfId="821"/>
    <cellStyle name="Normal GHG whole table 3 8 2" xfId="3621"/>
    <cellStyle name="Normal GHG whole table 3 8 3" xfId="5046"/>
    <cellStyle name="Normal GHG whole table 3 8 4" xfId="2464"/>
    <cellStyle name="Normal GHG whole table 3 9" xfId="578"/>
    <cellStyle name="Normal GHG whole table 3 9 2" xfId="4803"/>
    <cellStyle name="Normal GHG whole table 3 9 3" xfId="2178"/>
    <cellStyle name="Normal GHG whole table 4" xfId="398"/>
    <cellStyle name="Normal GHG whole table 4 2" xfId="493"/>
    <cellStyle name="Normal GHG whole table 4 2 2" xfId="1474"/>
    <cellStyle name="Normal GHG whole table 4 2 2 2" xfId="4283"/>
    <cellStyle name="Normal GHG whole table 4 2 2 3" xfId="5695"/>
    <cellStyle name="Normal GHG whole table 4 2 2 4" xfId="3069"/>
    <cellStyle name="Normal GHG whole table 4 2 3" xfId="930"/>
    <cellStyle name="Normal GHG whole table 4 2 3 2" xfId="5153"/>
    <cellStyle name="Normal GHG whole table 4 2 3 3" xfId="3732"/>
    <cellStyle name="Normal GHG whole table 4 2 4" xfId="4718"/>
    <cellStyle name="Normal GHG whole table 4 3" xfId="1073"/>
    <cellStyle name="Normal GHG whole table 4 3 2" xfId="3876"/>
    <cellStyle name="Normal GHG whole table 4 3 3" xfId="5296"/>
    <cellStyle name="Normal GHG whole table 4 3 4" xfId="2700"/>
    <cellStyle name="Normal GHG whole table 4 4" xfId="917"/>
    <cellStyle name="Normal GHG whole table 4 4 2" xfId="3719"/>
    <cellStyle name="Normal GHG whole table 4 4 3" xfId="5140"/>
    <cellStyle name="Normal GHG whole table 4 4 4" xfId="2555"/>
    <cellStyle name="Normal GHG whole table 4 5" xfId="300"/>
    <cellStyle name="Normal GHG whole table 4 5 2" xfId="4546"/>
    <cellStyle name="Normal GHG whole table 4 5 3" xfId="1833"/>
    <cellStyle name="Normal GHG whole table 4 6" xfId="3305"/>
    <cellStyle name="Normal GHG whole table 4 7" xfId="1811"/>
    <cellStyle name="Normal GHG whole table 5" xfId="325"/>
    <cellStyle name="Normal GHG whole table 5 2" xfId="1486"/>
    <cellStyle name="Normal GHG whole table 5 2 2" xfId="4295"/>
    <cellStyle name="Normal GHG whole table 5 2 3" xfId="5707"/>
    <cellStyle name="Normal GHG whole table 5 2 4" xfId="3076"/>
    <cellStyle name="Normal GHG whole table 5 3" xfId="881"/>
    <cellStyle name="Normal GHG whole table 5 3 2" xfId="3681"/>
    <cellStyle name="Normal GHG whole table 5 3 3" xfId="5105"/>
    <cellStyle name="Normal GHG whole table 5 3 4" xfId="2519"/>
    <cellStyle name="Normal GHG whole table 5 4" xfId="303"/>
    <cellStyle name="Normal GHG whole table 5 4 2" xfId="4549"/>
    <cellStyle name="Normal GHG whole table 5 4 3" xfId="2171"/>
    <cellStyle name="Normal GHG whole table 5 5" xfId="3325"/>
    <cellStyle name="Normal GHG whole table 5 6" xfId="4571"/>
    <cellStyle name="Normal GHG whole table 6" xfId="579"/>
    <cellStyle name="Normal GHG whole table 6 2" xfId="1498"/>
    <cellStyle name="Normal GHG whole table 6 2 2" xfId="4307"/>
    <cellStyle name="Normal GHG whole table 6 2 3" xfId="5719"/>
    <cellStyle name="Normal GHG whole table 6 2 4" xfId="3085"/>
    <cellStyle name="Normal GHG whole table 6 3" xfId="1163"/>
    <cellStyle name="Normal GHG whole table 6 3 2" xfId="3971"/>
    <cellStyle name="Normal GHG whole table 6 3 3" xfId="5385"/>
    <cellStyle name="Normal GHG whole table 6 3 4" xfId="2774"/>
    <cellStyle name="Normal GHG whole table 6 4" xfId="2191"/>
    <cellStyle name="Normal GHG whole table 6 5" xfId="3345"/>
    <cellStyle name="Normal GHG whole table 6 6" xfId="4804"/>
    <cellStyle name="Normal GHG whole table 6 7" xfId="1931"/>
    <cellStyle name="Normal GHG whole table 7" xfId="1106"/>
    <cellStyle name="Normal GHG whole table 7 2" xfId="1466"/>
    <cellStyle name="Normal GHG whole table 7 2 2" xfId="4275"/>
    <cellStyle name="Normal GHG whole table 7 2 3" xfId="5687"/>
    <cellStyle name="Normal GHG whole table 7 2 4" xfId="3064"/>
    <cellStyle name="Normal GHG whole table 7 3" xfId="2730"/>
    <cellStyle name="Normal GHG whole table 7 4" xfId="3912"/>
    <cellStyle name="Normal GHG whole table 7 5" xfId="5329"/>
    <cellStyle name="Normal GHG whole table 7 6" xfId="1884"/>
    <cellStyle name="Normal GHG whole table 8" xfId="899"/>
    <cellStyle name="Normal GHG whole table 8 2" xfId="3700"/>
    <cellStyle name="Normal GHG whole table 8 3" xfId="5123"/>
    <cellStyle name="Normal GHG whole table 8 4" xfId="2537"/>
    <cellStyle name="Normal GHG whole table 9" xfId="308"/>
    <cellStyle name="Normal GHG whole table 9 2" xfId="4554"/>
    <cellStyle name="Normal GHG whole table 9 3" xfId="1834"/>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2193"/>
    <cellStyle name="Pattern 11" xfId="1781"/>
    <cellStyle name="Pattern 2" xfId="399"/>
    <cellStyle name="Pattern 2 10" xfId="1869"/>
    <cellStyle name="Pattern 2 11" xfId="4639"/>
    <cellStyle name="Pattern 2 2" xfId="494"/>
    <cellStyle name="Pattern 2 2 2" xfId="1207"/>
    <cellStyle name="Pattern 2 2 2 2" xfId="1524"/>
    <cellStyle name="Pattern 2 2 2 2 2" xfId="4333"/>
    <cellStyle name="Pattern 2 2 2 2 3" xfId="5745"/>
    <cellStyle name="Pattern 2 2 2 2 4" xfId="3104"/>
    <cellStyle name="Pattern 2 2 2 3" xfId="2815"/>
    <cellStyle name="Pattern 2 2 2 4" xfId="4015"/>
    <cellStyle name="Pattern 2 2 2 5" xfId="5429"/>
    <cellStyle name="Pattern 2 2 2 6" xfId="1978"/>
    <cellStyle name="Pattern 2 2 3" xfId="1126"/>
    <cellStyle name="Pattern 2 2 3 2" xfId="3932"/>
    <cellStyle name="Pattern 2 2 3 3" xfId="5348"/>
    <cellStyle name="Pattern 2 2 3 4" xfId="2747"/>
    <cellStyle name="Pattern 2 2 4" xfId="1434"/>
    <cellStyle name="Pattern 2 2 4 2" xfId="4243"/>
    <cellStyle name="Pattern 2 2 4 3" xfId="5655"/>
    <cellStyle name="Pattern 2 2 4 4" xfId="3034"/>
    <cellStyle name="Pattern 2 2 5" xfId="952"/>
    <cellStyle name="Pattern 2 2 5 2" xfId="3755"/>
    <cellStyle name="Pattern 2 2 5 3" xfId="5175"/>
    <cellStyle name="Pattern 2 2 5 4" xfId="2587"/>
    <cellStyle name="Pattern 2 2 6" xfId="597"/>
    <cellStyle name="Pattern 2 2 6 2" xfId="4822"/>
    <cellStyle name="Pattern 2 2 6 3" xfId="2244"/>
    <cellStyle name="Pattern 2 2 7" xfId="3397"/>
    <cellStyle name="Pattern 2 2 8" xfId="4719"/>
    <cellStyle name="Pattern 2 3" xfId="645"/>
    <cellStyle name="Pattern 2 3 2" xfId="1558"/>
    <cellStyle name="Pattern 2 3 2 2" xfId="4367"/>
    <cellStyle name="Pattern 2 3 2 3" xfId="5779"/>
    <cellStyle name="Pattern 2 3 2 4" xfId="3136"/>
    <cellStyle name="Pattern 2 3 3" xfId="1014"/>
    <cellStyle name="Pattern 2 3 3 2" xfId="3817"/>
    <cellStyle name="Pattern 2 3 3 3" xfId="5237"/>
    <cellStyle name="Pattern 2 3 3 4" xfId="2643"/>
    <cellStyle name="Pattern 2 3 4" xfId="2292"/>
    <cellStyle name="Pattern 2 3 5" xfId="3445"/>
    <cellStyle name="Pattern 2 3 6" xfId="4870"/>
    <cellStyle name="Pattern 2 3 7" xfId="2026"/>
    <cellStyle name="Pattern 2 4" xfId="709"/>
    <cellStyle name="Pattern 2 4 2" xfId="1622"/>
    <cellStyle name="Pattern 2 4 2 2" xfId="4431"/>
    <cellStyle name="Pattern 2 4 2 3" xfId="5843"/>
    <cellStyle name="Pattern 2 4 2 4" xfId="3196"/>
    <cellStyle name="Pattern 2 4 3" xfId="1305"/>
    <cellStyle name="Pattern 2 4 3 2" xfId="4114"/>
    <cellStyle name="Pattern 2 4 3 3" xfId="5527"/>
    <cellStyle name="Pattern 2 4 3 4" xfId="2912"/>
    <cellStyle name="Pattern 2 4 4" xfId="2353"/>
    <cellStyle name="Pattern 2 4 5" xfId="3509"/>
    <cellStyle name="Pattern 2 4 6" xfId="4934"/>
    <cellStyle name="Pattern 2 4 7" xfId="2060"/>
    <cellStyle name="Pattern 2 5" xfId="771"/>
    <cellStyle name="Pattern 2 5 2" xfId="1684"/>
    <cellStyle name="Pattern 2 5 2 2" xfId="4493"/>
    <cellStyle name="Pattern 2 5 2 3" xfId="5905"/>
    <cellStyle name="Pattern 2 5 2 4" xfId="3255"/>
    <cellStyle name="Pattern 2 5 3" xfId="1362"/>
    <cellStyle name="Pattern 2 5 3 2" xfId="4171"/>
    <cellStyle name="Pattern 2 5 3 3" xfId="5583"/>
    <cellStyle name="Pattern 2 5 3 4" xfId="2966"/>
    <cellStyle name="Pattern 2 5 4" xfId="2415"/>
    <cellStyle name="Pattern 2 5 5" xfId="3571"/>
    <cellStyle name="Pattern 2 5 6" xfId="4996"/>
    <cellStyle name="Pattern 2 5 7" xfId="2119"/>
    <cellStyle name="Pattern 2 6" xfId="1188"/>
    <cellStyle name="Pattern 2 6 2" xfId="2796"/>
    <cellStyle name="Pattern 2 6 3" xfId="3996"/>
    <cellStyle name="Pattern 2 6 4" xfId="5410"/>
    <cellStyle name="Pattern 2 6 5" xfId="1959"/>
    <cellStyle name="Pattern 2 7" xfId="889"/>
    <cellStyle name="Pattern 2 7 2" xfId="3689"/>
    <cellStyle name="Pattern 2 7 3" xfId="5113"/>
    <cellStyle name="Pattern 2 7 4" xfId="2527"/>
    <cellStyle name="Pattern 2 8" xfId="558"/>
    <cellStyle name="Pattern 2 8 2" xfId="4783"/>
    <cellStyle name="Pattern 2 8 3" xfId="2221"/>
    <cellStyle name="Pattern 2 9" xfId="3374"/>
    <cellStyle name="Pattern 3" xfId="431"/>
    <cellStyle name="Pattern 3 10" xfId="3326"/>
    <cellStyle name="Pattern 3 11" xfId="1825"/>
    <cellStyle name="Pattern 3 12" xfId="4662"/>
    <cellStyle name="Pattern 3 2" xfId="526"/>
    <cellStyle name="Pattern 3 2 2" xfId="1226"/>
    <cellStyle name="Pattern 3 2 2 2" xfId="2834"/>
    <cellStyle name="Pattern 3 2 2 3" xfId="4034"/>
    <cellStyle name="Pattern 3 2 2 4" xfId="5448"/>
    <cellStyle name="Pattern 3 2 2 5" xfId="1996"/>
    <cellStyle name="Pattern 3 2 3" xfId="1428"/>
    <cellStyle name="Pattern 3 2 3 2" xfId="4237"/>
    <cellStyle name="Pattern 3 2 3 3" xfId="5649"/>
    <cellStyle name="Pattern 3 2 3 4" xfId="3029"/>
    <cellStyle name="Pattern 3 2 4" xfId="985"/>
    <cellStyle name="Pattern 3 2 4 2" xfId="3788"/>
    <cellStyle name="Pattern 3 2 4 3" xfId="5208"/>
    <cellStyle name="Pattern 3 2 4 4" xfId="2615"/>
    <cellStyle name="Pattern 3 2 5" xfId="616"/>
    <cellStyle name="Pattern 3 2 5 2" xfId="4841"/>
    <cellStyle name="Pattern 3 2 5 3" xfId="2263"/>
    <cellStyle name="Pattern 3 2 6" xfId="3416"/>
    <cellStyle name="Pattern 3 2 7" xfId="4751"/>
    <cellStyle name="Pattern 3 3" xfId="664"/>
    <cellStyle name="Pattern 3 3 2" xfId="1263"/>
    <cellStyle name="Pattern 3 3 2 2" xfId="1577"/>
    <cellStyle name="Pattern 3 3 2 2 2" xfId="4386"/>
    <cellStyle name="Pattern 3 3 2 2 3" xfId="5798"/>
    <cellStyle name="Pattern 3 3 2 2 4" xfId="3154"/>
    <cellStyle name="Pattern 3 3 2 3" xfId="4072"/>
    <cellStyle name="Pattern 3 3 2 4" xfId="5485"/>
    <cellStyle name="Pattern 3 3 2 5" xfId="2870"/>
    <cellStyle name="Pattern 3 3 3" xfId="850"/>
    <cellStyle name="Pattern 3 3 3 2" xfId="3651"/>
    <cellStyle name="Pattern 3 3 3 3" xfId="5075"/>
    <cellStyle name="Pattern 3 3 3 4" xfId="2493"/>
    <cellStyle name="Pattern 3 3 4" xfId="1043"/>
    <cellStyle name="Pattern 3 3 4 2" xfId="3846"/>
    <cellStyle name="Pattern 3 3 4 3" xfId="5266"/>
    <cellStyle name="Pattern 3 3 4 4" xfId="2670"/>
    <cellStyle name="Pattern 3 3 5" xfId="2311"/>
    <cellStyle name="Pattern 3 3 6" xfId="3464"/>
    <cellStyle name="Pattern 3 3 7" xfId="4889"/>
    <cellStyle name="Pattern 3 3 8" xfId="2036"/>
    <cellStyle name="Pattern 3 4" xfId="728"/>
    <cellStyle name="Pattern 3 4 2" xfId="1641"/>
    <cellStyle name="Pattern 3 4 2 2" xfId="4450"/>
    <cellStyle name="Pattern 3 4 2 3" xfId="5862"/>
    <cellStyle name="Pattern 3 4 2 4" xfId="3214"/>
    <cellStyle name="Pattern 3 4 3" xfId="1324"/>
    <cellStyle name="Pattern 3 4 3 2" xfId="4133"/>
    <cellStyle name="Pattern 3 4 3 3" xfId="5546"/>
    <cellStyle name="Pattern 3 4 3 4" xfId="2930"/>
    <cellStyle name="Pattern 3 4 4" xfId="2372"/>
    <cellStyle name="Pattern 3 4 5" xfId="3528"/>
    <cellStyle name="Pattern 3 4 6" xfId="4953"/>
    <cellStyle name="Pattern 3 4 7" xfId="2078"/>
    <cellStyle name="Pattern 3 5" xfId="790"/>
    <cellStyle name="Pattern 3 5 2" xfId="1703"/>
    <cellStyle name="Pattern 3 5 2 2" xfId="4512"/>
    <cellStyle name="Pattern 3 5 2 3" xfId="5924"/>
    <cellStyle name="Pattern 3 5 2 4" xfId="3273"/>
    <cellStyle name="Pattern 3 5 3" xfId="1381"/>
    <cellStyle name="Pattern 3 5 3 2" xfId="4190"/>
    <cellStyle name="Pattern 3 5 3 3" xfId="5602"/>
    <cellStyle name="Pattern 3 5 3 4" xfId="2984"/>
    <cellStyle name="Pattern 3 5 4" xfId="2434"/>
    <cellStyle name="Pattern 3 5 5" xfId="3590"/>
    <cellStyle name="Pattern 3 5 6" xfId="5015"/>
    <cellStyle name="Pattern 3 5 7" xfId="2137"/>
    <cellStyle name="Pattern 3 6" xfId="1110"/>
    <cellStyle name="Pattern 3 6 2" xfId="2732"/>
    <cellStyle name="Pattern 3 6 3" xfId="3916"/>
    <cellStyle name="Pattern 3 6 4" xfId="5333"/>
    <cellStyle name="Pattern 3 6 5" xfId="1891"/>
    <cellStyle name="Pattern 3 7" xfId="846"/>
    <cellStyle name="Pattern 3 7 2" xfId="3646"/>
    <cellStyle name="Pattern 3 7 3" xfId="5071"/>
    <cellStyle name="Pattern 3 7 4" xfId="2488"/>
    <cellStyle name="Pattern 3 8" xfId="822"/>
    <cellStyle name="Pattern 3 8 2" xfId="3622"/>
    <cellStyle name="Pattern 3 8 3" xfId="5047"/>
    <cellStyle name="Pattern 3 8 4" xfId="2465"/>
    <cellStyle name="Pattern 3 9" xfId="361"/>
    <cellStyle name="Pattern 3 9 2" xfId="4607"/>
    <cellStyle name="Pattern 3 9 3" xfId="2172"/>
    <cellStyle name="Pattern 4" xfId="405"/>
    <cellStyle name="Pattern 4 2" xfId="500"/>
    <cellStyle name="Pattern 4 2 2" xfId="1497"/>
    <cellStyle name="Pattern 4 2 2 2" xfId="4306"/>
    <cellStyle name="Pattern 4 2 2 3" xfId="5718"/>
    <cellStyle name="Pattern 4 2 2 4" xfId="3084"/>
    <cellStyle name="Pattern 4 2 3" xfId="1162"/>
    <cellStyle name="Pattern 4 2 3 2" xfId="5384"/>
    <cellStyle name="Pattern 4 2 3 3" xfId="3970"/>
    <cellStyle name="Pattern 4 2 4" xfId="4725"/>
    <cellStyle name="Pattern 4 3" xfId="1410"/>
    <cellStyle name="Pattern 4 3 2" xfId="4219"/>
    <cellStyle name="Pattern 4 3 3" xfId="5631"/>
    <cellStyle name="Pattern 4 3 4" xfId="3012"/>
    <cellStyle name="Pattern 4 4" xfId="838"/>
    <cellStyle name="Pattern 4 4 2" xfId="3638"/>
    <cellStyle name="Pattern 4 4 3" xfId="5063"/>
    <cellStyle name="Pattern 4 4 4" xfId="2480"/>
    <cellStyle name="Pattern 4 5" xfId="570"/>
    <cellStyle name="Pattern 4 5 2" xfId="4795"/>
    <cellStyle name="Pattern 4 5 3" xfId="2190"/>
    <cellStyle name="Pattern 4 6" xfId="3344"/>
    <cellStyle name="Pattern 4 7" xfId="1930"/>
    <cellStyle name="Pattern 5" xfId="329"/>
    <cellStyle name="Pattern 5 2" xfId="1600"/>
    <cellStyle name="Pattern 5 2 2" xfId="4409"/>
    <cellStyle name="Pattern 5 2 3" xfId="5821"/>
    <cellStyle name="Pattern 5 2 4" xfId="3175"/>
    <cellStyle name="Pattern 5 3" xfId="836"/>
    <cellStyle name="Pattern 5 3 2" xfId="3636"/>
    <cellStyle name="Pattern 5 3 3" xfId="5061"/>
    <cellStyle name="Pattern 5 3 4" xfId="2478"/>
    <cellStyle name="Pattern 5 4" xfId="687"/>
    <cellStyle name="Pattern 5 4 2" xfId="4912"/>
    <cellStyle name="Pattern 5 4 3" xfId="2332"/>
    <cellStyle name="Pattern 5 5" xfId="3487"/>
    <cellStyle name="Pattern 5 6" xfId="4575"/>
    <cellStyle name="Pattern 6" xfId="299"/>
    <cellStyle name="Pattern 6 2" xfId="1477"/>
    <cellStyle name="Pattern 6 2 2" xfId="4286"/>
    <cellStyle name="Pattern 6 2 3" xfId="5698"/>
    <cellStyle name="Pattern 6 2 4" xfId="3070"/>
    <cellStyle name="Pattern 6 3" xfId="1072"/>
    <cellStyle name="Pattern 6 3 2" xfId="3875"/>
    <cellStyle name="Pattern 6 3 3" xfId="5295"/>
    <cellStyle name="Pattern 6 3 4" xfId="2699"/>
    <cellStyle name="Pattern 6 4" xfId="1812"/>
    <cellStyle name="Pattern 6 5" xfId="3309"/>
    <cellStyle name="Pattern 6 6" xfId="4545"/>
    <cellStyle name="Pattern 6 7" xfId="1837"/>
    <cellStyle name="Pattern 7" xfId="1086"/>
    <cellStyle name="Pattern 7 2" xfId="1510"/>
    <cellStyle name="Pattern 7 2 2" xfId="4319"/>
    <cellStyle name="Pattern 7 2 3" xfId="5731"/>
    <cellStyle name="Pattern 7 2 4" xfId="3092"/>
    <cellStyle name="Pattern 7 3" xfId="2710"/>
    <cellStyle name="Pattern 7 4" xfId="3889"/>
    <cellStyle name="Pattern 7 5" xfId="5309"/>
    <cellStyle name="Pattern 7 6" xfId="1846"/>
    <cellStyle name="Pattern 8" xfId="1093"/>
    <cellStyle name="Pattern 8 2" xfId="3896"/>
    <cellStyle name="Pattern 8 3" xfId="5316"/>
    <cellStyle name="Pattern 8 4" xfId="2716"/>
    <cellStyle name="Pattern 9" xfId="567"/>
    <cellStyle name="Pattern 9 2" xfId="4792"/>
    <cellStyle name="Pattern 9 3" xfId="1916"/>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3" xfId="5820"/>
    <cellStyle name="Tabeltitel 2 2 2 2 2 3" xfId="2892"/>
    <cellStyle name="Tabeltitel 2 2 2 2 2 4" xfId="4094"/>
    <cellStyle name="Tabeltitel 2 2 2 2 2 5" xfId="5507"/>
    <cellStyle name="Tabeltitel 2 2 2 2 3" xfId="1465"/>
    <cellStyle name="Tabeltitel 2 2 2 2 3 2" xfId="4274"/>
    <cellStyle name="Tabeltitel 2 2 2 2 3 3" xfId="5686"/>
    <cellStyle name="Tabeltitel 2 2 2 2 4" xfId="1151"/>
    <cellStyle name="Tabeltitel 2 2 2 2 4 2" xfId="3959"/>
    <cellStyle name="Tabeltitel 2 2 2 2 4 3" xfId="5373"/>
    <cellStyle name="Tabeltitel 2 2 2 2 5" xfId="686"/>
    <cellStyle name="Tabeltitel 2 2 2 2 5 2" xfId="4911"/>
    <cellStyle name="Tabeltitel 2 2 2 2 6" xfId="3486"/>
    <cellStyle name="Tabeltitel 2 2 2 2 7" xfId="4778"/>
    <cellStyle name="Tabeltitel 2 2 2 3" xfId="750"/>
    <cellStyle name="Tabeltitel 2 2 2 3 2" xfId="1663"/>
    <cellStyle name="Tabeltitel 2 2 2 3 2 2" xfId="4472"/>
    <cellStyle name="Tabeltitel 2 2 2 3 2 3" xfId="5884"/>
    <cellStyle name="Tabeltitel 2 2 2 3 3" xfId="1346"/>
    <cellStyle name="Tabeltitel 2 2 2 3 3 2" xfId="4155"/>
    <cellStyle name="Tabeltitel 2 2 2 3 3 3" xfId="5568"/>
    <cellStyle name="Tabeltitel 2 2 2 3 4" xfId="2394"/>
    <cellStyle name="Tabeltitel 2 2 2 3 5" xfId="3550"/>
    <cellStyle name="Tabeltitel 2 2 2 3 6" xfId="4975"/>
    <cellStyle name="Tabeltitel 2 2 2 4" xfId="1135"/>
    <cellStyle name="Tabeltitel 2 2 2 4 2" xfId="3941"/>
    <cellStyle name="Tabeltitel 2 2 2 4 3" xfId="5357"/>
    <cellStyle name="Tabeltitel 2 2 2 5" xfId="1426"/>
    <cellStyle name="Tabeltitel 2 2 2 5 2" xfId="4235"/>
    <cellStyle name="Tabeltitel 2 2 2 5 3" xfId="5647"/>
    <cellStyle name="Tabeltitel 2 2 2 6" xfId="961"/>
    <cellStyle name="Tabeltitel 2 2 2 6 2" xfId="3764"/>
    <cellStyle name="Tabeltitel 2 2 2 6 3" xfId="5184"/>
    <cellStyle name="Tabeltitel 2 2 2 7" xfId="1896"/>
    <cellStyle name="Tabeltitel 2 2 3" xfId="606"/>
    <cellStyle name="Tabeltitel 2 2 3 2" xfId="1216"/>
    <cellStyle name="Tabeltitel 2 2 3 2 2" xfId="2824"/>
    <cellStyle name="Tabeltitel 2 2 3 2 3" xfId="4024"/>
    <cellStyle name="Tabeltitel 2 2 3 2 4" xfId="5438"/>
    <cellStyle name="Tabeltitel 2 2 3 3" xfId="1530"/>
    <cellStyle name="Tabeltitel 2 2 3 3 2" xfId="4339"/>
    <cellStyle name="Tabeltitel 2 2 3 3 3" xfId="5751"/>
    <cellStyle name="Tabeltitel 2 2 3 4" xfId="1138"/>
    <cellStyle name="Tabeltitel 2 2 3 4 2" xfId="3944"/>
    <cellStyle name="Tabeltitel 2 2 3 4 3" xfId="5360"/>
    <cellStyle name="Tabeltitel 2 2 3 5" xfId="2253"/>
    <cellStyle name="Tabeltitel 2 2 3 6" xfId="3406"/>
    <cellStyle name="Tabeltitel 2 2 3 7" xfId="4831"/>
    <cellStyle name="Tabeltitel 2 2 4" xfId="654"/>
    <cellStyle name="Tabeltitel 2 2 4 2" xfId="1567"/>
    <cellStyle name="Tabeltitel 2 2 4 2 2" xfId="4376"/>
    <cellStyle name="Tabeltitel 2 2 4 2 3" xfId="5788"/>
    <cellStyle name="Tabeltitel 2 2 4 3" xfId="1253"/>
    <cellStyle name="Tabeltitel 2 2 4 3 2" xfId="4062"/>
    <cellStyle name="Tabeltitel 2 2 4 3 3" xfId="5475"/>
    <cellStyle name="Tabeltitel 2 2 4 4" xfId="2301"/>
    <cellStyle name="Tabeltitel 2 2 4 5" xfId="3454"/>
    <cellStyle name="Tabeltitel 2 2 4 6" xfId="4879"/>
    <cellStyle name="Tabeltitel 2 2 5" xfId="718"/>
    <cellStyle name="Tabeltitel 2 2 5 2" xfId="1631"/>
    <cellStyle name="Tabeltitel 2 2 5 2 2" xfId="4440"/>
    <cellStyle name="Tabeltitel 2 2 5 2 3" xfId="5852"/>
    <cellStyle name="Tabeltitel 2 2 5 3" xfId="1314"/>
    <cellStyle name="Tabeltitel 2 2 5 3 2" xfId="4123"/>
    <cellStyle name="Tabeltitel 2 2 5 3 3" xfId="5536"/>
    <cellStyle name="Tabeltitel 2 2 5 4" xfId="2362"/>
    <cellStyle name="Tabeltitel 2 2 5 5" xfId="3518"/>
    <cellStyle name="Tabeltitel 2 2 5 6" xfId="4943"/>
    <cellStyle name="Tabeltitel 2 2 6" xfId="780"/>
    <cellStyle name="Tabeltitel 2 2 6 2" xfId="1693"/>
    <cellStyle name="Tabeltitel 2 2 6 2 2" xfId="4502"/>
    <cellStyle name="Tabeltitel 2 2 6 2 3" xfId="5914"/>
    <cellStyle name="Tabeltitel 2 2 6 3" xfId="1371"/>
    <cellStyle name="Tabeltitel 2 2 6 3 2" xfId="4180"/>
    <cellStyle name="Tabeltitel 2 2 6 3 3" xfId="5592"/>
    <cellStyle name="Tabeltitel 2 2 6 4" xfId="2424"/>
    <cellStyle name="Tabeltitel 2 2 6 5" xfId="3580"/>
    <cellStyle name="Tabeltitel 2 2 6 6" xfId="5005"/>
    <cellStyle name="Tabeltitel 2 2 7" xfId="963"/>
    <cellStyle name="Tabeltitel 2 2 7 2" xfId="3766"/>
    <cellStyle name="Tabeltitel 2 2 7 3" xfId="5186"/>
    <cellStyle name="Tabeltitel 2 2 8" xfId="921"/>
    <cellStyle name="Tabeltitel 2 2 8 2" xfId="3723"/>
    <cellStyle name="Tabeltitel 2 2 8 3" xfId="5144"/>
    <cellStyle name="Tabeltitel 2 3" xfId="402"/>
    <cellStyle name="Tabeltitel 2 3 2" xfId="1296"/>
    <cellStyle name="Tabeltitel 2 3 2 2" xfId="1613"/>
    <cellStyle name="Tabeltitel 2 3 2 2 2" xfId="4422"/>
    <cellStyle name="Tabeltitel 2 3 2 2 3" xfId="5834"/>
    <cellStyle name="Tabeltitel 2 3 2 3" xfId="2903"/>
    <cellStyle name="Tabeltitel 2 3 2 4" xfId="4105"/>
    <cellStyle name="Tabeltitel 2 3 2 5" xfId="5518"/>
    <cellStyle name="Tabeltitel 2 3 3" xfId="1107"/>
    <cellStyle name="Tabeltitel 2 3 3 2" xfId="3913"/>
    <cellStyle name="Tabeltitel 2 3 3 3" xfId="5330"/>
    <cellStyle name="Tabeltitel 2 3 4" xfId="1407"/>
    <cellStyle name="Tabeltitel 2 3 4 2" xfId="4216"/>
    <cellStyle name="Tabeltitel 2 3 4 3" xfId="5628"/>
    <cellStyle name="Tabeltitel 2 3 5" xfId="929"/>
    <cellStyle name="Tabeltitel 2 3 5 2" xfId="3731"/>
    <cellStyle name="Tabeltitel 2 3 5 3" xfId="5152"/>
    <cellStyle name="Tabeltitel 2 3 6" xfId="700"/>
    <cellStyle name="Tabeltitel 2 3 6 2" xfId="4925"/>
    <cellStyle name="Tabeltitel 2 3 7" xfId="3500"/>
    <cellStyle name="Tabeltitel 2 3 8" xfId="1887"/>
    <cellStyle name="Tabeltitel 2 3 9" xfId="4642"/>
    <cellStyle name="Tabeltitel 2 4" xfId="943"/>
    <cellStyle name="Tabeltitel 2 4 2" xfId="897"/>
    <cellStyle name="Tabeltitel 2 4 2 2" xfId="3697"/>
    <cellStyle name="Tabeltitel 2 4 2 3" xfId="5121"/>
    <cellStyle name="Tabeltitel 2 4 3" xfId="981"/>
    <cellStyle name="Tabeltitel 2 4 3 2" xfId="3784"/>
    <cellStyle name="Tabeltitel 2 4 3 3" xfId="5204"/>
    <cellStyle name="Tabeltitel 2 4 4" xfId="2577"/>
    <cellStyle name="Tabeltitel 2 4 5" xfId="3745"/>
    <cellStyle name="Tabeltitel 2 4 6" xfId="5166"/>
    <cellStyle name="Tabeltitel 2 5" xfId="875"/>
    <cellStyle name="Tabeltitel 2 5 2" xfId="3675"/>
    <cellStyle name="Tabeltitel 2 5 3" xfId="5099"/>
    <cellStyle name="Tabeltitel 2 6" xfId="835"/>
    <cellStyle name="Tabeltitel 2 6 2" xfId="3635"/>
    <cellStyle name="Tabeltitel 2 6 3" xfId="5060"/>
    <cellStyle name="Tabeltitel 3" xfId="214"/>
    <cellStyle name="Tabeltitel 3 2" xfId="438"/>
    <cellStyle name="Tabeltitel 3 2 2" xfId="533"/>
    <cellStyle name="Tabeltitel 3 2 2 2" xfId="1270"/>
    <cellStyle name="Tabeltitel 3 2 2 2 2" xfId="1584"/>
    <cellStyle name="Tabeltitel 3 2 2 2 2 2" xfId="4393"/>
    <cellStyle name="Tabeltitel 3 2 2 2 2 3" xfId="5805"/>
    <cellStyle name="Tabeltitel 3 2 2 2 3" xfId="2877"/>
    <cellStyle name="Tabeltitel 3 2 2 2 4" xfId="4079"/>
    <cellStyle name="Tabeltitel 3 2 2 2 5" xfId="5492"/>
    <cellStyle name="Tabeltitel 3 2 2 3" xfId="1450"/>
    <cellStyle name="Tabeltitel 3 2 2 3 2" xfId="4259"/>
    <cellStyle name="Tabeltitel 3 2 2 3 3" xfId="5671"/>
    <cellStyle name="Tabeltitel 3 2 2 4" xfId="1146"/>
    <cellStyle name="Tabeltitel 3 2 2 4 2" xfId="3954"/>
    <cellStyle name="Tabeltitel 3 2 2 4 3" xfId="5368"/>
    <cellStyle name="Tabeltitel 3 2 2 5" xfId="671"/>
    <cellStyle name="Tabeltitel 3 2 2 5 2" xfId="4896"/>
    <cellStyle name="Tabeltitel 3 2 2 6" xfId="3471"/>
    <cellStyle name="Tabeltitel 3 2 2 7" xfId="4758"/>
    <cellStyle name="Tabeltitel 3 2 3" xfId="735"/>
    <cellStyle name="Tabeltitel 3 2 3 2" xfId="1648"/>
    <cellStyle name="Tabeltitel 3 2 3 2 2" xfId="4457"/>
    <cellStyle name="Tabeltitel 3 2 3 2 3" xfId="5869"/>
    <cellStyle name="Tabeltitel 3 2 3 3" xfId="1331"/>
    <cellStyle name="Tabeltitel 3 2 3 3 2" xfId="4140"/>
    <cellStyle name="Tabeltitel 3 2 3 3 3" xfId="5553"/>
    <cellStyle name="Tabeltitel 3 2 3 4" xfId="2379"/>
    <cellStyle name="Tabeltitel 3 2 3 5" xfId="3535"/>
    <cellStyle name="Tabeltitel 3 2 3 6" xfId="4960"/>
    <cellStyle name="Tabeltitel 3 2 4" xfId="1112"/>
    <cellStyle name="Tabeltitel 3 2 4 2" xfId="3918"/>
    <cellStyle name="Tabeltitel 3 2 4 3" xfId="5335"/>
    <cellStyle name="Tabeltitel 3 2 5" xfId="1090"/>
    <cellStyle name="Tabeltitel 3 2 5 2" xfId="3893"/>
    <cellStyle name="Tabeltitel 3 2 5 3" xfId="5313"/>
    <cellStyle name="Tabeltitel 3 2 6" xfId="900"/>
    <cellStyle name="Tabeltitel 3 2 6 2" xfId="3701"/>
    <cellStyle name="Tabeltitel 3 2 6 3" xfId="5124"/>
    <cellStyle name="Tabeltitel 3 2 7" xfId="1893"/>
    <cellStyle name="Tabeltitel 3 3" xfId="298"/>
    <cellStyle name="Tabeltitel 3 3 2" xfId="1165"/>
    <cellStyle name="Tabeltitel 3 3 2 2" xfId="1500"/>
    <cellStyle name="Tabeltitel 3 3 2 2 2" xfId="4309"/>
    <cellStyle name="Tabeltitel 3 3 2 2 3" xfId="5721"/>
    <cellStyle name="Tabeltitel 3 3 2 3" xfId="2775"/>
    <cellStyle name="Tabeltitel 3 3 2 4" xfId="3973"/>
    <cellStyle name="Tabeltitel 3 3 2 5" xfId="5387"/>
    <cellStyle name="Tabeltitel 3 3 3" xfId="1431"/>
    <cellStyle name="Tabeltitel 3 3 3 2" xfId="4240"/>
    <cellStyle name="Tabeltitel 3 3 3 3" xfId="5652"/>
    <cellStyle name="Tabeltitel 3 3 4" xfId="1076"/>
    <cellStyle name="Tabeltitel 3 3 4 2" xfId="3879"/>
    <cellStyle name="Tabeltitel 3 3 4 3" xfId="5299"/>
    <cellStyle name="Tabeltitel 3 3 5" xfId="2194"/>
    <cellStyle name="Tabeltitel 3 3 6" xfId="3347"/>
    <cellStyle name="Tabeltitel 3 3 7" xfId="4544"/>
    <cellStyle name="Tabeltitel 3 4" xfId="554"/>
    <cellStyle name="Tabeltitel 3 4 2" xfId="1490"/>
    <cellStyle name="Tabeltitel 3 4 2 2" xfId="4299"/>
    <cellStyle name="Tabeltitel 3 4 2 3" xfId="5711"/>
    <cellStyle name="Tabeltitel 3 4 3" xfId="1154"/>
    <cellStyle name="Tabeltitel 3 4 3 2" xfId="3962"/>
    <cellStyle name="Tabeltitel 3 4 3 3" xfId="5376"/>
    <cellStyle name="Tabeltitel 3 4 4" xfId="2180"/>
    <cellStyle name="Tabeltitel 3 4 5" xfId="3334"/>
    <cellStyle name="Tabeltitel 3 4 6" xfId="4779"/>
    <cellStyle name="Tabeltitel 3 5" xfId="365"/>
    <cellStyle name="Tabeltitel 3 5 2" xfId="1475"/>
    <cellStyle name="Tabeltitel 3 5 2 2" xfId="4284"/>
    <cellStyle name="Tabeltitel 3 5 2 3" xfId="5696"/>
    <cellStyle name="Tabeltitel 3 5 3" xfId="926"/>
    <cellStyle name="Tabeltitel 3 5 3 2" xfId="3728"/>
    <cellStyle name="Tabeltitel 3 5 3 3" xfId="5149"/>
    <cellStyle name="Tabeltitel 3 5 4" xfId="1800"/>
    <cellStyle name="Tabeltitel 3 5 5" xfId="3306"/>
    <cellStyle name="Tabeltitel 3 5 6" xfId="4611"/>
    <cellStyle name="Tabeltitel 3 6" xfId="373"/>
    <cellStyle name="Tabeltitel 3 6 2" xfId="1476"/>
    <cellStyle name="Tabeltitel 3 6 2 2" xfId="4285"/>
    <cellStyle name="Tabeltitel 3 6 2 3" xfId="5697"/>
    <cellStyle name="Tabeltitel 3 6 3" xfId="987"/>
    <cellStyle name="Tabeltitel 3 6 3 2" xfId="3790"/>
    <cellStyle name="Tabeltitel 3 6 3 3" xfId="5210"/>
    <cellStyle name="Tabeltitel 3 6 4" xfId="1895"/>
    <cellStyle name="Tabeltitel 3 6 5" xfId="3307"/>
    <cellStyle name="Tabeltitel 3 6 6" xfId="4619"/>
    <cellStyle name="Tabeltitel 3 7" xfId="1528"/>
    <cellStyle name="Tabeltitel 3 7 2" xfId="4337"/>
    <cellStyle name="Tabeltitel 3 7 3" xfId="5749"/>
    <cellStyle name="Tabeltitel 3 8" xfId="1252"/>
    <cellStyle name="Tabeltitel 3 8 2" xfId="4060"/>
    <cellStyle name="Tabeltitel 3 8 3" xfId="5474"/>
    <cellStyle name="Tabeltitel 3 9" xfId="817"/>
    <cellStyle name="Tabeltitel 3 9 2" xfId="3617"/>
    <cellStyle name="Tabeltitel 3 9 3" xfId="5042"/>
    <cellStyle name="Tabeltitel 4" xfId="384"/>
    <cellStyle name="Tabeltitel 4 2" xfId="1104"/>
    <cellStyle name="Tabeltitel 4 2 2" xfId="1471"/>
    <cellStyle name="Tabeltitel 4 2 2 2" xfId="4280"/>
    <cellStyle name="Tabeltitel 4 2 2 3" xfId="5692"/>
    <cellStyle name="Tabeltitel 4 2 3" xfId="2729"/>
    <cellStyle name="Tabeltitel 4 2 4" xfId="3910"/>
    <cellStyle name="Tabeltitel 4 2 5" xfId="5327"/>
    <cellStyle name="Tabeltitel 4 3" xfId="982"/>
    <cellStyle name="Tabeltitel 4 3 2" xfId="3785"/>
    <cellStyle name="Tabeltitel 4 3 3" xfId="5205"/>
    <cellStyle name="Tabeltitel 4 4" xfId="1026"/>
    <cellStyle name="Tabeltitel 4 4 2" xfId="3829"/>
    <cellStyle name="Tabeltitel 4 4 3" xfId="5249"/>
    <cellStyle name="Tabeltitel 4 5" xfId="874"/>
    <cellStyle name="Tabeltitel 4 5 2" xfId="3674"/>
    <cellStyle name="Tabeltitel 4 5 3" xfId="5098"/>
    <cellStyle name="Tabeltitel 4 6" xfId="319"/>
    <cellStyle name="Tabeltitel 4 6 2" xfId="4565"/>
    <cellStyle name="Tabeltitel 4 7" xfId="3302"/>
    <cellStyle name="Tabeltitel 4 8" xfId="1807"/>
    <cellStyle name="Tabeltitel 4 9" xfId="4629"/>
    <cellStyle name="Tabeltitel 5" xfId="896"/>
    <cellStyle name="Tabeltitel 5 2" xfId="1074"/>
    <cellStyle name="Tabeltitel 5 2 2" xfId="3877"/>
    <cellStyle name="Tabeltitel 5 2 3" xfId="5297"/>
    <cellStyle name="Tabeltitel 5 3" xfId="1033"/>
    <cellStyle name="Tabeltitel 5 3 2" xfId="3836"/>
    <cellStyle name="Tabeltitel 5 3 3" xfId="5256"/>
    <cellStyle name="Tabeltitel 5 4" xfId="2534"/>
    <cellStyle name="Tabeltitel 5 5" xfId="3696"/>
    <cellStyle name="Tabeltitel 5 6" xfId="5120"/>
    <cellStyle name="Tabeltitel 6" xfId="864"/>
    <cellStyle name="Tabeltitel 6 2" xfId="3664"/>
    <cellStyle name="Tabeltitel 6 3" xfId="5088"/>
    <cellStyle name="Tabeltitel 7" xfId="293"/>
    <cellStyle name="Tabeltitel 7 2" xfId="3310"/>
    <cellStyle name="Tabeltitel 7 3" xfId="4539"/>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102650.18130618204</c:v>
                </c:pt>
                <c:pt idx="1">
                  <c:v>47544.633510557993</c:v>
                </c:pt>
                <c:pt idx="2">
                  <c:v>679.77099999999996</c:v>
                </c:pt>
                <c:pt idx="3">
                  <c:v>106561.73732154709</c:v>
                </c:pt>
                <c:pt idx="4">
                  <c:v>250770.42386139545</c:v>
                </c:pt>
                <c:pt idx="5">
                  <c:v>61204.128069315768</c:v>
                </c:pt>
                <c:pt idx="6">
                  <c:v>1143.6262182589292</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102650.18130618204</c:v>
                </c:pt>
                <c:pt idx="1">
                  <c:v>47544.633510557993</c:v>
                </c:pt>
                <c:pt idx="2">
                  <c:v>679.77099999999996</c:v>
                </c:pt>
                <c:pt idx="3">
                  <c:v>106561.73732154709</c:v>
                </c:pt>
                <c:pt idx="4">
                  <c:v>250770.42386139545</c:v>
                </c:pt>
                <c:pt idx="5">
                  <c:v>61204.128069315768</c:v>
                </c:pt>
                <c:pt idx="6">
                  <c:v>1143.6262182589292</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18004.689294062515</c:v>
                </c:pt>
                <c:pt idx="1">
                  <c:v>9650.7911439241016</c:v>
                </c:pt>
                <c:pt idx="2">
                  <c:v>144.65788017456143</c:v>
                </c:pt>
                <c:pt idx="3">
                  <c:v>25876.628881982666</c:v>
                </c:pt>
                <c:pt idx="4">
                  <c:v>52755.160823979182</c:v>
                </c:pt>
                <c:pt idx="5">
                  <c:v>15207.998854734418</c:v>
                </c:pt>
                <c:pt idx="6">
                  <c:v>289.63116371222674</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18004.689294062515</c:v>
                </c:pt>
                <c:pt idx="1">
                  <c:v>9650.7911439241016</c:v>
                </c:pt>
                <c:pt idx="2">
                  <c:v>144.65788017456143</c:v>
                </c:pt>
                <c:pt idx="3">
                  <c:v>25876.628881982666</c:v>
                </c:pt>
                <c:pt idx="4">
                  <c:v>52755.160823979182</c:v>
                </c:pt>
                <c:pt idx="5">
                  <c:v>15207.998854734418</c:v>
                </c:pt>
                <c:pt idx="6">
                  <c:v>289.63116371222674</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topLeftCell="A13" zoomScaleNormal="100" workbookViewId="0">
      <selection activeCell="A21" sqref="A21"/>
    </sheetView>
  </sheetViews>
  <sheetFormatPr defaultRowHeight="15"/>
  <cols>
    <col min="1" max="1" width="51" customWidth="1"/>
    <col min="2" max="2" width="81.5703125" customWidth="1"/>
    <col min="3" max="3" width="140.5703125" customWidth="1"/>
  </cols>
  <sheetData>
    <row r="1" spans="1:7" ht="15.75" thickBot="1"/>
    <row r="2" spans="1:7" s="383" customFormat="1" ht="20.25" customHeight="1">
      <c r="A2" s="395" t="s">
        <v>641</v>
      </c>
      <c r="B2" s="396"/>
      <c r="C2" s="397"/>
    </row>
    <row r="3" spans="1:7" s="11" customFormat="1" ht="15" customHeight="1">
      <c r="A3" s="93"/>
      <c r="B3" s="74"/>
      <c r="C3" s="94"/>
    </row>
    <row r="4" spans="1:7" s="11" customFormat="1" ht="15.75" customHeight="1" thickBot="1">
      <c r="A4" s="105" t="s">
        <v>793</v>
      </c>
      <c r="B4" s="106"/>
      <c r="C4" s="107"/>
    </row>
    <row r="5" spans="1:7" s="390" customFormat="1" ht="15.75" customHeight="1">
      <c r="A5" s="387" t="s">
        <v>0</v>
      </c>
      <c r="B5" s="388"/>
      <c r="C5" s="389"/>
    </row>
    <row r="6" spans="1:7" s="390" customFormat="1" ht="15" customHeight="1">
      <c r="A6" s="391" t="str">
        <f>txtNIS</f>
        <v>36019</v>
      </c>
      <c r="B6" s="392"/>
      <c r="C6" s="393"/>
    </row>
    <row r="7" spans="1:7" s="390" customFormat="1" ht="15.75" customHeight="1">
      <c r="A7" s="394" t="str">
        <f>txtMunicipality</f>
        <v>STADEN</v>
      </c>
      <c r="B7" s="392"/>
      <c r="C7" s="393"/>
    </row>
    <row r="8" spans="1:7" ht="15.75" thickBot="1">
      <c r="A8" s="45"/>
      <c r="B8" s="108"/>
      <c r="C8" s="109"/>
    </row>
    <row r="9" spans="1:7" s="383" customFormat="1" ht="15.75" thickBot="1">
      <c r="A9" s="407" t="s">
        <v>356</v>
      </c>
      <c r="B9" s="410"/>
      <c r="C9" s="411"/>
    </row>
    <row r="10" spans="1:7" s="15" customFormat="1" ht="57.75" customHeight="1" thickBot="1">
      <c r="A10" s="1080" t="s">
        <v>794</v>
      </c>
      <c r="B10" s="1081"/>
      <c r="C10" s="1082"/>
    </row>
    <row r="11" spans="1:7" s="384" customFormat="1" ht="15.75" thickBot="1">
      <c r="A11" s="407" t="s">
        <v>358</v>
      </c>
      <c r="B11" s="410"/>
      <c r="C11" s="411"/>
      <c r="G11" s="385"/>
    </row>
    <row r="12" spans="1:7">
      <c r="A12" s="44"/>
      <c r="B12" s="43"/>
      <c r="C12" s="96"/>
    </row>
    <row r="13" spans="1:7" s="384" customFormat="1">
      <c r="A13" s="776" t="s">
        <v>607</v>
      </c>
      <c r="B13" s="381"/>
      <c r="C13" s="382"/>
      <c r="D13" s="383"/>
      <c r="E13" s="383"/>
      <c r="G13" s="385"/>
    </row>
    <row r="14" spans="1:7" s="384" customFormat="1">
      <c r="A14" s="386"/>
      <c r="B14" s="381"/>
      <c r="C14" s="382"/>
      <c r="D14" s="383"/>
      <c r="E14" s="383"/>
      <c r="G14" s="385"/>
    </row>
    <row r="15" spans="1:7" s="15" customFormat="1" ht="15.75" thickBot="1">
      <c r="A15" s="97"/>
      <c r="B15" s="43"/>
      <c r="C15" s="96"/>
      <c r="D15"/>
      <c r="E15"/>
      <c r="G15" s="68"/>
    </row>
    <row r="16" spans="1:7" s="383" customFormat="1" ht="32.25" customHeight="1" thickBot="1">
      <c r="A16" s="407" t="s">
        <v>359</v>
      </c>
      <c r="B16" s="1083" t="s">
        <v>511</v>
      </c>
      <c r="C16" s="1084"/>
    </row>
    <row r="17" spans="1:3" s="15" customFormat="1" ht="15.75">
      <c r="A17" s="98"/>
      <c r="B17" s="70"/>
      <c r="C17" s="99"/>
    </row>
    <row r="18" spans="1:3">
      <c r="A18" s="95" t="s">
        <v>362</v>
      </c>
      <c r="B18" s="69" t="s">
        <v>374</v>
      </c>
      <c r="C18" s="100" t="s">
        <v>373</v>
      </c>
    </row>
    <row r="19" spans="1:3" s="338" customFormat="1">
      <c r="A19" s="374" t="s">
        <v>360</v>
      </c>
      <c r="B19" s="375" t="s">
        <v>795</v>
      </c>
      <c r="C19" s="376" t="s">
        <v>509</v>
      </c>
    </row>
    <row r="20" spans="1:3" s="338" customFormat="1">
      <c r="A20" s="377"/>
      <c r="B20" s="335"/>
      <c r="C20" s="378"/>
    </row>
    <row r="21" spans="1:3" s="338" customFormat="1">
      <c r="A21" s="379" t="s">
        <v>361</v>
      </c>
      <c r="B21" s="375" t="s">
        <v>506</v>
      </c>
      <c r="C21" s="376" t="s">
        <v>510</v>
      </c>
    </row>
    <row r="22" spans="1:3" s="338" customFormat="1">
      <c r="A22" s="380"/>
      <c r="B22" s="335"/>
      <c r="C22" s="378"/>
    </row>
    <row r="23" spans="1:3" s="338" customFormat="1" ht="30">
      <c r="A23" s="374" t="s">
        <v>427</v>
      </c>
      <c r="B23" s="445" t="s">
        <v>431</v>
      </c>
      <c r="C23" s="376" t="s">
        <v>507</v>
      </c>
    </row>
    <row r="24" spans="1:3" s="338" customFormat="1">
      <c r="A24" s="380"/>
      <c r="B24" s="335"/>
      <c r="C24" s="378"/>
    </row>
    <row r="25" spans="1:3" s="338" customFormat="1">
      <c r="A25" s="374" t="s">
        <v>429</v>
      </c>
      <c r="B25" s="375" t="s">
        <v>428</v>
      </c>
      <c r="C25" s="376" t="s">
        <v>508</v>
      </c>
    </row>
    <row r="26" spans="1:3" s="338" customFormat="1">
      <c r="A26" s="380"/>
      <c r="B26" s="335"/>
      <c r="C26" s="378"/>
    </row>
    <row r="27" spans="1:3" s="338" customFormat="1">
      <c r="A27" s="374" t="s">
        <v>402</v>
      </c>
      <c r="B27" s="375" t="s">
        <v>426</v>
      </c>
      <c r="C27" s="376"/>
    </row>
    <row r="28" spans="1:3" s="338" customFormat="1">
      <c r="A28" s="380"/>
      <c r="B28" s="335" t="s">
        <v>564</v>
      </c>
      <c r="C28" s="378"/>
    </row>
    <row r="29" spans="1:3" ht="15.75" thickBot="1">
      <c r="A29" s="44"/>
      <c r="B29" s="43"/>
      <c r="C29" s="96"/>
    </row>
    <row r="30" spans="1:3" s="383" customFormat="1" ht="15.75" thickBot="1">
      <c r="A30" s="407" t="s">
        <v>371</v>
      </c>
      <c r="B30" s="408"/>
      <c r="C30" s="409"/>
    </row>
    <row r="31" spans="1:3" s="15" customFormat="1" ht="15.75">
      <c r="A31" s="98"/>
      <c r="B31" s="71"/>
      <c r="C31" s="102"/>
    </row>
    <row r="32" spans="1:3" s="15" customFormat="1">
      <c r="A32" s="103" t="s">
        <v>372</v>
      </c>
      <c r="B32" s="73" t="s">
        <v>374</v>
      </c>
      <c r="C32" s="104"/>
    </row>
    <row r="33" spans="1:3" s="401" customFormat="1">
      <c r="A33" s="398" t="s">
        <v>363</v>
      </c>
      <c r="B33" s="399" t="s">
        <v>375</v>
      </c>
      <c r="C33" s="400"/>
    </row>
    <row r="34" spans="1:3" s="401" customFormat="1">
      <c r="A34" s="402" t="s">
        <v>364</v>
      </c>
      <c r="B34" s="403" t="s">
        <v>365</v>
      </c>
      <c r="C34" s="404"/>
    </row>
    <row r="35" spans="1:3" s="401" customFormat="1">
      <c r="A35" s="405" t="s">
        <v>366</v>
      </c>
      <c r="B35" s="403" t="s">
        <v>367</v>
      </c>
      <c r="C35" s="404"/>
    </row>
    <row r="36" spans="1:3" s="401" customFormat="1">
      <c r="A36" s="406" t="s">
        <v>368</v>
      </c>
      <c r="B36" s="403" t="s">
        <v>369</v>
      </c>
      <c r="C36" s="404"/>
    </row>
    <row r="37" spans="1:3" s="401" customFormat="1" ht="30">
      <c r="A37" s="433" t="s">
        <v>370</v>
      </c>
      <c r="B37" s="403" t="s">
        <v>459</v>
      </c>
      <c r="C37" s="404"/>
    </row>
    <row r="38" spans="1:3" ht="15.75" thickBot="1">
      <c r="A38" s="434"/>
      <c r="B38" s="435"/>
      <c r="C38" s="436"/>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3" customFormat="1" ht="55.5" customHeight="1" thickBot="1">
      <c r="A2" s="412" t="s">
        <v>380</v>
      </c>
      <c r="B2" s="796"/>
      <c r="C2" s="411"/>
    </row>
    <row r="3" spans="1:3" s="15" customFormat="1" ht="15.75">
      <c r="A3" s="98"/>
      <c r="B3" s="70"/>
      <c r="C3" s="99"/>
    </row>
    <row r="4" spans="1:3" s="332" customFormat="1">
      <c r="A4" s="391" t="s">
        <v>362</v>
      </c>
      <c r="B4" s="413" t="s">
        <v>374</v>
      </c>
      <c r="C4" s="414" t="s">
        <v>373</v>
      </c>
    </row>
    <row r="5" spans="1:3" s="332" customFormat="1">
      <c r="A5" s="415"/>
      <c r="B5" s="338"/>
      <c r="C5" s="367"/>
    </row>
    <row r="6" spans="1:3" s="332" customFormat="1">
      <c r="A6" s="918" t="s">
        <v>646</v>
      </c>
      <c r="B6" s="416" t="s">
        <v>796</v>
      </c>
      <c r="C6" s="417" t="s">
        <v>357</v>
      </c>
    </row>
    <row r="7" spans="1:3" s="332" customFormat="1">
      <c r="A7" s="918" t="s">
        <v>798</v>
      </c>
      <c r="B7" s="418" t="s">
        <v>593</v>
      </c>
      <c r="C7" s="419" t="s">
        <v>592</v>
      </c>
    </row>
    <row r="8" spans="1:3" s="332" customFormat="1">
      <c r="A8" s="448"/>
      <c r="B8" s="418"/>
      <c r="C8" s="419"/>
    </row>
    <row r="9" spans="1:3" ht="21">
      <c r="A9" s="126" t="s">
        <v>460</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9" customWidth="1"/>
    <col min="2" max="2" width="22.85546875" style="449"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9"/>
  </cols>
  <sheetData>
    <row r="2" spans="1:19" ht="15.75">
      <c r="A2" s="1155" t="s">
        <v>220</v>
      </c>
      <c r="B2" s="1155"/>
      <c r="C2" s="1155"/>
      <c r="D2" s="59"/>
      <c r="E2" s="59"/>
      <c r="F2" s="59"/>
      <c r="G2" s="59"/>
      <c r="H2" s="60"/>
      <c r="I2" s="60"/>
      <c r="J2" s="61"/>
      <c r="K2" s="61"/>
      <c r="L2" s="60"/>
      <c r="M2" s="60"/>
      <c r="N2" s="60"/>
      <c r="O2" s="60"/>
      <c r="P2" s="60"/>
      <c r="Q2" s="60"/>
      <c r="R2" s="60"/>
    </row>
    <row r="3" spans="1:19">
      <c r="A3" s="1156"/>
      <c r="B3" s="1156"/>
      <c r="C3" s="1156"/>
      <c r="D3" s="1156"/>
      <c r="E3" s="1156"/>
      <c r="F3" s="1156"/>
      <c r="G3" s="1156"/>
      <c r="H3" s="1156"/>
      <c r="I3" s="1156"/>
      <c r="J3" s="1156"/>
      <c r="K3" s="1156"/>
      <c r="L3" s="1156"/>
      <c r="M3" s="1156"/>
      <c r="N3" s="1156"/>
      <c r="O3" s="1156"/>
      <c r="P3" s="1156"/>
      <c r="Q3" s="1156"/>
      <c r="R3" s="1156"/>
    </row>
    <row r="4" spans="1:19" ht="15.75" thickBot="1">
      <c r="A4" s="450"/>
      <c r="B4" s="450"/>
      <c r="C4" s="63"/>
      <c r="D4" s="63"/>
      <c r="E4" s="63"/>
      <c r="F4" s="63"/>
      <c r="G4" s="63"/>
      <c r="H4" s="63"/>
      <c r="I4" s="63"/>
      <c r="J4" s="63"/>
      <c r="K4" s="63"/>
      <c r="L4" s="63"/>
      <c r="M4" s="63"/>
      <c r="N4" s="63"/>
      <c r="O4" s="63"/>
      <c r="P4" s="63"/>
      <c r="Q4" s="63"/>
      <c r="R4" s="63"/>
    </row>
    <row r="5" spans="1:19" ht="16.5" thickBot="1">
      <c r="A5" s="1157" t="s">
        <v>221</v>
      </c>
      <c r="B5" s="802"/>
      <c r="C5" s="1160" t="s">
        <v>342</v>
      </c>
      <c r="D5" s="1161"/>
      <c r="E5" s="1161"/>
      <c r="F5" s="1161"/>
      <c r="G5" s="1161"/>
      <c r="H5" s="1161"/>
      <c r="I5" s="1161"/>
      <c r="J5" s="1161"/>
      <c r="K5" s="1161"/>
      <c r="L5" s="1161"/>
      <c r="M5" s="1161"/>
      <c r="N5" s="1161"/>
      <c r="O5" s="1161"/>
      <c r="P5" s="1161"/>
      <c r="Q5" s="1161"/>
      <c r="R5" s="1162"/>
    </row>
    <row r="6" spans="1:19" ht="16.5" thickTop="1">
      <c r="A6" s="1158"/>
      <c r="B6" s="803"/>
      <c r="C6" s="1163" t="s">
        <v>20</v>
      </c>
      <c r="D6" s="1165" t="s">
        <v>195</v>
      </c>
      <c r="E6" s="1167" t="s">
        <v>196</v>
      </c>
      <c r="F6" s="1168"/>
      <c r="G6" s="1168"/>
      <c r="H6" s="1168"/>
      <c r="I6" s="1168"/>
      <c r="J6" s="1168"/>
      <c r="K6" s="1168"/>
      <c r="L6" s="1169"/>
      <c r="M6" s="1167" t="s">
        <v>197</v>
      </c>
      <c r="N6" s="1168"/>
      <c r="O6" s="1168"/>
      <c r="P6" s="1168"/>
      <c r="Q6" s="1168"/>
      <c r="R6" s="1170" t="s">
        <v>115</v>
      </c>
    </row>
    <row r="7" spans="1:19" ht="45.75" thickBot="1">
      <c r="A7" s="1159"/>
      <c r="B7" s="804"/>
      <c r="C7" s="1164"/>
      <c r="D7" s="1166"/>
      <c r="E7" s="446" t="s">
        <v>198</v>
      </c>
      <c r="F7" s="446" t="s">
        <v>199</v>
      </c>
      <c r="G7" s="64" t="s">
        <v>200</v>
      </c>
      <c r="H7" s="446" t="s">
        <v>201</v>
      </c>
      <c r="I7" s="446" t="s">
        <v>119</v>
      </c>
      <c r="J7" s="446" t="s">
        <v>202</v>
      </c>
      <c r="K7" s="447" t="s">
        <v>203</v>
      </c>
      <c r="L7" s="447" t="s">
        <v>204</v>
      </c>
      <c r="M7" s="64" t="s">
        <v>205</v>
      </c>
      <c r="N7" s="65" t="s">
        <v>206</v>
      </c>
      <c r="O7" s="65" t="s">
        <v>207</v>
      </c>
      <c r="P7" s="65" t="s">
        <v>208</v>
      </c>
      <c r="Q7" s="66" t="s">
        <v>209</v>
      </c>
      <c r="R7" s="1171"/>
    </row>
    <row r="8" spans="1:19" ht="18.75" customHeight="1" thickTop="1">
      <c r="A8" s="810" t="s">
        <v>343</v>
      </c>
      <c r="B8" s="815"/>
      <c r="C8" s="1172"/>
      <c r="D8" s="1172"/>
      <c r="E8" s="1172"/>
      <c r="F8" s="1172"/>
      <c r="G8" s="1172"/>
      <c r="H8" s="1172"/>
      <c r="I8" s="1172"/>
      <c r="J8" s="1172"/>
      <c r="K8" s="1172"/>
      <c r="L8" s="1172"/>
      <c r="M8" s="1172"/>
      <c r="N8" s="1172"/>
      <c r="O8" s="1172"/>
      <c r="P8" s="1172"/>
      <c r="Q8" s="1172"/>
      <c r="R8" s="308"/>
    </row>
    <row r="9" spans="1:19" s="451" customFormat="1">
      <c r="A9" s="811" t="s">
        <v>222</v>
      </c>
      <c r="B9" s="816"/>
      <c r="C9" s="689">
        <f>'Eigen gebouwen'!B15</f>
        <v>0</v>
      </c>
      <c r="D9" s="689">
        <f>'Eigen gebouwen'!C15</f>
        <v>0</v>
      </c>
      <c r="E9" s="689">
        <f>'Eigen gebouwen'!D15</f>
        <v>0</v>
      </c>
      <c r="F9" s="689">
        <f>'Eigen gebouwen'!E15</f>
        <v>0</v>
      </c>
      <c r="G9" s="689">
        <f>'Eigen gebouwen'!F15</f>
        <v>0</v>
      </c>
      <c r="H9" s="689">
        <f>'Eigen gebouwen'!G15</f>
        <v>0</v>
      </c>
      <c r="I9" s="689">
        <f>'Eigen gebouwen'!H15</f>
        <v>0</v>
      </c>
      <c r="J9" s="689">
        <f>'Eigen gebouwen'!I15</f>
        <v>0</v>
      </c>
      <c r="K9" s="689">
        <f>'Eigen gebouwen'!J15</f>
        <v>0</v>
      </c>
      <c r="L9" s="689">
        <f>'Eigen gebouwen'!K15</f>
        <v>0</v>
      </c>
      <c r="M9" s="689">
        <f>'Eigen gebouwen'!L15</f>
        <v>0</v>
      </c>
      <c r="N9" s="689">
        <f>'Eigen gebouwen'!M15</f>
        <v>0</v>
      </c>
      <c r="O9" s="689">
        <f>'Eigen gebouwen'!N15</f>
        <v>0</v>
      </c>
      <c r="P9" s="689">
        <f>'Eigen gebouwen'!O15</f>
        <v>0</v>
      </c>
      <c r="Q9" s="690">
        <f>'Eigen gebouwen'!P15</f>
        <v>0</v>
      </c>
      <c r="R9" s="691">
        <f>SUM(C9:Q9)</f>
        <v>0</v>
      </c>
      <c r="S9" s="67"/>
    </row>
    <row r="10" spans="1:19" s="451" customFormat="1">
      <c r="A10" s="812" t="s">
        <v>223</v>
      </c>
      <c r="B10" s="817"/>
      <c r="C10" s="689">
        <f ca="1">tertiair!B16+'openbare verlichting'!B8</f>
        <v>10073.109738599704</v>
      </c>
      <c r="D10" s="689">
        <f ca="1">tertiair!C16</f>
        <v>0</v>
      </c>
      <c r="E10" s="689">
        <f ca="1">tertiair!D16</f>
        <v>35214.378773880788</v>
      </c>
      <c r="F10" s="689">
        <f>tertiair!E16</f>
        <v>45.7350449275743</v>
      </c>
      <c r="G10" s="689">
        <f ca="1">tertiair!F16</f>
        <v>1978.1221481392477</v>
      </c>
      <c r="H10" s="689">
        <f>tertiair!G16</f>
        <v>0</v>
      </c>
      <c r="I10" s="689">
        <f>tertiair!H16</f>
        <v>0</v>
      </c>
      <c r="J10" s="689">
        <f>tertiair!I16</f>
        <v>0</v>
      </c>
      <c r="K10" s="689">
        <f>tertiair!J16</f>
        <v>2.1452797109736434E-2</v>
      </c>
      <c r="L10" s="689">
        <f>tertiair!K16</f>
        <v>0</v>
      </c>
      <c r="M10" s="689">
        <f ca="1">tertiair!L16</f>
        <v>0</v>
      </c>
      <c r="N10" s="689">
        <f>tertiair!M16</f>
        <v>0</v>
      </c>
      <c r="O10" s="689">
        <f ca="1">tertiair!N16</f>
        <v>783.472771771368</v>
      </c>
      <c r="P10" s="689">
        <f>tertiair!O16</f>
        <v>24.486303829205774</v>
      </c>
      <c r="Q10" s="690">
        <f>tertiair!P16</f>
        <v>105.07827661299004</v>
      </c>
      <c r="R10" s="692">
        <f ca="1">SUM(C10:Q10)</f>
        <v>48224.404510557993</v>
      </c>
      <c r="S10" s="67"/>
    </row>
    <row r="11" spans="1:19" s="451" customFormat="1">
      <c r="A11" s="811" t="s">
        <v>224</v>
      </c>
      <c r="B11" s="816"/>
      <c r="C11" s="689">
        <f>huishoudens!B8</f>
        <v>19285.92196828391</v>
      </c>
      <c r="D11" s="689">
        <f>huishoudens!C8</f>
        <v>0</v>
      </c>
      <c r="E11" s="689">
        <f>huishoudens!D8</f>
        <v>33663.168431330152</v>
      </c>
      <c r="F11" s="689">
        <f>huishoudens!E8</f>
        <v>15049.422615118247</v>
      </c>
      <c r="G11" s="689">
        <f>huishoudens!F8</f>
        <v>13132.640142188808</v>
      </c>
      <c r="H11" s="689">
        <f>huishoudens!G8</f>
        <v>0</v>
      </c>
      <c r="I11" s="689">
        <f>huishoudens!H8</f>
        <v>0</v>
      </c>
      <c r="J11" s="689">
        <f>huishoudens!I8</f>
        <v>0</v>
      </c>
      <c r="K11" s="689">
        <f>huishoudens!J8</f>
        <v>502.76027300953217</v>
      </c>
      <c r="L11" s="689">
        <f>huishoudens!K8</f>
        <v>0</v>
      </c>
      <c r="M11" s="689">
        <f>huishoudens!L8</f>
        <v>0</v>
      </c>
      <c r="N11" s="689">
        <f>huishoudens!M8</f>
        <v>0</v>
      </c>
      <c r="O11" s="689">
        <f>huishoudens!N8</f>
        <v>20053.006002877042</v>
      </c>
      <c r="P11" s="689">
        <f>huishoudens!O8</f>
        <v>605.10725691304469</v>
      </c>
      <c r="Q11" s="690">
        <f>huishoudens!P8</f>
        <v>358.15461646129074</v>
      </c>
      <c r="R11" s="692">
        <f>SUM(C11:Q11)</f>
        <v>102650.18130618204</v>
      </c>
      <c r="S11" s="67"/>
    </row>
    <row r="12" spans="1:19" s="451" customFormat="1">
      <c r="A12" s="811" t="s">
        <v>492</v>
      </c>
      <c r="B12" s="816"/>
      <c r="C12" s="689">
        <f>'Eigen openbare verlichting'!B15</f>
        <v>0</v>
      </c>
      <c r="D12" s="689"/>
      <c r="E12" s="689"/>
      <c r="F12" s="689"/>
      <c r="G12" s="689"/>
      <c r="H12" s="689"/>
      <c r="I12" s="689"/>
      <c r="J12" s="689"/>
      <c r="K12" s="689"/>
      <c r="L12" s="689"/>
      <c r="M12" s="689"/>
      <c r="N12" s="689"/>
      <c r="O12" s="689"/>
      <c r="P12" s="689"/>
      <c r="Q12" s="689"/>
      <c r="R12" s="692">
        <f>SUM(C12:Q12)</f>
        <v>0</v>
      </c>
      <c r="S12" s="67"/>
    </row>
    <row r="13" spans="1:19" s="451" customFormat="1">
      <c r="A13" s="811" t="s">
        <v>629</v>
      </c>
      <c r="B13" s="820" t="s">
        <v>627</v>
      </c>
      <c r="C13" s="689">
        <f>industrie!B18</f>
        <v>166644.97269378952</v>
      </c>
      <c r="D13" s="689">
        <f>industrie!C18</f>
        <v>8292.8571428571431</v>
      </c>
      <c r="E13" s="689">
        <f>industrie!D18</f>
        <v>69562.829845046625</v>
      </c>
      <c r="F13" s="689">
        <f>industrie!E18</f>
        <v>284.1008109029612</v>
      </c>
      <c r="G13" s="689">
        <f>industrie!F18</f>
        <v>4700.2198581289067</v>
      </c>
      <c r="H13" s="689">
        <f>industrie!G18</f>
        <v>0</v>
      </c>
      <c r="I13" s="689">
        <f>industrie!H18</f>
        <v>0</v>
      </c>
      <c r="J13" s="689">
        <f>industrie!I18</f>
        <v>0</v>
      </c>
      <c r="K13" s="689">
        <f>industrie!J18</f>
        <v>4.7812365066007372</v>
      </c>
      <c r="L13" s="689">
        <f>industrie!K18</f>
        <v>0</v>
      </c>
      <c r="M13" s="689">
        <f>industrie!L18</f>
        <v>0</v>
      </c>
      <c r="N13" s="689">
        <f>industrie!M18</f>
        <v>0</v>
      </c>
      <c r="O13" s="689">
        <f>industrie!N18</f>
        <v>1280.6622741637466</v>
      </c>
      <c r="P13" s="689">
        <f>industrie!O18</f>
        <v>0</v>
      </c>
      <c r="Q13" s="690">
        <f>industrie!P18</f>
        <v>0</v>
      </c>
      <c r="R13" s="692">
        <f>SUM(C13:Q13)</f>
        <v>250770.42386139545</v>
      </c>
      <c r="S13" s="67"/>
    </row>
    <row r="14" spans="1:19" s="451" customFormat="1">
      <c r="A14" s="811"/>
      <c r="B14" s="820" t="s">
        <v>628</v>
      </c>
      <c r="C14" s="689"/>
      <c r="D14" s="689"/>
      <c r="E14" s="689"/>
      <c r="F14" s="689"/>
      <c r="G14" s="689"/>
      <c r="H14" s="689"/>
      <c r="I14" s="689"/>
      <c r="J14" s="689"/>
      <c r="K14" s="689"/>
      <c r="L14" s="689"/>
      <c r="M14" s="689"/>
      <c r="N14" s="689"/>
      <c r="O14" s="689"/>
      <c r="P14" s="689"/>
      <c r="Q14" s="689"/>
      <c r="R14" s="692"/>
      <c r="S14" s="67"/>
    </row>
    <row r="15" spans="1:19" s="451" customFormat="1" ht="15" thickBot="1">
      <c r="A15" s="946" t="s">
        <v>713</v>
      </c>
      <c r="B15" s="947"/>
      <c r="C15" s="948"/>
      <c r="D15" s="948"/>
      <c r="E15" s="948"/>
      <c r="F15" s="948"/>
      <c r="G15" s="948"/>
      <c r="H15" s="948"/>
      <c r="I15" s="948"/>
      <c r="J15" s="948"/>
      <c r="K15" s="948"/>
      <c r="L15" s="948"/>
      <c r="M15" s="948"/>
      <c r="N15" s="948"/>
      <c r="O15" s="948"/>
      <c r="P15" s="948"/>
      <c r="Q15" s="949"/>
      <c r="R15" s="691"/>
      <c r="S15" s="67"/>
    </row>
    <row r="16" spans="1:19" s="451" customFormat="1" ht="15.75" thickBot="1">
      <c r="A16" s="693" t="s">
        <v>225</v>
      </c>
      <c r="B16" s="818"/>
      <c r="C16" s="725">
        <f ca="1">SUM(C9:C15)</f>
        <v>196004.00440067315</v>
      </c>
      <c r="D16" s="725">
        <f t="shared" ref="D16:R16" ca="1" si="0">SUM(D9:D15)</f>
        <v>8292.8571428571431</v>
      </c>
      <c r="E16" s="725">
        <f t="shared" ca="1" si="0"/>
        <v>138440.37705025758</v>
      </c>
      <c r="F16" s="725">
        <f t="shared" si="0"/>
        <v>15379.258470948782</v>
      </c>
      <c r="G16" s="725">
        <f t="shared" ca="1" si="0"/>
        <v>19810.982148456962</v>
      </c>
      <c r="H16" s="725">
        <f t="shared" si="0"/>
        <v>0</v>
      </c>
      <c r="I16" s="725">
        <f t="shared" si="0"/>
        <v>0</v>
      </c>
      <c r="J16" s="725">
        <f t="shared" si="0"/>
        <v>0</v>
      </c>
      <c r="K16" s="725">
        <f t="shared" si="0"/>
        <v>507.56296231324268</v>
      </c>
      <c r="L16" s="725">
        <f t="shared" si="0"/>
        <v>0</v>
      </c>
      <c r="M16" s="725">
        <f t="shared" ca="1" si="0"/>
        <v>0</v>
      </c>
      <c r="N16" s="725">
        <f t="shared" si="0"/>
        <v>0</v>
      </c>
      <c r="O16" s="725">
        <f t="shared" ca="1" si="0"/>
        <v>22117.141048812158</v>
      </c>
      <c r="P16" s="725">
        <f t="shared" si="0"/>
        <v>629.59356074225047</v>
      </c>
      <c r="Q16" s="725">
        <f t="shared" si="0"/>
        <v>463.23289307428081</v>
      </c>
      <c r="R16" s="725">
        <f t="shared" ca="1" si="0"/>
        <v>401645.00967813551</v>
      </c>
      <c r="S16" s="67"/>
    </row>
    <row r="17" spans="1:19" s="451" customFormat="1" ht="15.75">
      <c r="A17" s="813" t="s">
        <v>226</v>
      </c>
      <c r="B17" s="729"/>
      <c r="C17" s="1112"/>
      <c r="D17" s="1112"/>
      <c r="E17" s="1112"/>
      <c r="F17" s="1112"/>
      <c r="G17" s="1112"/>
      <c r="H17" s="1112"/>
      <c r="I17" s="1112"/>
      <c r="J17" s="1112"/>
      <c r="K17" s="1112"/>
      <c r="L17" s="1112"/>
      <c r="M17" s="1112"/>
      <c r="N17" s="1112"/>
      <c r="O17" s="1112"/>
      <c r="P17" s="1112"/>
      <c r="Q17" s="1112"/>
      <c r="R17" s="694"/>
      <c r="S17" s="67"/>
    </row>
    <row r="18" spans="1:19" s="451" customFormat="1">
      <c r="A18" s="811" t="s">
        <v>227</v>
      </c>
      <c r="B18" s="816"/>
      <c r="C18" s="689">
        <f>'Eigen vloot'!B27</f>
        <v>0</v>
      </c>
      <c r="D18" s="689">
        <f>'Eigen vloot'!C27</f>
        <v>0</v>
      </c>
      <c r="E18" s="689">
        <f>'Eigen vloot'!D27</f>
        <v>0</v>
      </c>
      <c r="F18" s="689">
        <f>'Eigen vloot'!E27</f>
        <v>0</v>
      </c>
      <c r="G18" s="689">
        <f>'Eigen vloot'!F27</f>
        <v>0</v>
      </c>
      <c r="H18" s="689">
        <f>'Eigen vloot'!G27</f>
        <v>0</v>
      </c>
      <c r="I18" s="689">
        <f>'Eigen vloot'!H27</f>
        <v>0</v>
      </c>
      <c r="J18" s="689">
        <f>'Eigen vloot'!I27</f>
        <v>0</v>
      </c>
      <c r="K18" s="689">
        <f>'Eigen vloot'!J27</f>
        <v>0</v>
      </c>
      <c r="L18" s="689">
        <f>'Eigen vloot'!K27</f>
        <v>0</v>
      </c>
      <c r="M18" s="689">
        <f>'Eigen vloot'!L27</f>
        <v>0</v>
      </c>
      <c r="N18" s="689">
        <f>'Eigen vloot'!M27</f>
        <v>0</v>
      </c>
      <c r="O18" s="689">
        <f>'Eigen vloot'!N27</f>
        <v>0</v>
      </c>
      <c r="P18" s="689">
        <f>'Eigen vloot'!O27</f>
        <v>0</v>
      </c>
      <c r="Q18" s="690">
        <f>'Eigen vloot'!P27</f>
        <v>0</v>
      </c>
      <c r="R18" s="692">
        <f>SUM(C18:Q18)</f>
        <v>0</v>
      </c>
      <c r="S18" s="67"/>
    </row>
    <row r="19" spans="1:19" s="451" customFormat="1">
      <c r="A19" s="811" t="s">
        <v>228</v>
      </c>
      <c r="B19" s="816"/>
      <c r="C19" s="689">
        <f>transport!B54</f>
        <v>0</v>
      </c>
      <c r="D19" s="689">
        <f>transport!C54</f>
        <v>0</v>
      </c>
      <c r="E19" s="689">
        <f>transport!D54</f>
        <v>0</v>
      </c>
      <c r="F19" s="689">
        <f>transport!E54</f>
        <v>0</v>
      </c>
      <c r="G19" s="689">
        <f>transport!F54</f>
        <v>0</v>
      </c>
      <c r="H19" s="689">
        <f>transport!G54</f>
        <v>1084.7609127798753</v>
      </c>
      <c r="I19" s="689">
        <f>transport!H54</f>
        <v>0</v>
      </c>
      <c r="J19" s="689">
        <f>transport!I54</f>
        <v>0</v>
      </c>
      <c r="K19" s="689">
        <f>transport!J54</f>
        <v>0</v>
      </c>
      <c r="L19" s="689">
        <f>transport!K54</f>
        <v>0</v>
      </c>
      <c r="M19" s="689">
        <f>transport!L54</f>
        <v>0</v>
      </c>
      <c r="N19" s="689">
        <f>transport!M54</f>
        <v>58.865305479053909</v>
      </c>
      <c r="O19" s="689">
        <f>transport!N54</f>
        <v>0</v>
      </c>
      <c r="P19" s="689">
        <f>transport!O54</f>
        <v>0</v>
      </c>
      <c r="Q19" s="690">
        <f>transport!P54</f>
        <v>0</v>
      </c>
      <c r="R19" s="692">
        <f>SUM(C19:Q19)</f>
        <v>1143.6262182589292</v>
      </c>
      <c r="S19" s="67"/>
    </row>
    <row r="20" spans="1:19" s="451" customFormat="1">
      <c r="A20" s="811" t="s">
        <v>306</v>
      </c>
      <c r="B20" s="816"/>
      <c r="C20" s="689">
        <f>transport!B14</f>
        <v>39.660877118651129</v>
      </c>
      <c r="D20" s="689">
        <f>transport!C14</f>
        <v>0</v>
      </c>
      <c r="E20" s="689">
        <f>transport!D14</f>
        <v>183.8465527324492</v>
      </c>
      <c r="F20" s="689">
        <f>transport!E14</f>
        <v>97.239506633916193</v>
      </c>
      <c r="G20" s="689">
        <f>transport!F14</f>
        <v>0</v>
      </c>
      <c r="H20" s="689">
        <f>transport!G14</f>
        <v>45821.008632747296</v>
      </c>
      <c r="I20" s="689">
        <f>transport!H14</f>
        <v>11671.241731417385</v>
      </c>
      <c r="J20" s="689">
        <f>transport!I14</f>
        <v>0</v>
      </c>
      <c r="K20" s="689">
        <f>transport!J14</f>
        <v>0</v>
      </c>
      <c r="L20" s="689">
        <f>transport!K14</f>
        <v>0</v>
      </c>
      <c r="M20" s="689">
        <f>transport!L14</f>
        <v>0</v>
      </c>
      <c r="N20" s="689">
        <f>transport!M14</f>
        <v>3391.1307686660653</v>
      </c>
      <c r="O20" s="689">
        <f>transport!N14</f>
        <v>0</v>
      </c>
      <c r="P20" s="689">
        <f>transport!O14</f>
        <v>0</v>
      </c>
      <c r="Q20" s="690">
        <f>transport!P14</f>
        <v>0</v>
      </c>
      <c r="R20" s="692">
        <f>SUM(C20:Q20)</f>
        <v>61204.128069315768</v>
      </c>
      <c r="S20" s="67"/>
    </row>
    <row r="21" spans="1:19" s="451" customFormat="1" ht="15" thickBot="1">
      <c r="A21" s="833" t="s">
        <v>716</v>
      </c>
      <c r="B21" s="947"/>
      <c r="C21" s="948"/>
      <c r="D21" s="948"/>
      <c r="E21" s="948"/>
      <c r="F21" s="948"/>
      <c r="G21" s="948"/>
      <c r="H21" s="948"/>
      <c r="I21" s="948"/>
      <c r="J21" s="948"/>
      <c r="K21" s="948"/>
      <c r="L21" s="948"/>
      <c r="M21" s="948"/>
      <c r="N21" s="948"/>
      <c r="O21" s="948"/>
      <c r="P21" s="948"/>
      <c r="Q21" s="949"/>
      <c r="R21" s="691"/>
      <c r="S21" s="67"/>
    </row>
    <row r="22" spans="1:19" s="451" customFormat="1" ht="15.75" thickBot="1">
      <c r="A22" s="697" t="s">
        <v>229</v>
      </c>
      <c r="B22" s="819"/>
      <c r="C22" s="814">
        <f>SUM(C18:C21)</f>
        <v>39.660877118651129</v>
      </c>
      <c r="D22" s="814">
        <f t="shared" ref="D22:R22" si="1">SUM(D18:D21)</f>
        <v>0</v>
      </c>
      <c r="E22" s="814">
        <f t="shared" si="1"/>
        <v>183.8465527324492</v>
      </c>
      <c r="F22" s="814">
        <f t="shared" si="1"/>
        <v>97.239506633916193</v>
      </c>
      <c r="G22" s="814">
        <f t="shared" si="1"/>
        <v>0</v>
      </c>
      <c r="H22" s="814">
        <f t="shared" si="1"/>
        <v>46905.769545527175</v>
      </c>
      <c r="I22" s="814">
        <f t="shared" si="1"/>
        <v>11671.241731417385</v>
      </c>
      <c r="J22" s="814">
        <f t="shared" si="1"/>
        <v>0</v>
      </c>
      <c r="K22" s="814">
        <f t="shared" si="1"/>
        <v>0</v>
      </c>
      <c r="L22" s="814">
        <f t="shared" si="1"/>
        <v>0</v>
      </c>
      <c r="M22" s="814">
        <f t="shared" si="1"/>
        <v>0</v>
      </c>
      <c r="N22" s="814">
        <f t="shared" si="1"/>
        <v>3449.9960741451191</v>
      </c>
      <c r="O22" s="814">
        <f t="shared" si="1"/>
        <v>0</v>
      </c>
      <c r="P22" s="814">
        <f t="shared" si="1"/>
        <v>0</v>
      </c>
      <c r="Q22" s="814">
        <f t="shared" si="1"/>
        <v>0</v>
      </c>
      <c r="R22" s="814">
        <f t="shared" si="1"/>
        <v>62347.754287574695</v>
      </c>
      <c r="S22" s="67"/>
    </row>
    <row r="23" spans="1:19" s="451" customFormat="1" ht="15.75">
      <c r="A23" s="813" t="s">
        <v>236</v>
      </c>
      <c r="B23" s="729"/>
      <c r="C23" s="1112"/>
      <c r="D23" s="1112"/>
      <c r="E23" s="1112"/>
      <c r="F23" s="1112"/>
      <c r="G23" s="1112"/>
      <c r="H23" s="1112"/>
      <c r="I23" s="1112"/>
      <c r="J23" s="1112"/>
      <c r="K23" s="1112"/>
      <c r="L23" s="1112"/>
      <c r="M23" s="1112"/>
      <c r="N23" s="1112"/>
      <c r="O23" s="1112"/>
      <c r="P23" s="1112"/>
      <c r="Q23" s="1112"/>
      <c r="R23" s="694"/>
      <c r="S23" s="67"/>
    </row>
    <row r="24" spans="1:19" s="451" customFormat="1">
      <c r="A24" s="811" t="s">
        <v>624</v>
      </c>
      <c r="B24" s="816"/>
      <c r="C24" s="689">
        <f>+landbouw!B8</f>
        <v>9409.4257685534012</v>
      </c>
      <c r="D24" s="689">
        <f>+landbouw!C8</f>
        <v>63803.571428571428</v>
      </c>
      <c r="E24" s="689">
        <f>+landbouw!D8</f>
        <v>0</v>
      </c>
      <c r="F24" s="689">
        <f>+landbouw!E8</f>
        <v>350.90626828964008</v>
      </c>
      <c r="G24" s="689">
        <f>+landbouw!F8</f>
        <v>30527.813138426143</v>
      </c>
      <c r="H24" s="689">
        <f>+landbouw!G8</f>
        <v>0</v>
      </c>
      <c r="I24" s="689">
        <f>+landbouw!H8</f>
        <v>0</v>
      </c>
      <c r="J24" s="689">
        <f>+landbouw!I8</f>
        <v>0</v>
      </c>
      <c r="K24" s="689">
        <f>+landbouw!J8</f>
        <v>2470.0207177064676</v>
      </c>
      <c r="L24" s="689">
        <f>+landbouw!K8</f>
        <v>0</v>
      </c>
      <c r="M24" s="689">
        <f>+landbouw!L8</f>
        <v>0</v>
      </c>
      <c r="N24" s="689">
        <f>+landbouw!M8</f>
        <v>0</v>
      </c>
      <c r="O24" s="689">
        <f>+landbouw!N8</f>
        <v>0</v>
      </c>
      <c r="P24" s="689">
        <f>+landbouw!O8</f>
        <v>0</v>
      </c>
      <c r="Q24" s="690">
        <f>+landbouw!P8</f>
        <v>0</v>
      </c>
      <c r="R24" s="692">
        <f>SUM(C24:Q24)</f>
        <v>106561.73732154709</v>
      </c>
      <c r="S24" s="67"/>
    </row>
    <row r="25" spans="1:19" s="451" customFormat="1" ht="15" thickBot="1">
      <c r="A25" s="833" t="s">
        <v>714</v>
      </c>
      <c r="B25" s="947"/>
      <c r="C25" s="948">
        <f>IF(Onbekend_ele_kWh="---",0,Onbekend_ele_kWh)/1000+IF(REST_rest_ele_kWh="---",0,REST_rest_ele_kWh)/1000</f>
        <v>388.35721925846997</v>
      </c>
      <c r="D25" s="948"/>
      <c r="E25" s="948">
        <f>IF(onbekend_gas_kWh="---",0,onbekend_gas_kWh)/1000+IF(REST_rest_gas_kWh="---",0,REST_rest_gas_kWh)/1000</f>
        <v>591.22933751788901</v>
      </c>
      <c r="F25" s="948"/>
      <c r="G25" s="948"/>
      <c r="H25" s="948"/>
      <c r="I25" s="948"/>
      <c r="J25" s="948"/>
      <c r="K25" s="948"/>
      <c r="L25" s="948"/>
      <c r="M25" s="948"/>
      <c r="N25" s="948"/>
      <c r="O25" s="948"/>
      <c r="P25" s="948"/>
      <c r="Q25" s="949"/>
      <c r="R25" s="692">
        <f>SUM(C25:Q25)</f>
        <v>979.58655677635898</v>
      </c>
      <c r="S25" s="67"/>
    </row>
    <row r="26" spans="1:19" s="451" customFormat="1" ht="15.75" thickBot="1">
      <c r="A26" s="697" t="s">
        <v>715</v>
      </c>
      <c r="B26" s="819"/>
      <c r="C26" s="814">
        <f>SUM(C24:C25)</f>
        <v>9797.7829878118719</v>
      </c>
      <c r="D26" s="814">
        <f t="shared" ref="D26:R26" si="2">SUM(D24:D25)</f>
        <v>63803.571428571428</v>
      </c>
      <c r="E26" s="814">
        <f t="shared" si="2"/>
        <v>591.22933751788901</v>
      </c>
      <c r="F26" s="814">
        <f t="shared" si="2"/>
        <v>350.90626828964008</v>
      </c>
      <c r="G26" s="814">
        <f t="shared" si="2"/>
        <v>30527.813138426143</v>
      </c>
      <c r="H26" s="814">
        <f t="shared" si="2"/>
        <v>0</v>
      </c>
      <c r="I26" s="814">
        <f t="shared" si="2"/>
        <v>0</v>
      </c>
      <c r="J26" s="814">
        <f t="shared" si="2"/>
        <v>0</v>
      </c>
      <c r="K26" s="814">
        <f t="shared" si="2"/>
        <v>2470.0207177064676</v>
      </c>
      <c r="L26" s="814">
        <f t="shared" si="2"/>
        <v>0</v>
      </c>
      <c r="M26" s="814">
        <f t="shared" si="2"/>
        <v>0</v>
      </c>
      <c r="N26" s="814">
        <f t="shared" si="2"/>
        <v>0</v>
      </c>
      <c r="O26" s="814">
        <f t="shared" si="2"/>
        <v>0</v>
      </c>
      <c r="P26" s="814">
        <f t="shared" si="2"/>
        <v>0</v>
      </c>
      <c r="Q26" s="814">
        <f t="shared" si="2"/>
        <v>0</v>
      </c>
      <c r="R26" s="814">
        <f t="shared" si="2"/>
        <v>107541.32387832344</v>
      </c>
      <c r="S26" s="67"/>
    </row>
    <row r="27" spans="1:19" s="451" customFormat="1" ht="17.25" thickTop="1" thickBot="1">
      <c r="A27" s="698" t="s">
        <v>115</v>
      </c>
      <c r="B27" s="806"/>
      <c r="C27" s="699">
        <f ca="1">C22+C16+C26</f>
        <v>205841.44826560366</v>
      </c>
      <c r="D27" s="699">
        <f t="shared" ref="D27:R27" ca="1" si="3">D22+D16+D26</f>
        <v>72096.428571428565</v>
      </c>
      <c r="E27" s="699">
        <f t="shared" ca="1" si="3"/>
        <v>139215.45294050794</v>
      </c>
      <c r="F27" s="699">
        <f t="shared" si="3"/>
        <v>15827.404245872338</v>
      </c>
      <c r="G27" s="699">
        <f t="shared" ca="1" si="3"/>
        <v>50338.795286883105</v>
      </c>
      <c r="H27" s="699">
        <f t="shared" si="3"/>
        <v>46905.769545527175</v>
      </c>
      <c r="I27" s="699">
        <f t="shared" si="3"/>
        <v>11671.241731417385</v>
      </c>
      <c r="J27" s="699">
        <f t="shared" si="3"/>
        <v>0</v>
      </c>
      <c r="K27" s="699">
        <f t="shared" si="3"/>
        <v>2977.5836800197103</v>
      </c>
      <c r="L27" s="699">
        <f t="shared" si="3"/>
        <v>0</v>
      </c>
      <c r="M27" s="699">
        <f t="shared" ca="1" si="3"/>
        <v>0</v>
      </c>
      <c r="N27" s="699">
        <f t="shared" si="3"/>
        <v>3449.9960741451191</v>
      </c>
      <c r="O27" s="699">
        <f t="shared" ca="1" si="3"/>
        <v>22117.141048812158</v>
      </c>
      <c r="P27" s="699">
        <f t="shared" si="3"/>
        <v>629.59356074225047</v>
      </c>
      <c r="Q27" s="699">
        <f t="shared" si="3"/>
        <v>463.23289307428081</v>
      </c>
      <c r="R27" s="699">
        <f t="shared" ca="1" si="3"/>
        <v>571534.08784403361</v>
      </c>
      <c r="S27" s="67"/>
    </row>
    <row r="28" spans="1:19" ht="15.75" customHeight="1" thickBot="1">
      <c r="A28" s="700"/>
      <c r="B28" s="700"/>
      <c r="C28" s="701"/>
      <c r="D28" s="701"/>
      <c r="E28" s="701"/>
      <c r="F28" s="701"/>
      <c r="G28" s="701"/>
      <c r="H28" s="701"/>
      <c r="I28" s="701"/>
      <c r="J28" s="701"/>
      <c r="K28" s="701"/>
      <c r="L28" s="701"/>
      <c r="M28" s="701"/>
      <c r="N28" s="701"/>
      <c r="O28" s="701"/>
      <c r="P28" s="701"/>
      <c r="Q28" s="701"/>
      <c r="R28" s="701"/>
    </row>
    <row r="29" spans="1:19" ht="41.25" customHeight="1" thickTop="1" thickBot="1">
      <c r="A29" s="702" t="s">
        <v>344</v>
      </c>
      <c r="B29" s="702"/>
      <c r="C29" s="703">
        <f>'EF ele_warmte'!B5</f>
        <v>0</v>
      </c>
      <c r="D29" s="704"/>
      <c r="E29" s="705"/>
      <c r="F29" s="704"/>
      <c r="G29" s="704"/>
      <c r="H29" s="704"/>
      <c r="I29" s="704"/>
      <c r="J29" s="704"/>
      <c r="K29" s="704"/>
      <c r="L29" s="704"/>
      <c r="M29" s="704"/>
      <c r="N29" s="704"/>
      <c r="O29" s="704"/>
      <c r="P29" s="704"/>
      <c r="Q29" s="704"/>
      <c r="R29" s="704"/>
    </row>
    <row r="30" spans="1:19" ht="31.5" thickTop="1" thickBot="1">
      <c r="A30" s="706" t="s">
        <v>345</v>
      </c>
      <c r="B30" s="706"/>
      <c r="C30" s="707" t="s">
        <v>210</v>
      </c>
      <c r="D30" s="708"/>
      <c r="E30" s="708"/>
      <c r="F30" s="708"/>
      <c r="G30" s="708"/>
      <c r="H30" s="709"/>
      <c r="I30" s="710"/>
      <c r="J30" s="710"/>
      <c r="K30" s="710"/>
      <c r="L30" s="710"/>
      <c r="M30" s="710"/>
      <c r="N30" s="710"/>
      <c r="O30" s="710"/>
      <c r="P30" s="710"/>
      <c r="Q30" s="710"/>
      <c r="R30" s="710"/>
    </row>
    <row r="31" spans="1:19" ht="15" thickTop="1">
      <c r="A31" s="1173"/>
      <c r="B31" s="1173"/>
      <c r="C31" s="1173"/>
      <c r="D31" s="711"/>
      <c r="E31" s="710"/>
      <c r="F31" s="710"/>
      <c r="G31" s="710"/>
      <c r="H31" s="710"/>
      <c r="I31" s="710"/>
      <c r="J31" s="710"/>
      <c r="K31" s="710"/>
      <c r="L31" s="710"/>
      <c r="M31" s="710"/>
      <c r="N31" s="710"/>
      <c r="O31" s="710"/>
      <c r="P31" s="710"/>
      <c r="Q31" s="710"/>
      <c r="R31" s="710"/>
    </row>
    <row r="32" spans="1:19" ht="15.75">
      <c r="A32" s="712" t="s">
        <v>230</v>
      </c>
      <c r="B32" s="712"/>
      <c r="C32" s="711"/>
      <c r="D32" s="711"/>
      <c r="E32" s="710"/>
      <c r="F32" s="710"/>
      <c r="G32" s="710"/>
      <c r="H32" s="710"/>
      <c r="I32" s="710"/>
      <c r="J32" s="710"/>
      <c r="K32" s="710"/>
      <c r="L32" s="710"/>
      <c r="M32" s="710"/>
      <c r="N32" s="710"/>
      <c r="O32" s="710"/>
      <c r="P32" s="710"/>
      <c r="Q32" s="710"/>
      <c r="R32" s="710"/>
    </row>
    <row r="33" spans="1:18">
      <c r="A33" s="1129"/>
      <c r="B33" s="1129"/>
      <c r="C33" s="1129"/>
      <c r="D33" s="1129"/>
      <c r="E33" s="1129"/>
      <c r="F33" s="1129"/>
      <c r="G33" s="1129"/>
      <c r="H33" s="1129"/>
      <c r="I33" s="1129"/>
      <c r="J33" s="1129"/>
      <c r="K33" s="1129"/>
      <c r="L33" s="1129"/>
      <c r="M33" s="1129"/>
      <c r="N33" s="1129"/>
      <c r="O33" s="1129"/>
      <c r="P33" s="1129"/>
      <c r="Q33" s="1129"/>
      <c r="R33" s="1129"/>
    </row>
    <row r="34" spans="1:18" ht="15.75" thickBot="1">
      <c r="A34" s="713"/>
      <c r="B34" s="713"/>
      <c r="C34" s="714"/>
      <c r="D34" s="714"/>
      <c r="E34" s="714"/>
      <c r="F34" s="714"/>
      <c r="G34" s="714"/>
      <c r="H34" s="714"/>
      <c r="I34" s="714"/>
      <c r="J34" s="714"/>
      <c r="K34" s="714"/>
      <c r="L34" s="714"/>
      <c r="M34" s="714"/>
      <c r="N34" s="714"/>
      <c r="O34" s="714"/>
      <c r="P34" s="714"/>
      <c r="Q34" s="714"/>
      <c r="R34" s="714"/>
    </row>
    <row r="35" spans="1:18" ht="17.25" thickTop="1" thickBot="1">
      <c r="A35" s="1141"/>
      <c r="B35" s="821"/>
      <c r="C35" s="1143" t="s">
        <v>346</v>
      </c>
      <c r="D35" s="1144"/>
      <c r="E35" s="1144"/>
      <c r="F35" s="1144"/>
      <c r="G35" s="1144"/>
      <c r="H35" s="1144"/>
      <c r="I35" s="1144"/>
      <c r="J35" s="1144"/>
      <c r="K35" s="1144"/>
      <c r="L35" s="1144"/>
      <c r="M35" s="1144"/>
      <c r="N35" s="1144"/>
      <c r="O35" s="1144"/>
      <c r="P35" s="1144"/>
      <c r="Q35" s="1144"/>
      <c r="R35" s="1145"/>
    </row>
    <row r="36" spans="1:18" ht="16.5" thickTop="1">
      <c r="A36" s="1142"/>
      <c r="B36" s="822"/>
      <c r="C36" s="1146" t="s">
        <v>20</v>
      </c>
      <c r="D36" s="1120" t="s">
        <v>231</v>
      </c>
      <c r="E36" s="1148" t="s">
        <v>196</v>
      </c>
      <c r="F36" s="1149"/>
      <c r="G36" s="1149"/>
      <c r="H36" s="1149"/>
      <c r="I36" s="1149"/>
      <c r="J36" s="1149"/>
      <c r="K36" s="1149"/>
      <c r="L36" s="1150"/>
      <c r="M36" s="1148" t="s">
        <v>197</v>
      </c>
      <c r="N36" s="1149"/>
      <c r="O36" s="1149"/>
      <c r="P36" s="1149"/>
      <c r="Q36" s="1149"/>
      <c r="R36" s="1130" t="s">
        <v>115</v>
      </c>
    </row>
    <row r="37" spans="1:18" ht="45.75" thickBot="1">
      <c r="A37" s="1142"/>
      <c r="B37" s="822"/>
      <c r="C37" s="1147"/>
      <c r="D37" s="1091"/>
      <c r="E37" s="715" t="s">
        <v>198</v>
      </c>
      <c r="F37" s="715" t="s">
        <v>199</v>
      </c>
      <c r="G37" s="715" t="s">
        <v>200</v>
      </c>
      <c r="H37" s="715" t="s">
        <v>201</v>
      </c>
      <c r="I37" s="715" t="s">
        <v>119</v>
      </c>
      <c r="J37" s="715" t="s">
        <v>202</v>
      </c>
      <c r="K37" s="716" t="s">
        <v>232</v>
      </c>
      <c r="L37" s="716" t="s">
        <v>204</v>
      </c>
      <c r="M37" s="64" t="s">
        <v>205</v>
      </c>
      <c r="N37" s="65" t="s">
        <v>206</v>
      </c>
      <c r="O37" s="715" t="s">
        <v>233</v>
      </c>
      <c r="P37" s="715" t="s">
        <v>234</v>
      </c>
      <c r="Q37" s="716" t="s">
        <v>209</v>
      </c>
      <c r="R37" s="1132"/>
    </row>
    <row r="38" spans="1:18" ht="17.25" thickTop="1" thickBot="1">
      <c r="A38" s="834" t="s">
        <v>343</v>
      </c>
      <c r="B38" s="835"/>
      <c r="C38" s="717" t="s">
        <v>235</v>
      </c>
      <c r="D38" s="718"/>
      <c r="E38" s="719"/>
      <c r="F38" s="719"/>
      <c r="G38" s="719"/>
      <c r="H38" s="719"/>
      <c r="I38" s="719"/>
      <c r="J38" s="719"/>
      <c r="K38" s="719"/>
      <c r="L38" s="719"/>
      <c r="M38" s="720"/>
      <c r="N38" s="720"/>
      <c r="O38" s="719"/>
      <c r="P38" s="720"/>
      <c r="Q38" s="721"/>
      <c r="R38" s="722"/>
    </row>
    <row r="39" spans="1:18" ht="15" thickTop="1">
      <c r="A39" s="807" t="s">
        <v>222</v>
      </c>
      <c r="B39" s="831"/>
      <c r="C39" s="689">
        <f ca="1">'Eigen gebouwen'!B19</f>
        <v>0</v>
      </c>
      <c r="D39" s="689">
        <f ca="1">'Eigen gebouwen'!C19</f>
        <v>0</v>
      </c>
      <c r="E39" s="689">
        <f>'Eigen gebouwen'!D19</f>
        <v>0</v>
      </c>
      <c r="F39" s="689">
        <f>'Eigen gebouwen'!E19</f>
        <v>0</v>
      </c>
      <c r="G39" s="689">
        <f>'Eigen gebouwen'!F19</f>
        <v>0</v>
      </c>
      <c r="H39" s="689">
        <f>'Eigen gebouwen'!G19</f>
        <v>0</v>
      </c>
      <c r="I39" s="689">
        <f>'Eigen gebouwen'!H19</f>
        <v>0</v>
      </c>
      <c r="J39" s="689">
        <f>'Eigen gebouwen'!I19</f>
        <v>0</v>
      </c>
      <c r="K39" s="689">
        <f>'Eigen gebouwen'!J19</f>
        <v>0</v>
      </c>
      <c r="L39" s="689">
        <f>'Eigen gebouwen'!K19</f>
        <v>0</v>
      </c>
      <c r="M39" s="689">
        <f>'Eigen gebouwen'!L19</f>
        <v>0</v>
      </c>
      <c r="N39" s="689">
        <f>'Eigen gebouwen'!M19</f>
        <v>0</v>
      </c>
      <c r="O39" s="689">
        <f>'Eigen gebouwen'!N19</f>
        <v>0</v>
      </c>
      <c r="P39" s="689">
        <f>'Eigen gebouwen'!O19</f>
        <v>0</v>
      </c>
      <c r="Q39" s="772">
        <f>'Eigen gebouwen'!P19</f>
        <v>0</v>
      </c>
      <c r="R39" s="952">
        <f t="shared" ref="R39:R44" ca="1" si="4">SUM(C39:Q39)</f>
        <v>0</v>
      </c>
    </row>
    <row r="40" spans="1:18">
      <c r="A40" s="812" t="s">
        <v>223</v>
      </c>
      <c r="B40" s="832"/>
      <c r="C40" s="689">
        <f ca="1">tertiair!B20+'openbare verlichting'!B12</f>
        <v>2143.5964487328288</v>
      </c>
      <c r="D40" s="689">
        <f ca="1">tertiair!C20</f>
        <v>0</v>
      </c>
      <c r="E40" s="689">
        <f ca="1">tertiair!D20</f>
        <v>7113.3045123239199</v>
      </c>
      <c r="F40" s="689">
        <f>tertiair!E20</f>
        <v>10.381855198559366</v>
      </c>
      <c r="G40" s="689">
        <f ca="1">tertiair!F20</f>
        <v>528.15861355317918</v>
      </c>
      <c r="H40" s="689">
        <f>tertiair!G20</f>
        <v>0</v>
      </c>
      <c r="I40" s="689">
        <f>tertiair!H20</f>
        <v>0</v>
      </c>
      <c r="J40" s="689">
        <f>tertiair!I20</f>
        <v>0</v>
      </c>
      <c r="K40" s="689">
        <f>tertiair!J20</f>
        <v>7.5942901768466971E-3</v>
      </c>
      <c r="L40" s="689">
        <f>tertiair!K20</f>
        <v>0</v>
      </c>
      <c r="M40" s="689">
        <f ca="1">tertiair!L20</f>
        <v>0</v>
      </c>
      <c r="N40" s="689">
        <f>tertiair!M20</f>
        <v>0</v>
      </c>
      <c r="O40" s="689">
        <f ca="1">tertiair!N20</f>
        <v>0</v>
      </c>
      <c r="P40" s="689">
        <f>tertiair!O20</f>
        <v>0</v>
      </c>
      <c r="Q40" s="772">
        <f>tertiair!P20</f>
        <v>0</v>
      </c>
      <c r="R40" s="852">
        <f t="shared" ca="1" si="4"/>
        <v>9795.4490240986634</v>
      </c>
    </row>
    <row r="41" spans="1:18">
      <c r="A41" s="824" t="s">
        <v>224</v>
      </c>
      <c r="B41" s="831"/>
      <c r="C41" s="689">
        <f ca="1">huishoudens!B12</f>
        <v>4104.118282692195</v>
      </c>
      <c r="D41" s="689">
        <f ca="1">huishoudens!C12</f>
        <v>0</v>
      </c>
      <c r="E41" s="689">
        <f>huishoudens!D12</f>
        <v>6799.9600231286913</v>
      </c>
      <c r="F41" s="689">
        <f>huishoudens!E12</f>
        <v>3416.218933631842</v>
      </c>
      <c r="G41" s="689">
        <f>huishoudens!F12</f>
        <v>3506.4149179644119</v>
      </c>
      <c r="H41" s="689">
        <f>huishoudens!G12</f>
        <v>0</v>
      </c>
      <c r="I41" s="689">
        <f>huishoudens!H12</f>
        <v>0</v>
      </c>
      <c r="J41" s="689">
        <f>huishoudens!I12</f>
        <v>0</v>
      </c>
      <c r="K41" s="689">
        <f>huishoudens!J12</f>
        <v>177.97713664537437</v>
      </c>
      <c r="L41" s="689">
        <f>huishoudens!K12</f>
        <v>0</v>
      </c>
      <c r="M41" s="689">
        <f>huishoudens!L12</f>
        <v>0</v>
      </c>
      <c r="N41" s="689">
        <f>huishoudens!M12</f>
        <v>0</v>
      </c>
      <c r="O41" s="689">
        <f>huishoudens!N12</f>
        <v>0</v>
      </c>
      <c r="P41" s="689">
        <f>huishoudens!O12</f>
        <v>0</v>
      </c>
      <c r="Q41" s="772">
        <f>huishoudens!P12</f>
        <v>0</v>
      </c>
      <c r="R41" s="852">
        <f t="shared" ca="1" si="4"/>
        <v>18004.689294062515</v>
      </c>
    </row>
    <row r="42" spans="1:18">
      <c r="A42" s="824" t="s">
        <v>492</v>
      </c>
      <c r="B42" s="831"/>
      <c r="C42" s="689">
        <f ca="1">'Eigen openbare verlichting'!B19</f>
        <v>0</v>
      </c>
      <c r="D42" s="689"/>
      <c r="E42" s="689"/>
      <c r="F42" s="689"/>
      <c r="G42" s="689"/>
      <c r="H42" s="689"/>
      <c r="I42" s="689"/>
      <c r="J42" s="689"/>
      <c r="K42" s="689"/>
      <c r="L42" s="689"/>
      <c r="M42" s="689"/>
      <c r="N42" s="689"/>
      <c r="O42" s="689"/>
      <c r="P42" s="689"/>
      <c r="Q42" s="772"/>
      <c r="R42" s="852">
        <f t="shared" ca="1" si="4"/>
        <v>0</v>
      </c>
    </row>
    <row r="43" spans="1:18">
      <c r="A43" s="824" t="s">
        <v>630</v>
      </c>
      <c r="B43" s="839" t="s">
        <v>627</v>
      </c>
      <c r="C43" s="689">
        <f ca="1">industrie!B22</f>
        <v>35462.690364301016</v>
      </c>
      <c r="D43" s="689">
        <f ca="1">industrie!C22</f>
        <v>1919.636687060023</v>
      </c>
      <c r="E43" s="689">
        <f>industrie!D22</f>
        <v>14051.691628699418</v>
      </c>
      <c r="F43" s="689">
        <f>industrie!E22</f>
        <v>64.4908840749722</v>
      </c>
      <c r="G43" s="689">
        <f>industrie!F22</f>
        <v>1254.9587021204181</v>
      </c>
      <c r="H43" s="689">
        <f>industrie!G22</f>
        <v>0</v>
      </c>
      <c r="I43" s="689">
        <f>industrie!H22</f>
        <v>0</v>
      </c>
      <c r="J43" s="689">
        <f>industrie!I22</f>
        <v>0</v>
      </c>
      <c r="K43" s="689">
        <f>industrie!J22</f>
        <v>1.6925577233366609</v>
      </c>
      <c r="L43" s="689">
        <f>industrie!K22</f>
        <v>0</v>
      </c>
      <c r="M43" s="689">
        <f>industrie!L22</f>
        <v>0</v>
      </c>
      <c r="N43" s="689">
        <f>industrie!M22</f>
        <v>0</v>
      </c>
      <c r="O43" s="689">
        <f>industrie!N22</f>
        <v>0</v>
      </c>
      <c r="P43" s="689">
        <f>industrie!O22</f>
        <v>0</v>
      </c>
      <c r="Q43" s="772">
        <f>industrie!P22</f>
        <v>0</v>
      </c>
      <c r="R43" s="851">
        <f t="shared" ca="1" si="4"/>
        <v>52755.160823979182</v>
      </c>
    </row>
    <row r="44" spans="1:18">
      <c r="A44" s="824"/>
      <c r="B44" s="831" t="s">
        <v>628</v>
      </c>
      <c r="C44" s="689"/>
      <c r="D44" s="689"/>
      <c r="E44" s="689"/>
      <c r="F44" s="689"/>
      <c r="G44" s="689"/>
      <c r="H44" s="689"/>
      <c r="I44" s="689"/>
      <c r="J44" s="689"/>
      <c r="K44" s="689"/>
      <c r="L44" s="689"/>
      <c r="M44" s="689"/>
      <c r="N44" s="689"/>
      <c r="O44" s="689"/>
      <c r="P44" s="689"/>
      <c r="Q44" s="772"/>
      <c r="R44" s="852">
        <f t="shared" si="4"/>
        <v>0</v>
      </c>
    </row>
    <row r="45" spans="1:18" ht="15" thickBot="1">
      <c r="A45" s="946" t="s">
        <v>713</v>
      </c>
      <c r="B45" s="950"/>
      <c r="C45" s="948"/>
      <c r="D45" s="948"/>
      <c r="E45" s="948"/>
      <c r="F45" s="948"/>
      <c r="G45" s="948"/>
      <c r="H45" s="948"/>
      <c r="I45" s="948"/>
      <c r="J45" s="948"/>
      <c r="K45" s="948"/>
      <c r="L45" s="948"/>
      <c r="M45" s="948"/>
      <c r="N45" s="948"/>
      <c r="O45" s="948"/>
      <c r="P45" s="948"/>
      <c r="Q45" s="949"/>
      <c r="R45" s="951"/>
    </row>
    <row r="46" spans="1:18" ht="15.75" thickBot="1">
      <c r="A46" s="825" t="s">
        <v>225</v>
      </c>
      <c r="B46" s="838"/>
      <c r="C46" s="725">
        <f ca="1">SUM(C39:C45)</f>
        <v>41710.405095726041</v>
      </c>
      <c r="D46" s="725">
        <f t="shared" ref="D46:Q46" ca="1" si="5">SUM(D39:D45)</f>
        <v>1919.636687060023</v>
      </c>
      <c r="E46" s="725">
        <f t="shared" ca="1" si="5"/>
        <v>27964.956164152027</v>
      </c>
      <c r="F46" s="725">
        <f t="shared" si="5"/>
        <v>3491.0916729053733</v>
      </c>
      <c r="G46" s="725">
        <f t="shared" ca="1" si="5"/>
        <v>5289.5322336380095</v>
      </c>
      <c r="H46" s="725">
        <f t="shared" si="5"/>
        <v>0</v>
      </c>
      <c r="I46" s="725">
        <f t="shared" si="5"/>
        <v>0</v>
      </c>
      <c r="J46" s="725">
        <f t="shared" si="5"/>
        <v>0</v>
      </c>
      <c r="K46" s="725">
        <f t="shared" si="5"/>
        <v>179.67728865888787</v>
      </c>
      <c r="L46" s="725">
        <f t="shared" si="5"/>
        <v>0</v>
      </c>
      <c r="M46" s="725">
        <f t="shared" ca="1" si="5"/>
        <v>0</v>
      </c>
      <c r="N46" s="725">
        <f t="shared" si="5"/>
        <v>0</v>
      </c>
      <c r="O46" s="725">
        <f t="shared" ca="1" si="5"/>
        <v>0</v>
      </c>
      <c r="P46" s="725">
        <f t="shared" si="5"/>
        <v>0</v>
      </c>
      <c r="Q46" s="725">
        <f t="shared" si="5"/>
        <v>0</v>
      </c>
      <c r="R46" s="725">
        <f ca="1">SUM(R39:R45)</f>
        <v>80555.299142140357</v>
      </c>
    </row>
    <row r="47" spans="1:18" ht="15.75">
      <c r="A47" s="826" t="s">
        <v>226</v>
      </c>
      <c r="B47" s="836"/>
      <c r="C47" s="717"/>
      <c r="D47" s="718"/>
      <c r="E47" s="718"/>
      <c r="F47" s="718"/>
      <c r="G47" s="718"/>
      <c r="H47" s="718"/>
      <c r="I47" s="718"/>
      <c r="J47" s="718"/>
      <c r="K47" s="718"/>
      <c r="L47" s="718"/>
      <c r="M47" s="728"/>
      <c r="N47" s="728"/>
      <c r="O47" s="718"/>
      <c r="P47" s="728"/>
      <c r="Q47" s="728"/>
      <c r="R47" s="722"/>
    </row>
    <row r="48" spans="1:18">
      <c r="A48" s="824" t="s">
        <v>227</v>
      </c>
      <c r="B48" s="831"/>
      <c r="C48" s="689">
        <f ca="1">'Eigen vloot'!B31</f>
        <v>0</v>
      </c>
      <c r="D48" s="689">
        <f>'Eigen vloot'!C31</f>
        <v>0</v>
      </c>
      <c r="E48" s="689">
        <f>'Eigen vloot'!D31</f>
        <v>0</v>
      </c>
      <c r="F48" s="689">
        <f>'Eigen vloot'!E31</f>
        <v>0</v>
      </c>
      <c r="G48" s="689">
        <f>'Eigen vloot'!F31</f>
        <v>0</v>
      </c>
      <c r="H48" s="689">
        <f>'Eigen vloot'!G31</f>
        <v>0</v>
      </c>
      <c r="I48" s="689">
        <f>'Eigen vloot'!H31</f>
        <v>0</v>
      </c>
      <c r="J48" s="689">
        <f>'Eigen vloot'!I31</f>
        <v>0</v>
      </c>
      <c r="K48" s="689">
        <f>'Eigen vloot'!J31</f>
        <v>0</v>
      </c>
      <c r="L48" s="689">
        <f>'Eigen vloot'!K31</f>
        <v>0</v>
      </c>
      <c r="M48" s="689">
        <f>'Eigen vloot'!L31</f>
        <v>0</v>
      </c>
      <c r="N48" s="689">
        <f>'Eigen vloot'!M31</f>
        <v>0</v>
      </c>
      <c r="O48" s="689">
        <f>'Eigen vloot'!N31</f>
        <v>0</v>
      </c>
      <c r="P48" s="689">
        <f>'Eigen vloot'!O31</f>
        <v>0</v>
      </c>
      <c r="Q48" s="689">
        <f>'Eigen vloot'!P31</f>
        <v>0</v>
      </c>
      <c r="R48" s="723">
        <f ca="1">SUM(C48:Q48)</f>
        <v>0</v>
      </c>
    </row>
    <row r="49" spans="1:18">
      <c r="A49" s="824" t="s">
        <v>228</v>
      </c>
      <c r="B49" s="831"/>
      <c r="C49" s="689">
        <f ca="1">transport!B58</f>
        <v>0</v>
      </c>
      <c r="D49" s="689">
        <f ca="1">transport!C58</f>
        <v>0</v>
      </c>
      <c r="E49" s="689">
        <f>transport!D58</f>
        <v>0</v>
      </c>
      <c r="F49" s="689">
        <f>transport!E58</f>
        <v>0</v>
      </c>
      <c r="G49" s="689">
        <f>transport!F58</f>
        <v>0</v>
      </c>
      <c r="H49" s="689">
        <f>transport!G58</f>
        <v>289.63116371222674</v>
      </c>
      <c r="I49" s="689">
        <f>transport!H58</f>
        <v>0</v>
      </c>
      <c r="J49" s="689">
        <f>transport!I58</f>
        <v>0</v>
      </c>
      <c r="K49" s="689">
        <f>transport!J58</f>
        <v>0</v>
      </c>
      <c r="L49" s="689">
        <f>transport!K58</f>
        <v>0</v>
      </c>
      <c r="M49" s="689">
        <f>transport!L58</f>
        <v>0</v>
      </c>
      <c r="N49" s="689">
        <f>transport!M58</f>
        <v>0</v>
      </c>
      <c r="O49" s="689">
        <f>transport!N58</f>
        <v>0</v>
      </c>
      <c r="P49" s="689">
        <f>transport!O58</f>
        <v>0</v>
      </c>
      <c r="Q49" s="690">
        <f>transport!P58</f>
        <v>0</v>
      </c>
      <c r="R49" s="723">
        <f ca="1">SUM(C49:Q49)</f>
        <v>289.63116371222674</v>
      </c>
    </row>
    <row r="50" spans="1:18">
      <c r="A50" s="827" t="s">
        <v>306</v>
      </c>
      <c r="B50" s="837"/>
      <c r="C50" s="695">
        <f ca="1">transport!B18</f>
        <v>8.4399870101075809</v>
      </c>
      <c r="D50" s="695">
        <f>transport!C18</f>
        <v>0</v>
      </c>
      <c r="E50" s="695">
        <f>transport!D18</f>
        <v>37.137003651954743</v>
      </c>
      <c r="F50" s="695">
        <f>transport!E18</f>
        <v>22.073368005898978</v>
      </c>
      <c r="G50" s="695">
        <f>transport!F18</f>
        <v>0</v>
      </c>
      <c r="H50" s="695">
        <f>transport!G18</f>
        <v>12234.209304943528</v>
      </c>
      <c r="I50" s="695">
        <f>transport!H18</f>
        <v>2906.1391911229289</v>
      </c>
      <c r="J50" s="695">
        <f>transport!I18</f>
        <v>0</v>
      </c>
      <c r="K50" s="695">
        <f>transport!J18</f>
        <v>0</v>
      </c>
      <c r="L50" s="695">
        <f>transport!K18</f>
        <v>0</v>
      </c>
      <c r="M50" s="695">
        <f>transport!L18</f>
        <v>0</v>
      </c>
      <c r="N50" s="695">
        <f>transport!M18</f>
        <v>0</v>
      </c>
      <c r="O50" s="695">
        <f>transport!N18</f>
        <v>0</v>
      </c>
      <c r="P50" s="695">
        <f>transport!O18</f>
        <v>0</v>
      </c>
      <c r="Q50" s="696">
        <f>transport!P18</f>
        <v>0</v>
      </c>
      <c r="R50" s="724">
        <f ca="1">SUM(C50:Q50)</f>
        <v>15207.998854734418</v>
      </c>
    </row>
    <row r="51" spans="1:18" ht="15" thickBot="1">
      <c r="A51" s="824" t="s">
        <v>716</v>
      </c>
      <c r="B51" s="831"/>
      <c r="C51" s="689"/>
      <c r="D51" s="689"/>
      <c r="E51" s="689"/>
      <c r="F51" s="689"/>
      <c r="G51" s="689"/>
      <c r="H51" s="689"/>
      <c r="I51" s="689"/>
      <c r="J51" s="689"/>
      <c r="K51" s="689"/>
      <c r="L51" s="689"/>
      <c r="M51" s="689"/>
      <c r="N51" s="689"/>
      <c r="O51" s="689"/>
      <c r="P51" s="689"/>
      <c r="Q51" s="690"/>
      <c r="R51" s="723"/>
    </row>
    <row r="52" spans="1:18" ht="15.75" thickBot="1">
      <c r="A52" s="825" t="s">
        <v>229</v>
      </c>
      <c r="B52" s="838"/>
      <c r="C52" s="725">
        <f ca="1">SUM(C48:C51)</f>
        <v>8.4399870101075809</v>
      </c>
      <c r="D52" s="725">
        <f t="shared" ref="D52:Q52" ca="1" si="6">SUM(D48:D51)</f>
        <v>0</v>
      </c>
      <c r="E52" s="725">
        <f t="shared" si="6"/>
        <v>37.137003651954743</v>
      </c>
      <c r="F52" s="725">
        <f t="shared" si="6"/>
        <v>22.073368005898978</v>
      </c>
      <c r="G52" s="725">
        <f t="shared" si="6"/>
        <v>0</v>
      </c>
      <c r="H52" s="725">
        <f t="shared" si="6"/>
        <v>12523.840468655755</v>
      </c>
      <c r="I52" s="725">
        <f t="shared" si="6"/>
        <v>2906.1391911229289</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15497.630018446645</v>
      </c>
    </row>
    <row r="53" spans="1:18" ht="15.75">
      <c r="A53" s="826" t="s">
        <v>236</v>
      </c>
      <c r="B53" s="805"/>
      <c r="C53" s="717"/>
      <c r="D53" s="718"/>
      <c r="E53" s="718"/>
      <c r="F53" s="718"/>
      <c r="G53" s="718"/>
      <c r="H53" s="718"/>
      <c r="I53" s="718"/>
      <c r="J53" s="718"/>
      <c r="K53" s="718"/>
      <c r="L53" s="718"/>
      <c r="M53" s="728"/>
      <c r="N53" s="728"/>
      <c r="O53" s="718"/>
      <c r="P53" s="728"/>
      <c r="Q53" s="728"/>
      <c r="R53" s="722"/>
    </row>
    <row r="54" spans="1:18">
      <c r="A54" s="827" t="s">
        <v>624</v>
      </c>
      <c r="B54" s="837"/>
      <c r="C54" s="695">
        <f ca="1">+landbouw!B12</f>
        <v>2002.3619503315506</v>
      </c>
      <c r="D54" s="695">
        <f ca="1">+landbouw!C12</f>
        <v>14769.297766721495</v>
      </c>
      <c r="E54" s="695">
        <f>+landbouw!D12</f>
        <v>0</v>
      </c>
      <c r="F54" s="695">
        <f>+landbouw!E12</f>
        <v>79.655722901748305</v>
      </c>
      <c r="G54" s="695">
        <f>+landbouw!F12</f>
        <v>8150.9261079597809</v>
      </c>
      <c r="H54" s="695">
        <f>+landbouw!G12</f>
        <v>0</v>
      </c>
      <c r="I54" s="695">
        <f>+landbouw!H12</f>
        <v>0</v>
      </c>
      <c r="J54" s="695">
        <f>+landbouw!I12</f>
        <v>0</v>
      </c>
      <c r="K54" s="695">
        <f>+landbouw!J12</f>
        <v>874.38733406808944</v>
      </c>
      <c r="L54" s="695">
        <f>+landbouw!K12</f>
        <v>0</v>
      </c>
      <c r="M54" s="695">
        <f>+landbouw!L12</f>
        <v>0</v>
      </c>
      <c r="N54" s="695">
        <f>+landbouw!M12</f>
        <v>0</v>
      </c>
      <c r="O54" s="695">
        <f>+landbouw!N12</f>
        <v>0</v>
      </c>
      <c r="P54" s="695">
        <f>+landbouw!O12</f>
        <v>0</v>
      </c>
      <c r="Q54" s="696">
        <f>+landbouw!P12</f>
        <v>0</v>
      </c>
      <c r="R54" s="724">
        <f ca="1">SUM(C54:Q54)</f>
        <v>25876.628881982666</v>
      </c>
    </row>
    <row r="55" spans="1:18" ht="15" thickBot="1">
      <c r="A55" s="827" t="s">
        <v>714</v>
      </c>
      <c r="B55" s="837"/>
      <c r="C55" s="695">
        <f ca="1">C25*'EF ele_warmte'!B12</f>
        <v>82.643908152035948</v>
      </c>
      <c r="D55" s="695"/>
      <c r="E55" s="695">
        <f>E25*EF_CO2_aardgas</f>
        <v>119.42832617861359</v>
      </c>
      <c r="F55" s="695"/>
      <c r="G55" s="695"/>
      <c r="H55" s="695"/>
      <c r="I55" s="695"/>
      <c r="J55" s="695"/>
      <c r="K55" s="695"/>
      <c r="L55" s="695"/>
      <c r="M55" s="695"/>
      <c r="N55" s="695"/>
      <c r="O55" s="695"/>
      <c r="P55" s="695"/>
      <c r="Q55" s="696"/>
      <c r="R55" s="724">
        <f ca="1">SUM(C55:Q55)</f>
        <v>202.07223433064954</v>
      </c>
    </row>
    <row r="56" spans="1:18" ht="15.75" thickBot="1">
      <c r="A56" s="825" t="s">
        <v>715</v>
      </c>
      <c r="B56" s="838"/>
      <c r="C56" s="725">
        <f ca="1">SUM(C54:C55)</f>
        <v>2085.0058584835865</v>
      </c>
      <c r="D56" s="725">
        <f t="shared" ref="D56:Q56" ca="1" si="7">SUM(D54:D55)</f>
        <v>14769.297766721495</v>
      </c>
      <c r="E56" s="725">
        <f t="shared" si="7"/>
        <v>119.42832617861359</v>
      </c>
      <c r="F56" s="725">
        <f t="shared" si="7"/>
        <v>79.655722901748305</v>
      </c>
      <c r="G56" s="725">
        <f t="shared" si="7"/>
        <v>8150.9261079597809</v>
      </c>
      <c r="H56" s="725">
        <f t="shared" si="7"/>
        <v>0</v>
      </c>
      <c r="I56" s="725">
        <f t="shared" si="7"/>
        <v>0</v>
      </c>
      <c r="J56" s="725">
        <f t="shared" si="7"/>
        <v>0</v>
      </c>
      <c r="K56" s="725">
        <f t="shared" si="7"/>
        <v>874.38733406808944</v>
      </c>
      <c r="L56" s="725">
        <f t="shared" si="7"/>
        <v>0</v>
      </c>
      <c r="M56" s="725">
        <f t="shared" si="7"/>
        <v>0</v>
      </c>
      <c r="N56" s="725">
        <f t="shared" si="7"/>
        <v>0</v>
      </c>
      <c r="O56" s="725">
        <f t="shared" si="7"/>
        <v>0</v>
      </c>
      <c r="P56" s="725">
        <f t="shared" si="7"/>
        <v>0</v>
      </c>
      <c r="Q56" s="726">
        <f t="shared" si="7"/>
        <v>0</v>
      </c>
      <c r="R56" s="727">
        <f ca="1">SUM(R54:R55)</f>
        <v>26078.701116313314</v>
      </c>
    </row>
    <row r="57" spans="1:18" ht="15.75">
      <c r="A57" s="805" t="s">
        <v>625</v>
      </c>
      <c r="B57" s="805"/>
      <c r="C57" s="730"/>
      <c r="D57" s="718"/>
      <c r="E57" s="718"/>
      <c r="F57" s="718"/>
      <c r="G57" s="718"/>
      <c r="H57" s="718"/>
      <c r="I57" s="718"/>
      <c r="J57" s="718"/>
      <c r="K57" s="718"/>
      <c r="L57" s="718"/>
      <c r="M57" s="728"/>
      <c r="N57" s="728"/>
      <c r="O57" s="718"/>
      <c r="P57" s="728"/>
      <c r="Q57" s="728"/>
      <c r="R57" s="722"/>
    </row>
    <row r="58" spans="1:18" ht="15">
      <c r="A58" s="828" t="s">
        <v>237</v>
      </c>
      <c r="B58" s="842"/>
      <c r="C58" s="1151"/>
      <c r="D58" s="1152"/>
      <c r="E58" s="1152"/>
      <c r="F58" s="1152"/>
      <c r="G58" s="1152"/>
      <c r="H58" s="1152"/>
      <c r="I58" s="1152"/>
      <c r="J58" s="1152"/>
      <c r="K58" s="1152"/>
      <c r="L58" s="1152"/>
      <c r="M58" s="1152"/>
      <c r="N58" s="1152"/>
      <c r="O58" s="1152"/>
      <c r="P58" s="1152"/>
      <c r="Q58" s="1152"/>
      <c r="R58" s="731"/>
    </row>
    <row r="59" spans="1:18" ht="15">
      <c r="A59" s="829" t="s">
        <v>238</v>
      </c>
      <c r="B59" s="816"/>
      <c r="C59" s="1153"/>
      <c r="D59" s="1154"/>
      <c r="E59" s="1154"/>
      <c r="F59" s="1154"/>
      <c r="G59" s="1154"/>
      <c r="H59" s="1154"/>
      <c r="I59" s="1154"/>
      <c r="J59" s="1154"/>
      <c r="K59" s="1154"/>
      <c r="L59" s="1154"/>
      <c r="M59" s="1154"/>
      <c r="N59" s="1154"/>
      <c r="O59" s="1154"/>
      <c r="P59" s="1154"/>
      <c r="Q59" s="1154"/>
      <c r="R59" s="732"/>
    </row>
    <row r="60" spans="1:18" ht="15" thickBot="1">
      <c r="A60" s="840" t="s">
        <v>239</v>
      </c>
      <c r="B60" s="841"/>
      <c r="C60" s="1153"/>
      <c r="D60" s="1154"/>
      <c r="E60" s="1154"/>
      <c r="F60" s="1154"/>
      <c r="G60" s="1154"/>
      <c r="H60" s="1154"/>
      <c r="I60" s="1154"/>
      <c r="J60" s="1154"/>
      <c r="K60" s="1154"/>
      <c r="L60" s="1154"/>
      <c r="M60" s="1154"/>
      <c r="N60" s="1154"/>
      <c r="O60" s="1154"/>
      <c r="P60" s="1154"/>
      <c r="Q60" s="1154"/>
      <c r="R60" s="724"/>
    </row>
    <row r="61" spans="1:18" ht="16.5" thickBot="1">
      <c r="A61" s="843" t="s">
        <v>115</v>
      </c>
      <c r="B61" s="844"/>
      <c r="C61" s="733">
        <f ca="1">C46+C52+C56</f>
        <v>43803.850941219731</v>
      </c>
      <c r="D61" s="733">
        <f t="shared" ref="D61:Q61" ca="1" si="8">D46+D52+D56</f>
        <v>16688.934453781516</v>
      </c>
      <c r="E61" s="733">
        <f t="shared" ca="1" si="8"/>
        <v>28121.521493982596</v>
      </c>
      <c r="F61" s="733">
        <f t="shared" si="8"/>
        <v>3592.8207638130207</v>
      </c>
      <c r="G61" s="733">
        <f t="shared" ca="1" si="8"/>
        <v>13440.45834159779</v>
      </c>
      <c r="H61" s="733">
        <f t="shared" si="8"/>
        <v>12523.840468655755</v>
      </c>
      <c r="I61" s="733">
        <f t="shared" si="8"/>
        <v>2906.1391911229289</v>
      </c>
      <c r="J61" s="733">
        <f t="shared" si="8"/>
        <v>0</v>
      </c>
      <c r="K61" s="733">
        <f t="shared" si="8"/>
        <v>1054.0646227269774</v>
      </c>
      <c r="L61" s="733">
        <f t="shared" si="8"/>
        <v>0</v>
      </c>
      <c r="M61" s="733">
        <f t="shared" ca="1" si="8"/>
        <v>0</v>
      </c>
      <c r="N61" s="733">
        <f t="shared" si="8"/>
        <v>0</v>
      </c>
      <c r="O61" s="733">
        <f t="shared" ca="1" si="8"/>
        <v>0</v>
      </c>
      <c r="P61" s="733">
        <f t="shared" si="8"/>
        <v>0</v>
      </c>
      <c r="Q61" s="733">
        <f t="shared" si="8"/>
        <v>0</v>
      </c>
      <c r="R61" s="733">
        <f ca="1">R46+R52+R56</f>
        <v>122131.63027690031</v>
      </c>
    </row>
    <row r="62" spans="1:18" ht="15.75" thickTop="1" thickBot="1">
      <c r="A62" s="798"/>
      <c r="B62" s="798"/>
      <c r="C62" s="735"/>
      <c r="D62" s="735"/>
      <c r="E62" s="736"/>
      <c r="F62" s="736"/>
      <c r="G62" s="736"/>
      <c r="H62" s="736"/>
      <c r="I62" s="736"/>
      <c r="J62" s="736"/>
      <c r="K62" s="736"/>
      <c r="L62" s="736"/>
      <c r="M62" s="736"/>
      <c r="N62" s="736"/>
      <c r="O62" s="736"/>
      <c r="P62" s="736"/>
      <c r="Q62" s="736"/>
      <c r="R62" s="736"/>
    </row>
    <row r="63" spans="1:18" ht="20.25" thickTop="1" thickBot="1">
      <c r="A63" s="737" t="s">
        <v>347</v>
      </c>
      <c r="B63" s="823"/>
      <c r="C63" s="779">
        <f t="shared" ref="C63:Q63" ca="1" si="9">IF(ISERROR(C61/C27),0,C61/C27)</f>
        <v>0.21280384155040658</v>
      </c>
      <c r="D63" s="779">
        <f t="shared" ca="1" si="9"/>
        <v>0.23148073745771164</v>
      </c>
      <c r="E63" s="973">
        <f t="shared" ca="1" si="9"/>
        <v>0.20199999999999996</v>
      </c>
      <c r="F63" s="779">
        <f t="shared" si="9"/>
        <v>0.22700000000000001</v>
      </c>
      <c r="G63" s="779">
        <f t="shared" ca="1" si="9"/>
        <v>0.26700000000000002</v>
      </c>
      <c r="H63" s="779">
        <f t="shared" si="9"/>
        <v>0.26699999999999996</v>
      </c>
      <c r="I63" s="779">
        <f t="shared" si="9"/>
        <v>0.249</v>
      </c>
      <c r="J63" s="779">
        <f t="shared" si="9"/>
        <v>0</v>
      </c>
      <c r="K63" s="779">
        <f t="shared" si="9"/>
        <v>0.35399999999999998</v>
      </c>
      <c r="L63" s="779">
        <f t="shared" si="9"/>
        <v>0</v>
      </c>
      <c r="M63" s="779">
        <f t="shared" ca="1" si="9"/>
        <v>0</v>
      </c>
      <c r="N63" s="779">
        <f t="shared" si="9"/>
        <v>0</v>
      </c>
      <c r="O63" s="779">
        <f t="shared" ca="1" si="9"/>
        <v>0</v>
      </c>
      <c r="P63" s="779">
        <f t="shared" si="9"/>
        <v>0</v>
      </c>
      <c r="Q63" s="779">
        <f t="shared" si="9"/>
        <v>0</v>
      </c>
      <c r="R63" s="736"/>
    </row>
    <row r="64" spans="1:18" ht="33" thickTop="1" thickBot="1">
      <c r="A64" s="830" t="s">
        <v>348</v>
      </c>
      <c r="B64" s="808"/>
      <c r="C64" s="780">
        <f>'EF ele_warmte'!B6</f>
        <v>0.221</v>
      </c>
      <c r="D64" s="781"/>
      <c r="E64" s="782"/>
      <c r="F64" s="783"/>
      <c r="G64" s="783"/>
      <c r="H64" s="783"/>
      <c r="I64" s="783"/>
      <c r="J64" s="783"/>
      <c r="K64" s="783"/>
      <c r="L64" s="783"/>
      <c r="M64" s="783"/>
      <c r="N64" s="783"/>
      <c r="O64" s="783"/>
      <c r="P64" s="783"/>
      <c r="Q64" s="783"/>
      <c r="R64" s="736"/>
    </row>
    <row r="65" spans="1:18" ht="15" thickTop="1">
      <c r="A65" s="738"/>
      <c r="B65" s="738"/>
      <c r="C65" s="736"/>
      <c r="D65" s="736"/>
      <c r="E65" s="736"/>
      <c r="F65" s="736"/>
      <c r="G65" s="736"/>
      <c r="H65" s="736"/>
      <c r="I65" s="736"/>
      <c r="J65" s="736"/>
      <c r="K65" s="736"/>
      <c r="L65" s="736"/>
      <c r="M65" s="736"/>
      <c r="N65" s="736"/>
      <c r="O65" s="736"/>
      <c r="P65" s="736"/>
      <c r="Q65" s="736"/>
      <c r="R65" s="736"/>
    </row>
    <row r="66" spans="1:18" ht="18.75">
      <c r="A66" s="739" t="s">
        <v>349</v>
      </c>
      <c r="B66" s="739"/>
      <c r="C66" s="710"/>
      <c r="D66" s="740"/>
      <c r="E66" s="710"/>
      <c r="F66" s="710"/>
      <c r="G66" s="710"/>
      <c r="H66" s="710"/>
      <c r="I66" s="710"/>
      <c r="J66" s="710"/>
      <c r="K66" s="710"/>
      <c r="L66" s="710"/>
      <c r="M66" s="710"/>
      <c r="N66" s="710"/>
      <c r="O66" s="710"/>
      <c r="P66" s="741"/>
      <c r="Q66" s="741"/>
      <c r="R66" s="741"/>
    </row>
    <row r="67" spans="1:18">
      <c r="A67" s="1129"/>
      <c r="B67" s="1129"/>
      <c r="C67" s="1129"/>
      <c r="D67" s="1129"/>
      <c r="E67" s="1129"/>
      <c r="F67" s="1129"/>
      <c r="G67" s="1129"/>
      <c r="H67" s="1129"/>
      <c r="I67" s="1129"/>
      <c r="J67" s="1129"/>
      <c r="K67" s="1129"/>
      <c r="L67" s="1129"/>
      <c r="M67" s="1129"/>
      <c r="N67" s="1129"/>
      <c r="O67" s="1129"/>
      <c r="P67" s="1129"/>
      <c r="Q67" s="1129"/>
      <c r="R67" s="742"/>
    </row>
    <row r="68" spans="1:18" ht="16.5" customHeight="1" thickBot="1">
      <c r="A68" s="713"/>
      <c r="B68" s="713"/>
      <c r="C68" s="714"/>
      <c r="D68" s="714"/>
      <c r="E68" s="714"/>
      <c r="F68" s="714"/>
      <c r="G68" s="714"/>
      <c r="H68" s="714"/>
      <c r="I68" s="714"/>
      <c r="J68" s="714"/>
      <c r="K68" s="714"/>
      <c r="L68" s="714"/>
      <c r="M68" s="714"/>
      <c r="N68" s="714"/>
      <c r="O68" s="714"/>
      <c r="P68" s="714"/>
      <c r="Q68" s="714"/>
      <c r="R68" s="714"/>
    </row>
    <row r="69" spans="1:18" ht="48.75" customHeight="1" thickTop="1" thickBot="1">
      <c r="A69" s="1130" t="s">
        <v>240</v>
      </c>
      <c r="B69" s="1116" t="s">
        <v>350</v>
      </c>
      <c r="C69" s="1117"/>
      <c r="D69" s="1096" t="s">
        <v>351</v>
      </c>
      <c r="E69" s="1097"/>
      <c r="F69" s="1097"/>
      <c r="G69" s="1097"/>
      <c r="H69" s="1097"/>
      <c r="I69" s="1097"/>
      <c r="J69" s="1097"/>
      <c r="K69" s="1097"/>
      <c r="L69" s="1097"/>
      <c r="M69" s="1097"/>
      <c r="N69" s="1097"/>
      <c r="O69" s="1098"/>
      <c r="P69" s="961" t="s">
        <v>633</v>
      </c>
      <c r="Q69" s="1088" t="s">
        <v>632</v>
      </c>
      <c r="R69" s="1089"/>
    </row>
    <row r="70" spans="1:18" ht="61.5" thickTop="1" thickBot="1">
      <c r="A70" s="1131"/>
      <c r="B70" s="1118"/>
      <c r="C70" s="1119"/>
      <c r="D70" s="1113" t="s">
        <v>196</v>
      </c>
      <c r="E70" s="1114"/>
      <c r="F70" s="1114"/>
      <c r="G70" s="1114"/>
      <c r="H70" s="1115"/>
      <c r="I70" s="935" t="s">
        <v>245</v>
      </c>
      <c r="J70" s="935" t="s">
        <v>233</v>
      </c>
      <c r="K70" s="935" t="s">
        <v>208</v>
      </c>
      <c r="L70" s="935" t="s">
        <v>209</v>
      </c>
      <c r="M70" s="743" t="s">
        <v>244</v>
      </c>
      <c r="N70" s="935" t="s">
        <v>246</v>
      </c>
      <c r="O70" s="937" t="s">
        <v>126</v>
      </c>
      <c r="P70" s="962"/>
      <c r="Q70" s="858"/>
      <c r="R70" s="859"/>
    </row>
    <row r="71" spans="1:18" ht="95.25" customHeight="1" thickTop="1" thickBot="1">
      <c r="A71" s="1132"/>
      <c r="B71" s="940" t="s">
        <v>631</v>
      </c>
      <c r="C71" s="940" t="s">
        <v>718</v>
      </c>
      <c r="D71" s="953" t="s">
        <v>198</v>
      </c>
      <c r="E71" s="954" t="s">
        <v>199</v>
      </c>
      <c r="F71" s="935" t="s">
        <v>200</v>
      </c>
      <c r="G71" s="934" t="s">
        <v>202</v>
      </c>
      <c r="H71" s="955" t="s">
        <v>203</v>
      </c>
      <c r="I71" s="936"/>
      <c r="J71" s="936"/>
      <c r="K71" s="936"/>
      <c r="L71" s="936"/>
      <c r="M71" s="745"/>
      <c r="N71" s="936"/>
      <c r="O71" s="941"/>
      <c r="P71" s="963"/>
      <c r="Q71" s="942" t="s">
        <v>634</v>
      </c>
      <c r="R71" s="941" t="s">
        <v>635</v>
      </c>
    </row>
    <row r="72" spans="1:18" ht="15.75" thickTop="1">
      <c r="A72" s="746" t="s">
        <v>248</v>
      </c>
      <c r="B72" s="845">
        <f>'lokale energieproductie'!B4</f>
        <v>0</v>
      </c>
      <c r="C72" s="1092"/>
      <c r="D72" s="1092"/>
      <c r="E72" s="1105"/>
      <c r="F72" s="1105"/>
      <c r="G72" s="1106"/>
      <c r="H72" s="1109"/>
      <c r="I72" s="1095"/>
      <c r="J72" s="938"/>
      <c r="K72" s="1099"/>
      <c r="L72" s="1099"/>
      <c r="M72" s="1099"/>
      <c r="N72" s="1099"/>
      <c r="O72" s="1102"/>
      <c r="P72" s="853">
        <v>0</v>
      </c>
      <c r="Q72" s="964"/>
      <c r="R72" s="853">
        <v>0</v>
      </c>
    </row>
    <row r="73" spans="1:18" ht="15">
      <c r="A73" s="747" t="s">
        <v>249</v>
      </c>
      <c r="B73" s="746">
        <f>'lokale energieproductie'!B5</f>
        <v>0</v>
      </c>
      <c r="C73" s="1093"/>
      <c r="D73" s="1093"/>
      <c r="E73" s="1100"/>
      <c r="F73" s="1100"/>
      <c r="G73" s="1107"/>
      <c r="H73" s="1110"/>
      <c r="I73" s="1093"/>
      <c r="J73" s="939"/>
      <c r="K73" s="1100"/>
      <c r="L73" s="1100"/>
      <c r="M73" s="1100"/>
      <c r="N73" s="1100"/>
      <c r="O73" s="1103"/>
      <c r="P73" s="854">
        <v>0</v>
      </c>
      <c r="Q73" s="860"/>
      <c r="R73" s="854">
        <v>0</v>
      </c>
    </row>
    <row r="74" spans="1:18" ht="15">
      <c r="A74" s="747" t="s">
        <v>250</v>
      </c>
      <c r="B74" s="746">
        <f>'lokale energieproductie'!B6</f>
        <v>10027.356303736373</v>
      </c>
      <c r="C74" s="1093"/>
      <c r="D74" s="1093"/>
      <c r="E74" s="1100"/>
      <c r="F74" s="1100"/>
      <c r="G74" s="1107"/>
      <c r="H74" s="1110"/>
      <c r="I74" s="1093"/>
      <c r="J74" s="939"/>
      <c r="K74" s="1100"/>
      <c r="L74" s="1100"/>
      <c r="M74" s="1100"/>
      <c r="N74" s="1100"/>
      <c r="O74" s="1103"/>
      <c r="P74" s="854">
        <v>0</v>
      </c>
      <c r="Q74" s="860"/>
      <c r="R74" s="854">
        <v>0</v>
      </c>
    </row>
    <row r="75" spans="1:18" ht="15.75" thickBot="1">
      <c r="A75" s="747" t="s">
        <v>717</v>
      </c>
      <c r="B75" s="746">
        <f>'lokale energieproductie'!B7</f>
        <v>0</v>
      </c>
      <c r="C75" s="1094"/>
      <c r="D75" s="1094"/>
      <c r="E75" s="1101"/>
      <c r="F75" s="1101"/>
      <c r="G75" s="1108"/>
      <c r="H75" s="1111"/>
      <c r="I75" s="1094"/>
      <c r="J75" s="958"/>
      <c r="K75" s="1101"/>
      <c r="L75" s="1101"/>
      <c r="M75" s="1101"/>
      <c r="N75" s="1101"/>
      <c r="O75" s="1104"/>
      <c r="P75" s="854">
        <v>0</v>
      </c>
      <c r="Q75" s="965"/>
      <c r="R75" s="854">
        <v>0</v>
      </c>
    </row>
    <row r="76" spans="1:18" ht="15">
      <c r="A76" s="748" t="s">
        <v>251</v>
      </c>
      <c r="B76" s="746">
        <f>'lokale energieproductie'!B8*IFERROR(SUM(I76:O76)/SUM(D76:O76),0)</f>
        <v>1309.5</v>
      </c>
      <c r="C76" s="746">
        <f>'lokale energieproductie'!B8*IFERROR(SUM(D76:H76)/SUM(D76:O76),0)</f>
        <v>49158</v>
      </c>
      <c r="D76" s="956">
        <f>'lokale energieproductie'!C8</f>
        <v>57832.941176470595</v>
      </c>
      <c r="E76" s="957">
        <f>'lokale energieproductie'!D8</f>
        <v>0</v>
      </c>
      <c r="F76" s="957">
        <f>'lokale energieproductie'!E8</f>
        <v>0</v>
      </c>
      <c r="G76" s="957">
        <f>'lokale energieproductie'!F8</f>
        <v>0</v>
      </c>
      <c r="H76" s="957">
        <f>'lokale energieproductie'!G8</f>
        <v>0</v>
      </c>
      <c r="I76" s="957">
        <f>'lokale energieproductie'!I8</f>
        <v>0</v>
      </c>
      <c r="J76" s="957">
        <f>'lokale energieproductie'!J8</f>
        <v>1540.5882352941178</v>
      </c>
      <c r="K76" s="957">
        <f>'lokale energieproductie'!M8</f>
        <v>0</v>
      </c>
      <c r="L76" s="957">
        <f>'lokale energieproductie'!N8</f>
        <v>0</v>
      </c>
      <c r="M76" s="957">
        <f>'lokale energieproductie'!H8</f>
        <v>0</v>
      </c>
      <c r="N76" s="957">
        <f>'lokale energieproductie'!K8</f>
        <v>0</v>
      </c>
      <c r="O76" s="967">
        <f>'lokale energieproductie'!L8</f>
        <v>0</v>
      </c>
      <c r="P76" s="966"/>
      <c r="Q76" s="855">
        <f>D76*EF_CO2_aardgas+E76*EF_VLgas_CO2+'SEAP template'!F76*EF_stookolie_CO2+EF_bruinkool_CO2*'SEAP template'!G76+'SEAP template'!H76*EF_steenkool_CO2+'EF brandstof'!M4*'SEAP template'!M76+'SEAP template'!O76*EF_anderfossiel_CO2</f>
        <v>11682.25411764706</v>
      </c>
      <c r="R76" s="854">
        <v>0</v>
      </c>
    </row>
    <row r="77" spans="1:18" ht="15.75" thickBot="1">
      <c r="A77" s="749" t="s">
        <v>760</v>
      </c>
      <c r="B77" s="746">
        <f>'lokale energieproductie'!B9*IFERROR(SUM(I77:O77)/SUM(D77:O77),0)</f>
        <v>0</v>
      </c>
      <c r="C77" s="746">
        <f>'lokale energieproductie'!B9*IFERROR(SUM(D77:H77)/SUM(D77:O77),0)</f>
        <v>0</v>
      </c>
      <c r="D77" s="773">
        <f>'lokale energieproductie'!C9</f>
        <v>0</v>
      </c>
      <c r="E77" s="774">
        <f>'lokale energieproductie'!D9</f>
        <v>0</v>
      </c>
      <c r="F77" s="774">
        <f>'lokale energieproductie'!E9</f>
        <v>0</v>
      </c>
      <c r="G77" s="774">
        <f>'lokale energieproductie'!F9</f>
        <v>0</v>
      </c>
      <c r="H77" s="774">
        <f>'lokale energieproductie'!G9</f>
        <v>0</v>
      </c>
      <c r="I77" s="957">
        <f>'lokale energieproductie'!I9</f>
        <v>0</v>
      </c>
      <c r="J77" s="957">
        <f>'lokale energieproductie'!J9</f>
        <v>0</v>
      </c>
      <c r="K77" s="957">
        <f>'lokale energieproductie'!M9</f>
        <v>0</v>
      </c>
      <c r="L77" s="957">
        <f>'lokale energieproductie'!N9</f>
        <v>0</v>
      </c>
      <c r="M77" s="957">
        <f>'lokale energieproductie'!H9</f>
        <v>0</v>
      </c>
      <c r="N77" s="957">
        <f>'lokale energieproductie'!K9</f>
        <v>0</v>
      </c>
      <c r="O77" s="967">
        <f>'lokale energieproductie'!L9</f>
        <v>0</v>
      </c>
      <c r="P77" s="847"/>
      <c r="Q77" s="855">
        <f>D77*EF_CO2_aardgas+E77*EF_VLgas_CO2+'SEAP template'!F77*EF_stookolie_CO2+EF_bruinkool_CO2*'SEAP template'!G77+'SEAP template'!H77*EF_steenkool_CO2+'EF brandstof'!M4*'SEAP template'!M77+'SEAP template'!O77*EF_anderfossiel_CO2</f>
        <v>0</v>
      </c>
      <c r="R77" s="857">
        <v>0</v>
      </c>
    </row>
    <row r="78" spans="1:18" ht="16.5" thickTop="1" thickBot="1">
      <c r="A78" s="750" t="s">
        <v>115</v>
      </c>
      <c r="B78" s="751">
        <f>SUM(B72:B77)</f>
        <v>11336.856303736373</v>
      </c>
      <c r="C78" s="751">
        <f>SUM(C72:C77)</f>
        <v>49158</v>
      </c>
      <c r="D78" s="752">
        <f t="shared" ref="D78:H78" si="10">SUM(D76:D77)</f>
        <v>57832.941176470595</v>
      </c>
      <c r="E78" s="752">
        <f t="shared" si="10"/>
        <v>0</v>
      </c>
      <c r="F78" s="752">
        <f t="shared" si="10"/>
        <v>0</v>
      </c>
      <c r="G78" s="752">
        <f t="shared" si="10"/>
        <v>0</v>
      </c>
      <c r="H78" s="752">
        <f t="shared" si="10"/>
        <v>0</v>
      </c>
      <c r="I78" s="752">
        <f>SUM(I76:I77)</f>
        <v>0</v>
      </c>
      <c r="J78" s="752">
        <f>SUM(J76:J77)</f>
        <v>1540.5882352941178</v>
      </c>
      <c r="K78" s="752">
        <f t="shared" ref="K78:L78" si="11">SUM(K76:K77)</f>
        <v>0</v>
      </c>
      <c r="L78" s="752">
        <f t="shared" si="11"/>
        <v>0</v>
      </c>
      <c r="M78" s="752">
        <f>SUM(M76:M77)</f>
        <v>0</v>
      </c>
      <c r="N78" s="752">
        <f>SUM(N76:N77)</f>
        <v>0</v>
      </c>
      <c r="O78" s="862">
        <f>SUM(O76:O77)</f>
        <v>0</v>
      </c>
      <c r="P78" s="753">
        <v>0</v>
      </c>
      <c r="Q78" s="753">
        <f>SUM(Q76:Q77)</f>
        <v>11682.25411764706</v>
      </c>
      <c r="R78" s="753">
        <f>SUM(R72:R77)</f>
        <v>0</v>
      </c>
    </row>
    <row r="79" spans="1:18" ht="15.75" thickTop="1">
      <c r="A79" s="754"/>
      <c r="B79" s="809"/>
      <c r="C79" s="755"/>
      <c r="D79" s="755"/>
      <c r="E79" s="711"/>
      <c r="F79" s="710"/>
      <c r="G79" s="710"/>
      <c r="H79" s="710"/>
      <c r="I79" s="756"/>
      <c r="J79" s="710"/>
      <c r="K79" s="710"/>
      <c r="L79" s="710"/>
      <c r="M79" s="710"/>
      <c r="N79" s="757"/>
      <c r="O79" s="710"/>
      <c r="P79" s="710"/>
      <c r="Q79" s="710"/>
      <c r="R79" s="710"/>
    </row>
    <row r="80" spans="1:18" ht="15">
      <c r="A80" s="734"/>
      <c r="B80" s="798"/>
      <c r="C80" s="755"/>
      <c r="D80" s="755"/>
      <c r="E80" s="710"/>
      <c r="F80" s="710"/>
      <c r="G80" s="710"/>
      <c r="H80" s="710"/>
      <c r="I80" s="710"/>
      <c r="J80" s="710"/>
      <c r="K80" s="710"/>
      <c r="L80" s="710"/>
      <c r="M80" s="710"/>
      <c r="N80" s="710"/>
      <c r="O80" s="710"/>
      <c r="P80" s="710"/>
      <c r="Q80" s="710"/>
      <c r="R80" s="710"/>
    </row>
    <row r="81" spans="1:19" ht="18.75">
      <c r="A81" s="758" t="s">
        <v>353</v>
      </c>
      <c r="B81" s="758"/>
      <c r="C81" s="759"/>
      <c r="D81" s="740"/>
      <c r="E81" s="710"/>
      <c r="F81" s="710"/>
      <c r="G81" s="710"/>
      <c r="H81" s="710"/>
      <c r="I81" s="710"/>
      <c r="J81" s="710"/>
      <c r="K81" s="710"/>
      <c r="L81" s="710"/>
      <c r="M81" s="710"/>
      <c r="N81" s="710"/>
      <c r="O81" s="710"/>
      <c r="P81" s="710"/>
      <c r="Q81" s="710"/>
      <c r="R81" s="710"/>
    </row>
    <row r="82" spans="1:19">
      <c r="A82" s="1129"/>
      <c r="B82" s="1129"/>
      <c r="C82" s="1129"/>
      <c r="D82" s="1129"/>
      <c r="E82" s="1129"/>
      <c r="F82" s="1129"/>
      <c r="G82" s="1129"/>
      <c r="H82" s="1129"/>
      <c r="I82" s="1129"/>
      <c r="J82" s="1129"/>
      <c r="K82" s="1129"/>
      <c r="L82" s="1129"/>
      <c r="M82" s="1129"/>
      <c r="N82" s="1129"/>
      <c r="O82" s="1129"/>
      <c r="P82" s="1129"/>
      <c r="Q82" s="742"/>
      <c r="R82" s="742"/>
    </row>
    <row r="83" spans="1:19" ht="15.75" thickBot="1">
      <c r="A83" s="713"/>
      <c r="B83" s="713"/>
      <c r="C83" s="714"/>
      <c r="D83" s="714"/>
      <c r="E83" s="714"/>
      <c r="F83" s="714"/>
      <c r="G83" s="714"/>
      <c r="H83" s="714"/>
      <c r="I83" s="714"/>
      <c r="J83" s="714"/>
      <c r="K83" s="714"/>
      <c r="L83" s="714"/>
      <c r="M83" s="714"/>
      <c r="N83" s="714"/>
      <c r="O83" s="714"/>
      <c r="P83" s="714"/>
      <c r="Q83" s="714"/>
      <c r="R83" s="714"/>
    </row>
    <row r="84" spans="1:19" ht="48.2" customHeight="1" thickTop="1" thickBot="1">
      <c r="A84" s="1130" t="s">
        <v>252</v>
      </c>
      <c r="B84" s="1116" t="s">
        <v>354</v>
      </c>
      <c r="C84" s="1138"/>
      <c r="D84" s="1126" t="s">
        <v>355</v>
      </c>
      <c r="E84" s="1127"/>
      <c r="F84" s="1127"/>
      <c r="G84" s="1127"/>
      <c r="H84" s="1127"/>
      <c r="I84" s="1127"/>
      <c r="J84" s="1127"/>
      <c r="K84" s="1127"/>
      <c r="L84" s="1127"/>
      <c r="M84" s="1127"/>
      <c r="N84" s="1127"/>
      <c r="O84" s="1128"/>
      <c r="P84" s="961" t="s">
        <v>633</v>
      </c>
      <c r="Q84" s="1116" t="s">
        <v>632</v>
      </c>
      <c r="R84" s="1117"/>
    </row>
    <row r="85" spans="1:19" ht="16.5" customHeight="1" thickTop="1" thickBot="1">
      <c r="A85" s="1131"/>
      <c r="B85" s="1139"/>
      <c r="C85" s="1140"/>
      <c r="D85" s="1133" t="s">
        <v>196</v>
      </c>
      <c r="E85" s="1134"/>
      <c r="F85" s="1134"/>
      <c r="G85" s="1134"/>
      <c r="H85" s="1135"/>
      <c r="I85" s="1124" t="s">
        <v>245</v>
      </c>
      <c r="J85" s="1120" t="s">
        <v>233</v>
      </c>
      <c r="K85" s="1090" t="s">
        <v>208</v>
      </c>
      <c r="L85" s="1090" t="s">
        <v>209</v>
      </c>
      <c r="M85" s="1136" t="s">
        <v>244</v>
      </c>
      <c r="N85" s="1090" t="s">
        <v>256</v>
      </c>
      <c r="O85" s="1122" t="s">
        <v>126</v>
      </c>
      <c r="P85" s="962"/>
      <c r="Q85" s="858"/>
      <c r="R85" s="859"/>
    </row>
    <row r="86" spans="1:19" ht="110.25" customHeight="1" thickTop="1" thickBot="1">
      <c r="A86" s="1132"/>
      <c r="B86" s="846" t="s">
        <v>631</v>
      </c>
      <c r="C86" s="846" t="s">
        <v>718</v>
      </c>
      <c r="D86" s="760" t="s">
        <v>198</v>
      </c>
      <c r="E86" s="744" t="s">
        <v>199</v>
      </c>
      <c r="F86" s="761" t="s">
        <v>200</v>
      </c>
      <c r="G86" s="744" t="s">
        <v>202</v>
      </c>
      <c r="H86" s="762" t="s">
        <v>203</v>
      </c>
      <c r="I86" s="1125"/>
      <c r="J86" s="1121"/>
      <c r="K86" s="1091"/>
      <c r="L86" s="1091"/>
      <c r="M86" s="1137"/>
      <c r="N86" s="1091"/>
      <c r="O86" s="1123"/>
      <c r="P86" s="963"/>
      <c r="Q86" s="799" t="s">
        <v>634</v>
      </c>
      <c r="R86" s="797" t="s">
        <v>635</v>
      </c>
    </row>
    <row r="87" spans="1:19" ht="15.75" thickTop="1">
      <c r="A87" s="763" t="s">
        <v>251</v>
      </c>
      <c r="B87" s="764">
        <f>'lokale energieproductie'!B17*IFERROR(SUM(I87:O87)/SUM(D87:O87),0)</f>
        <v>1870.7142857142853</v>
      </c>
      <c r="C87" s="764">
        <f>'lokale energieproductie'!B17*IFERROR(SUM(D87:H87)/SUM(D87:O87),0)</f>
        <v>70225.714285714275</v>
      </c>
      <c r="D87" s="775">
        <f>'lokale energieproductie'!C17</f>
        <v>82618.487394957992</v>
      </c>
      <c r="E87" s="775">
        <f>'lokale energieproductie'!D17</f>
        <v>0</v>
      </c>
      <c r="F87" s="775">
        <f>'lokale energieproductie'!E17</f>
        <v>0</v>
      </c>
      <c r="G87" s="775">
        <f>'lokale energieproductie'!F17</f>
        <v>0</v>
      </c>
      <c r="H87" s="775">
        <f>'lokale energieproductie'!G17</f>
        <v>0</v>
      </c>
      <c r="I87" s="775">
        <f>'lokale energieproductie'!I17</f>
        <v>0</v>
      </c>
      <c r="J87" s="775">
        <f>'lokale energieproductie'!J17</f>
        <v>2200.840336134454</v>
      </c>
      <c r="K87" s="775">
        <f>'lokale energieproductie'!M17</f>
        <v>0</v>
      </c>
      <c r="L87" s="775">
        <f>'lokale energieproductie'!N17</f>
        <v>0</v>
      </c>
      <c r="M87" s="775">
        <f>'lokale energieproductie'!H17</f>
        <v>0</v>
      </c>
      <c r="N87" s="775">
        <f>'lokale energieproductie'!K17</f>
        <v>0</v>
      </c>
      <c r="O87" s="775">
        <f>'lokale energieproductie'!L17</f>
        <v>0</v>
      </c>
      <c r="P87" s="1085"/>
      <c r="Q87" s="861">
        <f>D87*EF_CO2_aardgas+E87*EF_VLgas_CO2+'SEAP template'!F87*EF_stookolie_CO2+EF_bruinkool_CO2*'SEAP template'!G87+'SEAP template'!H87*EF_steenkool_CO2+'EF brandstof'!M4*'SEAP template'!M87+'SEAP template'!O87*EF_anderfossiel_CO2</f>
        <v>16688.934453781516</v>
      </c>
      <c r="R87" s="848">
        <v>0</v>
      </c>
    </row>
    <row r="88" spans="1:19" ht="15">
      <c r="A88" s="765" t="s">
        <v>257</v>
      </c>
      <c r="B88" s="764">
        <f>'lokale energieproductie'!B18*IFERROR(SUM(I88:O88)/SUM(D88:O88),0)</f>
        <v>0</v>
      </c>
      <c r="C88" s="764">
        <f>'lokale energieproductie'!B18*IFERROR(SUM(D88:H88)/SUM(D88:O88),0)</f>
        <v>0</v>
      </c>
      <c r="D88" s="775">
        <f>'lokale energieproductie'!C18</f>
        <v>0</v>
      </c>
      <c r="E88" s="775">
        <f>'lokale energieproductie'!D18</f>
        <v>0</v>
      </c>
      <c r="F88" s="775">
        <f>'lokale energieproductie'!E18</f>
        <v>0</v>
      </c>
      <c r="G88" s="775">
        <f>'lokale energieproductie'!F18</f>
        <v>0</v>
      </c>
      <c r="H88" s="775">
        <f>'lokale energieproductie'!G18</f>
        <v>0</v>
      </c>
      <c r="I88" s="775">
        <f>'lokale energieproductie'!I18</f>
        <v>0</v>
      </c>
      <c r="J88" s="775">
        <f>'lokale energieproductie'!J18</f>
        <v>0</v>
      </c>
      <c r="K88" s="775">
        <f>'lokale energieproductie'!M18</f>
        <v>0</v>
      </c>
      <c r="L88" s="775">
        <f>'lokale energieproductie'!N18</f>
        <v>0</v>
      </c>
      <c r="M88" s="775">
        <f>'lokale energieproductie'!H18</f>
        <v>0</v>
      </c>
      <c r="N88" s="775">
        <f>'lokale energieproductie'!K18</f>
        <v>0</v>
      </c>
      <c r="O88" s="775">
        <f>'lokale energieproductie'!L18</f>
        <v>0</v>
      </c>
      <c r="P88" s="1086"/>
      <c r="Q88" s="855">
        <f>D88*EF_CO2_aardgas+E88*EF_VLgas_CO2+'SEAP template'!F88*EF_stookolie_CO2+EF_bruinkool_CO2*'SEAP template'!G88+'SEAP template'!H88*EF_steenkool_CO2+'EF brandstof'!M4*'SEAP template'!M88+'SEAP template'!O88*EF_anderfossiel_CO2</f>
        <v>0</v>
      </c>
      <c r="R88" s="849">
        <v>0</v>
      </c>
    </row>
    <row r="89" spans="1:19" ht="30" thickBot="1">
      <c r="A89" s="749" t="s">
        <v>352</v>
      </c>
      <c r="B89" s="764">
        <f>'lokale energieproductie'!B19*IFERROR(SUM(I89:O89)/SUM(D89:O89),0)</f>
        <v>0</v>
      </c>
      <c r="C89" s="764">
        <f>'lokale energieproductie'!B19*IFERROR(SUM(D89:H89)/SUM(D89:O89),0)</f>
        <v>0</v>
      </c>
      <c r="D89" s="775">
        <f>'lokale energieproductie'!C19</f>
        <v>0</v>
      </c>
      <c r="E89" s="775">
        <f>'lokale energieproductie'!D19</f>
        <v>0</v>
      </c>
      <c r="F89" s="775">
        <f>'lokale energieproductie'!E19</f>
        <v>0</v>
      </c>
      <c r="G89" s="775">
        <f>'lokale energieproductie'!F19</f>
        <v>0</v>
      </c>
      <c r="H89" s="775">
        <f>'lokale energieproductie'!G19</f>
        <v>0</v>
      </c>
      <c r="I89" s="775">
        <f>'lokale energieproductie'!I19</f>
        <v>0</v>
      </c>
      <c r="J89" s="775">
        <f>'lokale energieproductie'!J19</f>
        <v>0</v>
      </c>
      <c r="K89" s="775">
        <f>'lokale energieproductie'!M19</f>
        <v>0</v>
      </c>
      <c r="L89" s="775">
        <f>'lokale energieproductie'!N19</f>
        <v>0</v>
      </c>
      <c r="M89" s="775">
        <f>'lokale energieproductie'!H19</f>
        <v>0</v>
      </c>
      <c r="N89" s="775">
        <f>'lokale energieproductie'!K19</f>
        <v>0</v>
      </c>
      <c r="O89" s="775">
        <f>'lokale energieproductie'!L19</f>
        <v>0</v>
      </c>
      <c r="P89" s="1087"/>
      <c r="Q89" s="856">
        <f>D89*EF_CO2_aardgas+E89*EF_VLgas_CO2+'SEAP template'!F89*EF_stookolie_CO2+EF_bruinkool_CO2*'SEAP template'!G89+'SEAP template'!H89*EF_steenkool_CO2+'EF brandstof'!M4*'SEAP template'!M89+'SEAP template'!O89*EF_anderfossiel_CO2</f>
        <v>0</v>
      </c>
      <c r="R89" s="850">
        <v>0</v>
      </c>
    </row>
    <row r="90" spans="1:19" ht="16.5" thickTop="1" thickBot="1">
      <c r="A90" s="766" t="s">
        <v>115</v>
      </c>
      <c r="B90" s="751">
        <f>SUM(B87:B89)</f>
        <v>1870.7142857142853</v>
      </c>
      <c r="C90" s="751">
        <f>SUM(C87:C89)</f>
        <v>70225.714285714275</v>
      </c>
      <c r="D90" s="751">
        <f t="shared" ref="D90:H90" si="12">SUM(D87:D89)</f>
        <v>82618.487394957992</v>
      </c>
      <c r="E90" s="751">
        <f t="shared" si="12"/>
        <v>0</v>
      </c>
      <c r="F90" s="751">
        <f t="shared" si="12"/>
        <v>0</v>
      </c>
      <c r="G90" s="751">
        <f t="shared" si="12"/>
        <v>0</v>
      </c>
      <c r="H90" s="751">
        <f t="shared" si="12"/>
        <v>0</v>
      </c>
      <c r="I90" s="751">
        <f>SUM(I87:I89)</f>
        <v>0</v>
      </c>
      <c r="J90" s="751">
        <f>SUM(J87:J89)</f>
        <v>2200.840336134454</v>
      </c>
      <c r="K90" s="751">
        <f t="shared" ref="K90:L90" si="13">SUM(K87:K89)</f>
        <v>0</v>
      </c>
      <c r="L90" s="751">
        <f t="shared" si="13"/>
        <v>0</v>
      </c>
      <c r="M90" s="751">
        <f>SUM(M87:M89)</f>
        <v>0</v>
      </c>
      <c r="N90" s="751">
        <f>SUM(N87:N89)</f>
        <v>0</v>
      </c>
      <c r="O90" s="751">
        <f>SUM(O87:O89)</f>
        <v>0</v>
      </c>
      <c r="P90" s="751">
        <v>0</v>
      </c>
      <c r="Q90" s="751">
        <f>SUM(Q87:Q89)</f>
        <v>16688.934453781516</v>
      </c>
      <c r="R90" s="862">
        <f>SUM(R87:R89)</f>
        <v>0</v>
      </c>
    </row>
    <row r="91" spans="1:19" ht="15.75" thickTop="1">
      <c r="A91" s="767"/>
      <c r="B91" s="767"/>
      <c r="C91" s="768"/>
      <c r="D91" s="769"/>
      <c r="E91" s="770"/>
      <c r="F91" s="756"/>
      <c r="G91" s="756"/>
      <c r="H91" s="756"/>
      <c r="I91" s="756"/>
      <c r="J91" s="756"/>
      <c r="K91" s="756"/>
      <c r="L91" s="756"/>
      <c r="M91" s="710"/>
      <c r="Q91" s="756"/>
      <c r="R91" s="710"/>
      <c r="S91" s="741"/>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53" bestFit="1" customWidth="1"/>
    <col min="2" max="2" width="11.28515625" style="453" bestFit="1" customWidth="1"/>
    <col min="3" max="3" width="15.42578125" style="453" bestFit="1" customWidth="1"/>
    <col min="4" max="4" width="9.140625" style="453"/>
    <col min="5" max="5" width="16.28515625" style="453" customWidth="1"/>
    <col min="6" max="8" width="9.140625" style="453"/>
    <col min="9" max="9" width="14.28515625" style="453" customWidth="1"/>
    <col min="10" max="10" width="18.5703125" style="453" customWidth="1"/>
    <col min="11" max="11" width="15.140625" style="453" customWidth="1"/>
    <col min="12" max="12" width="15.42578125" style="453" customWidth="1"/>
    <col min="13" max="13" width="17" style="453" customWidth="1"/>
    <col min="14" max="14" width="16.42578125" style="453" customWidth="1"/>
    <col min="15" max="15" width="13.42578125" style="453" customWidth="1"/>
    <col min="16" max="16" width="18.28515625" style="453" customWidth="1"/>
    <col min="17" max="17" width="10.5703125" style="453" bestFit="1" customWidth="1"/>
    <col min="18" max="18" width="9.5703125" style="453" bestFit="1" customWidth="1"/>
    <col min="19" max="16384" width="9.140625" style="453"/>
  </cols>
  <sheetData>
    <row r="1" spans="1:17" ht="15.75">
      <c r="A1" s="1174" t="s">
        <v>541</v>
      </c>
      <c r="B1" s="1175" t="s">
        <v>537</v>
      </c>
      <c r="C1" s="1175"/>
      <c r="D1" s="1175"/>
      <c r="E1" s="1175"/>
      <c r="F1" s="1175"/>
      <c r="G1" s="1175"/>
      <c r="H1" s="1175"/>
      <c r="I1" s="1175"/>
      <c r="J1" s="1175"/>
      <c r="K1" s="1175"/>
      <c r="L1" s="1175"/>
      <c r="M1" s="1175"/>
      <c r="N1" s="1175"/>
      <c r="O1" s="1175"/>
      <c r="P1" s="1176"/>
      <c r="Q1" s="452"/>
    </row>
    <row r="2" spans="1:17">
      <c r="A2" s="1174"/>
      <c r="B2" s="1177" t="s">
        <v>20</v>
      </c>
      <c r="C2" s="1179" t="s">
        <v>195</v>
      </c>
      <c r="D2" s="1181" t="s">
        <v>196</v>
      </c>
      <c r="E2" s="1182"/>
      <c r="F2" s="1182"/>
      <c r="G2" s="1182"/>
      <c r="H2" s="1182"/>
      <c r="I2" s="1182"/>
      <c r="J2" s="1182"/>
      <c r="K2" s="1178"/>
      <c r="L2" s="1181" t="s">
        <v>197</v>
      </c>
      <c r="M2" s="1182"/>
      <c r="N2" s="1182"/>
      <c r="O2" s="1182"/>
      <c r="P2" s="1178"/>
      <c r="Q2" s="452"/>
    </row>
    <row r="3" spans="1:17" ht="45">
      <c r="A3" s="1174"/>
      <c r="B3" s="1178"/>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c r="Q3" s="452" t="s">
        <v>115</v>
      </c>
    </row>
    <row r="4" spans="1:17">
      <c r="A4" s="454" t="s">
        <v>154</v>
      </c>
      <c r="B4" s="455">
        <f>huishoudens!B8</f>
        <v>19285.92196828391</v>
      </c>
      <c r="C4" s="455">
        <f>huishoudens!C8</f>
        <v>0</v>
      </c>
      <c r="D4" s="455">
        <f>huishoudens!D8</f>
        <v>33663.168431330152</v>
      </c>
      <c r="E4" s="455">
        <f>huishoudens!E8</f>
        <v>15049.422615118247</v>
      </c>
      <c r="F4" s="455">
        <f>huishoudens!F8</f>
        <v>13132.640142188808</v>
      </c>
      <c r="G4" s="455">
        <f>huishoudens!G8</f>
        <v>0</v>
      </c>
      <c r="H4" s="455">
        <f>huishoudens!H8</f>
        <v>0</v>
      </c>
      <c r="I4" s="455">
        <f>huishoudens!I8</f>
        <v>0</v>
      </c>
      <c r="J4" s="455">
        <f>huishoudens!J8</f>
        <v>502.76027300953217</v>
      </c>
      <c r="K4" s="455">
        <f>huishoudens!K8</f>
        <v>0</v>
      </c>
      <c r="L4" s="455">
        <f>huishoudens!L8</f>
        <v>0</v>
      </c>
      <c r="M4" s="455">
        <f>huishoudens!M8</f>
        <v>0</v>
      </c>
      <c r="N4" s="455">
        <f>huishoudens!N8</f>
        <v>20053.006002877042</v>
      </c>
      <c r="O4" s="455">
        <f>huishoudens!O8</f>
        <v>605.10725691304469</v>
      </c>
      <c r="P4" s="456">
        <f>huishoudens!P8</f>
        <v>358.15461646129074</v>
      </c>
      <c r="Q4" s="457">
        <f>SUM(B4:P4)</f>
        <v>102650.18130618204</v>
      </c>
    </row>
    <row r="5" spans="1:17">
      <c r="A5" s="454" t="s">
        <v>155</v>
      </c>
      <c r="B5" s="455">
        <f ca="1">tertiair!B16</f>
        <v>9393.338738599703</v>
      </c>
      <c r="C5" s="455">
        <f ca="1">tertiair!C16</f>
        <v>0</v>
      </c>
      <c r="D5" s="455">
        <f ca="1">tertiair!D16</f>
        <v>35214.378773880788</v>
      </c>
      <c r="E5" s="455">
        <f>tertiair!E16</f>
        <v>45.7350449275743</v>
      </c>
      <c r="F5" s="455">
        <f ca="1">tertiair!F16</f>
        <v>1978.1221481392477</v>
      </c>
      <c r="G5" s="455">
        <f>tertiair!G16</f>
        <v>0</v>
      </c>
      <c r="H5" s="455">
        <f>tertiair!H16</f>
        <v>0</v>
      </c>
      <c r="I5" s="455">
        <f>tertiair!I16</f>
        <v>0</v>
      </c>
      <c r="J5" s="455">
        <f>tertiair!J16</f>
        <v>2.1452797109736434E-2</v>
      </c>
      <c r="K5" s="455">
        <f>tertiair!K16</f>
        <v>0</v>
      </c>
      <c r="L5" s="455">
        <f ca="1">tertiair!L16</f>
        <v>0</v>
      </c>
      <c r="M5" s="455">
        <f>tertiair!M16</f>
        <v>0</v>
      </c>
      <c r="N5" s="455">
        <f ca="1">tertiair!N16</f>
        <v>783.472771771368</v>
      </c>
      <c r="O5" s="455">
        <f>tertiair!O16</f>
        <v>24.486303829205774</v>
      </c>
      <c r="P5" s="456">
        <f>tertiair!P16</f>
        <v>105.07827661299004</v>
      </c>
      <c r="Q5" s="454">
        <f t="shared" ref="Q5:Q14" ca="1" si="0">SUM(B5:P5)</f>
        <v>47544.633510557993</v>
      </c>
    </row>
    <row r="6" spans="1:17">
      <c r="A6" s="454" t="s">
        <v>193</v>
      </c>
      <c r="B6" s="455">
        <f>'openbare verlichting'!B8</f>
        <v>679.77099999999996</v>
      </c>
      <c r="C6" s="455"/>
      <c r="D6" s="455"/>
      <c r="E6" s="455"/>
      <c r="F6" s="455"/>
      <c r="G6" s="455"/>
      <c r="H6" s="455"/>
      <c r="I6" s="455"/>
      <c r="J6" s="455"/>
      <c r="K6" s="455"/>
      <c r="L6" s="455"/>
      <c r="M6" s="455"/>
      <c r="N6" s="455"/>
      <c r="O6" s="455"/>
      <c r="P6" s="456"/>
      <c r="Q6" s="454">
        <f t="shared" si="0"/>
        <v>679.77099999999996</v>
      </c>
    </row>
    <row r="7" spans="1:17">
      <c r="A7" s="454" t="s">
        <v>111</v>
      </c>
      <c r="B7" s="455">
        <f>landbouw!B8</f>
        <v>9409.4257685534012</v>
      </c>
      <c r="C7" s="455">
        <f>landbouw!C8</f>
        <v>63803.571428571428</v>
      </c>
      <c r="D7" s="455">
        <f>landbouw!D8</f>
        <v>0</v>
      </c>
      <c r="E7" s="455">
        <f>landbouw!E8</f>
        <v>350.90626828964008</v>
      </c>
      <c r="F7" s="455">
        <f>landbouw!F8</f>
        <v>30527.813138426143</v>
      </c>
      <c r="G7" s="455">
        <f>landbouw!G8</f>
        <v>0</v>
      </c>
      <c r="H7" s="455">
        <f>landbouw!H8</f>
        <v>0</v>
      </c>
      <c r="I7" s="455">
        <f>landbouw!I8</f>
        <v>0</v>
      </c>
      <c r="J7" s="455">
        <f>landbouw!J8</f>
        <v>2470.0207177064676</v>
      </c>
      <c r="K7" s="455">
        <f>landbouw!K8</f>
        <v>0</v>
      </c>
      <c r="L7" s="455">
        <f>landbouw!L8</f>
        <v>0</v>
      </c>
      <c r="M7" s="455">
        <f>landbouw!M8</f>
        <v>0</v>
      </c>
      <c r="N7" s="455">
        <f>landbouw!N8</f>
        <v>0</v>
      </c>
      <c r="O7" s="455">
        <f>landbouw!O8</f>
        <v>0</v>
      </c>
      <c r="P7" s="456">
        <f>landbouw!P8</f>
        <v>0</v>
      </c>
      <c r="Q7" s="454">
        <f t="shared" si="0"/>
        <v>106561.73732154709</v>
      </c>
    </row>
    <row r="8" spans="1:17">
      <c r="A8" s="454" t="s">
        <v>626</v>
      </c>
      <c r="B8" s="455">
        <f>industrie!B18</f>
        <v>166644.97269378952</v>
      </c>
      <c r="C8" s="455">
        <f>industrie!C18</f>
        <v>8292.8571428571431</v>
      </c>
      <c r="D8" s="455">
        <f>industrie!D18</f>
        <v>69562.829845046625</v>
      </c>
      <c r="E8" s="455">
        <f>industrie!E18</f>
        <v>284.1008109029612</v>
      </c>
      <c r="F8" s="455">
        <f>industrie!F18</f>
        <v>4700.2198581289067</v>
      </c>
      <c r="G8" s="455">
        <f>industrie!G18</f>
        <v>0</v>
      </c>
      <c r="H8" s="455">
        <f>industrie!H18</f>
        <v>0</v>
      </c>
      <c r="I8" s="455">
        <f>industrie!I18</f>
        <v>0</v>
      </c>
      <c r="J8" s="455">
        <f>industrie!J18</f>
        <v>4.7812365066007372</v>
      </c>
      <c r="K8" s="455">
        <f>industrie!K18</f>
        <v>0</v>
      </c>
      <c r="L8" s="455">
        <f>industrie!L18</f>
        <v>0</v>
      </c>
      <c r="M8" s="455">
        <f>industrie!M18</f>
        <v>0</v>
      </c>
      <c r="N8" s="455">
        <f>industrie!N18</f>
        <v>1280.6622741637466</v>
      </c>
      <c r="O8" s="455">
        <f>industrie!O18</f>
        <v>0</v>
      </c>
      <c r="P8" s="456">
        <f>industrie!P18</f>
        <v>0</v>
      </c>
      <c r="Q8" s="454">
        <f t="shared" si="0"/>
        <v>250770.42386139545</v>
      </c>
    </row>
    <row r="9" spans="1:17" s="460" customFormat="1">
      <c r="A9" s="458" t="s">
        <v>552</v>
      </c>
      <c r="B9" s="459">
        <f>transport!B14</f>
        <v>39.660877118651129</v>
      </c>
      <c r="C9" s="459">
        <f>transport!C14</f>
        <v>0</v>
      </c>
      <c r="D9" s="459">
        <f>transport!D14</f>
        <v>183.8465527324492</v>
      </c>
      <c r="E9" s="459">
        <f>transport!E14</f>
        <v>97.239506633916193</v>
      </c>
      <c r="F9" s="459">
        <f>transport!F14</f>
        <v>0</v>
      </c>
      <c r="G9" s="459">
        <f>transport!G14</f>
        <v>45821.008632747296</v>
      </c>
      <c r="H9" s="459">
        <f>transport!H14</f>
        <v>11671.241731417385</v>
      </c>
      <c r="I9" s="459">
        <f>transport!I14</f>
        <v>0</v>
      </c>
      <c r="J9" s="459">
        <f>transport!J14</f>
        <v>0</v>
      </c>
      <c r="K9" s="459">
        <f>transport!K14</f>
        <v>0</v>
      </c>
      <c r="L9" s="459">
        <f>transport!L14</f>
        <v>0</v>
      </c>
      <c r="M9" s="459">
        <f>transport!M14</f>
        <v>3391.1307686660653</v>
      </c>
      <c r="N9" s="459">
        <f>transport!N14</f>
        <v>0</v>
      </c>
      <c r="O9" s="459">
        <f>transport!O14</f>
        <v>0</v>
      </c>
      <c r="P9" s="459">
        <f>transport!P14</f>
        <v>0</v>
      </c>
      <c r="Q9" s="458">
        <f>SUM(B9:P9)</f>
        <v>61204.128069315768</v>
      </c>
    </row>
    <row r="10" spans="1:17">
      <c r="A10" s="454" t="s">
        <v>542</v>
      </c>
      <c r="B10" s="455">
        <f>transport!B54</f>
        <v>0</v>
      </c>
      <c r="C10" s="455">
        <f>transport!C54</f>
        <v>0</v>
      </c>
      <c r="D10" s="455">
        <f>transport!D54</f>
        <v>0</v>
      </c>
      <c r="E10" s="455">
        <f>transport!E54</f>
        <v>0</v>
      </c>
      <c r="F10" s="455">
        <f>transport!F54</f>
        <v>0</v>
      </c>
      <c r="G10" s="455">
        <f>transport!G54</f>
        <v>1084.7609127798753</v>
      </c>
      <c r="H10" s="455">
        <f>transport!H54</f>
        <v>0</v>
      </c>
      <c r="I10" s="455">
        <f>transport!I54</f>
        <v>0</v>
      </c>
      <c r="J10" s="455">
        <f>transport!J54</f>
        <v>0</v>
      </c>
      <c r="K10" s="455">
        <f>transport!K54</f>
        <v>0</v>
      </c>
      <c r="L10" s="455">
        <f>transport!L54</f>
        <v>0</v>
      </c>
      <c r="M10" s="455">
        <f>transport!M54</f>
        <v>58.865305479053909</v>
      </c>
      <c r="N10" s="455">
        <f>transport!N54</f>
        <v>0</v>
      </c>
      <c r="O10" s="455">
        <f>transport!O54</f>
        <v>0</v>
      </c>
      <c r="P10" s="456">
        <f>transport!P54</f>
        <v>0</v>
      </c>
      <c r="Q10" s="454">
        <f t="shared" si="0"/>
        <v>1143.6262182589292</v>
      </c>
    </row>
    <row r="11" spans="1:17">
      <c r="A11" s="454" t="s">
        <v>543</v>
      </c>
      <c r="B11" s="455">
        <f>'Eigen gebouwen'!B15</f>
        <v>0</v>
      </c>
      <c r="C11" s="455">
        <f>'Eigen gebouwen'!C15</f>
        <v>0</v>
      </c>
      <c r="D11" s="455">
        <f>'Eigen gebouwen'!D15</f>
        <v>0</v>
      </c>
      <c r="E11" s="455">
        <f>'Eigen gebouwen'!E15</f>
        <v>0</v>
      </c>
      <c r="F11" s="455">
        <f>'Eigen gebouwen'!F15</f>
        <v>0</v>
      </c>
      <c r="G11" s="455">
        <f>'Eigen gebouwen'!G15</f>
        <v>0</v>
      </c>
      <c r="H11" s="455">
        <f>'Eigen gebouwen'!H15</f>
        <v>0</v>
      </c>
      <c r="I11" s="455">
        <f>'Eigen gebouwen'!I15</f>
        <v>0</v>
      </c>
      <c r="J11" s="455">
        <f>'Eigen gebouwen'!J15</f>
        <v>0</v>
      </c>
      <c r="K11" s="455">
        <f>'Eigen gebouwen'!K15</f>
        <v>0</v>
      </c>
      <c r="L11" s="455">
        <f>'Eigen gebouwen'!L15</f>
        <v>0</v>
      </c>
      <c r="M11" s="455">
        <f>'Eigen gebouwen'!M15</f>
        <v>0</v>
      </c>
      <c r="N11" s="455">
        <f>'Eigen gebouwen'!N15</f>
        <v>0</v>
      </c>
      <c r="O11" s="455">
        <f>'Eigen gebouwen'!O15</f>
        <v>0</v>
      </c>
      <c r="P11" s="456">
        <f>'Eigen gebouwen'!P15</f>
        <v>0</v>
      </c>
      <c r="Q11" s="454">
        <f t="shared" si="0"/>
        <v>0</v>
      </c>
    </row>
    <row r="12" spans="1:17">
      <c r="A12" s="454" t="s">
        <v>544</v>
      </c>
      <c r="B12" s="455">
        <f>'Eigen openbare verlichting'!B15</f>
        <v>0</v>
      </c>
      <c r="C12" s="455"/>
      <c r="D12" s="455"/>
      <c r="E12" s="455"/>
      <c r="F12" s="455"/>
      <c r="G12" s="455"/>
      <c r="H12" s="455"/>
      <c r="I12" s="455"/>
      <c r="J12" s="455"/>
      <c r="K12" s="455"/>
      <c r="L12" s="455"/>
      <c r="M12" s="455"/>
      <c r="N12" s="455"/>
      <c r="O12" s="455"/>
      <c r="P12" s="456"/>
      <c r="Q12" s="454">
        <f t="shared" si="0"/>
        <v>0</v>
      </c>
    </row>
    <row r="13" spans="1:17">
      <c r="A13" s="454" t="s">
        <v>545</v>
      </c>
      <c r="B13" s="455">
        <f>'Eigen vloot'!B27</f>
        <v>0</v>
      </c>
      <c r="C13" s="455">
        <f>'Eigen vloot'!C27</f>
        <v>0</v>
      </c>
      <c r="D13" s="455">
        <f>'Eigen vloot'!D27</f>
        <v>0</v>
      </c>
      <c r="E13" s="455">
        <f>'Eigen vloot'!E27</f>
        <v>0</v>
      </c>
      <c r="F13" s="455">
        <f>'Eigen vloot'!F27</f>
        <v>0</v>
      </c>
      <c r="G13" s="455">
        <f>'Eigen vloot'!G27</f>
        <v>0</v>
      </c>
      <c r="H13" s="455">
        <f>'Eigen vloot'!H27</f>
        <v>0</v>
      </c>
      <c r="I13" s="455">
        <f>'Eigen vloot'!I27</f>
        <v>0</v>
      </c>
      <c r="J13" s="455">
        <f>'Eigen vloot'!J27</f>
        <v>0</v>
      </c>
      <c r="K13" s="455">
        <f>'Eigen vloot'!K27</f>
        <v>0</v>
      </c>
      <c r="L13" s="455">
        <f>'Eigen vloot'!L27</f>
        <v>0</v>
      </c>
      <c r="M13" s="455">
        <f>'Eigen vloot'!M27</f>
        <v>0</v>
      </c>
      <c r="N13" s="455">
        <f>'Eigen vloot'!N27</f>
        <v>0</v>
      </c>
      <c r="O13" s="455">
        <f>'Eigen vloot'!O27</f>
        <v>0</v>
      </c>
      <c r="P13" s="456">
        <f>'Eigen vloot'!P27</f>
        <v>0</v>
      </c>
      <c r="Q13" s="454">
        <f t="shared" si="0"/>
        <v>0</v>
      </c>
    </row>
    <row r="14" spans="1:17">
      <c r="A14" s="461" t="s">
        <v>752</v>
      </c>
      <c r="B14" s="462">
        <f>'SEAP template'!C25</f>
        <v>388.35721925846997</v>
      </c>
      <c r="C14" s="462"/>
      <c r="D14" s="462">
        <f>'SEAP template'!E25</f>
        <v>591.22933751788901</v>
      </c>
      <c r="E14" s="462"/>
      <c r="F14" s="462"/>
      <c r="G14" s="462"/>
      <c r="H14" s="462"/>
      <c r="I14" s="462"/>
      <c r="J14" s="462"/>
      <c r="K14" s="462"/>
      <c r="L14" s="462"/>
      <c r="M14" s="462"/>
      <c r="N14" s="462"/>
      <c r="O14" s="462"/>
      <c r="P14" s="463"/>
      <c r="Q14" s="454">
        <f t="shared" si="0"/>
        <v>979.58655677635898</v>
      </c>
    </row>
    <row r="15" spans="1:17" s="466" customFormat="1">
      <c r="A15" s="464" t="s">
        <v>546</v>
      </c>
      <c r="B15" s="465">
        <f ca="1">SUM(B4:B14)</f>
        <v>205841.44826560366</v>
      </c>
      <c r="C15" s="465">
        <f t="shared" ref="C15:Q15" ca="1" si="1">SUM(C4:C14)</f>
        <v>72096.428571428565</v>
      </c>
      <c r="D15" s="465">
        <f t="shared" ca="1" si="1"/>
        <v>139215.45294050794</v>
      </c>
      <c r="E15" s="465">
        <f t="shared" si="1"/>
        <v>15827.404245872338</v>
      </c>
      <c r="F15" s="465">
        <f t="shared" ca="1" si="1"/>
        <v>50338.795286883105</v>
      </c>
      <c r="G15" s="465">
        <f t="shared" si="1"/>
        <v>46905.769545527175</v>
      </c>
      <c r="H15" s="465">
        <f t="shared" si="1"/>
        <v>11671.241731417385</v>
      </c>
      <c r="I15" s="465">
        <f t="shared" si="1"/>
        <v>0</v>
      </c>
      <c r="J15" s="465">
        <f t="shared" si="1"/>
        <v>2977.5836800197103</v>
      </c>
      <c r="K15" s="465">
        <f t="shared" si="1"/>
        <v>0</v>
      </c>
      <c r="L15" s="465">
        <f t="shared" ca="1" si="1"/>
        <v>0</v>
      </c>
      <c r="M15" s="465">
        <f t="shared" si="1"/>
        <v>3449.9960741451191</v>
      </c>
      <c r="N15" s="465">
        <f t="shared" ca="1" si="1"/>
        <v>22117.141048812158</v>
      </c>
      <c r="O15" s="465">
        <f t="shared" si="1"/>
        <v>629.59356074225047</v>
      </c>
      <c r="P15" s="465">
        <f t="shared" si="1"/>
        <v>463.23289307428081</v>
      </c>
      <c r="Q15" s="465">
        <f t="shared" ca="1" si="1"/>
        <v>571534.08784403373</v>
      </c>
    </row>
    <row r="17" spans="1:17">
      <c r="A17" s="467" t="s">
        <v>547</v>
      </c>
      <c r="B17" s="784">
        <f ca="1">huishoudens!B10</f>
        <v>0.21280384155040658</v>
      </c>
      <c r="C17" s="784">
        <f ca="1">huishoudens!C10</f>
        <v>0.23148073745771164</v>
      </c>
      <c r="D17" s="784">
        <f>huishoudens!D10</f>
        <v>0.20200000000000001</v>
      </c>
      <c r="E17" s="784">
        <f>huishoudens!E10</f>
        <v>0.22700000000000001</v>
      </c>
      <c r="F17" s="784">
        <f>huishoudens!F10</f>
        <v>0.26700000000000002</v>
      </c>
      <c r="G17" s="784">
        <f>huishoudens!G10</f>
        <v>0.26700000000000002</v>
      </c>
      <c r="H17" s="784">
        <f>huishoudens!H10</f>
        <v>0.249</v>
      </c>
      <c r="I17" s="784">
        <f>huishoudens!I10</f>
        <v>0.35099999999999998</v>
      </c>
      <c r="J17" s="784">
        <f>huishoudens!J10</f>
        <v>0.35399999999999998</v>
      </c>
      <c r="K17" s="784">
        <f>huishoudens!K10</f>
        <v>0.26400000000000001</v>
      </c>
      <c r="L17" s="784">
        <f>huishoudens!L10</f>
        <v>0</v>
      </c>
      <c r="M17" s="784">
        <f>huishoudens!M10</f>
        <v>0</v>
      </c>
      <c r="N17" s="784">
        <f>huishoudens!N10</f>
        <v>0</v>
      </c>
      <c r="O17" s="784">
        <f>huishoudens!O10</f>
        <v>0</v>
      </c>
      <c r="P17" s="784">
        <f>huishoudens!P10</f>
        <v>0</v>
      </c>
    </row>
    <row r="19" spans="1:17" ht="15.75">
      <c r="A19" s="1174" t="s">
        <v>549</v>
      </c>
      <c r="B19" s="1175" t="s">
        <v>548</v>
      </c>
      <c r="C19" s="1175"/>
      <c r="D19" s="1175"/>
      <c r="E19" s="1175"/>
      <c r="F19" s="1175"/>
      <c r="G19" s="1175"/>
      <c r="H19" s="1175"/>
      <c r="I19" s="1175"/>
      <c r="J19" s="1175"/>
      <c r="K19" s="1175"/>
      <c r="L19" s="1175"/>
      <c r="M19" s="1175"/>
      <c r="N19" s="1175"/>
      <c r="O19" s="1175"/>
      <c r="P19" s="1176"/>
      <c r="Q19" s="452"/>
    </row>
    <row r="20" spans="1:17" ht="15" customHeight="1">
      <c r="A20" s="1174"/>
      <c r="B20" s="1177" t="s">
        <v>20</v>
      </c>
      <c r="C20" s="1179" t="s">
        <v>195</v>
      </c>
      <c r="D20" s="1181" t="s">
        <v>196</v>
      </c>
      <c r="E20" s="1182"/>
      <c r="F20" s="1182"/>
      <c r="G20" s="1182"/>
      <c r="H20" s="1182"/>
      <c r="I20" s="1182"/>
      <c r="J20" s="1182"/>
      <c r="K20" s="1178"/>
      <c r="L20" s="1181" t="s">
        <v>197</v>
      </c>
      <c r="M20" s="1182"/>
      <c r="N20" s="1182"/>
      <c r="O20" s="1182"/>
      <c r="P20" s="1178"/>
      <c r="Q20" s="452"/>
    </row>
    <row r="21" spans="1:17" ht="45">
      <c r="A21" s="1174"/>
      <c r="B21" s="1178"/>
      <c r="C21" s="1180"/>
      <c r="D21" s="452" t="s">
        <v>198</v>
      </c>
      <c r="E21" s="452" t="s">
        <v>199</v>
      </c>
      <c r="F21" s="452" t="s">
        <v>200</v>
      </c>
      <c r="G21" s="452" t="s">
        <v>201</v>
      </c>
      <c r="H21" s="452" t="s">
        <v>119</v>
      </c>
      <c r="I21" s="452" t="s">
        <v>202</v>
      </c>
      <c r="J21" s="452" t="s">
        <v>203</v>
      </c>
      <c r="K21" s="452" t="s">
        <v>204</v>
      </c>
      <c r="L21" s="452" t="s">
        <v>205</v>
      </c>
      <c r="M21" s="452" t="s">
        <v>206</v>
      </c>
      <c r="N21" s="452" t="s">
        <v>207</v>
      </c>
      <c r="O21" s="452" t="s">
        <v>208</v>
      </c>
      <c r="P21" s="452" t="s">
        <v>209</v>
      </c>
      <c r="Q21" s="452" t="s">
        <v>115</v>
      </c>
    </row>
    <row r="22" spans="1:17">
      <c r="A22" s="454" t="s">
        <v>154</v>
      </c>
      <c r="B22" s="455">
        <f t="shared" ref="B22:B32" ca="1" si="2">B4*$B$17</f>
        <v>4104.118282692195</v>
      </c>
      <c r="C22" s="455">
        <f t="shared" ref="C22:C32" ca="1" si="3">C4*$C$17</f>
        <v>0</v>
      </c>
      <c r="D22" s="455">
        <f t="shared" ref="D22:D32" si="4">D4*$D$17</f>
        <v>6799.9600231286913</v>
      </c>
      <c r="E22" s="455">
        <f t="shared" ref="E22:E32" si="5">E4*$E$17</f>
        <v>3416.218933631842</v>
      </c>
      <c r="F22" s="455">
        <f t="shared" ref="F22:F32" si="6">F4*$F$17</f>
        <v>3506.4149179644119</v>
      </c>
      <c r="G22" s="455">
        <f t="shared" ref="G22:G32" si="7">G4*$G$17</f>
        <v>0</v>
      </c>
      <c r="H22" s="455">
        <f t="shared" ref="H22:H32" si="8">H4*$H$17</f>
        <v>0</v>
      </c>
      <c r="I22" s="455">
        <f t="shared" ref="I22:I32" si="9">I4*$I$17</f>
        <v>0</v>
      </c>
      <c r="J22" s="455">
        <f t="shared" ref="J22:J32" si="10">J4*$J$17</f>
        <v>177.97713664537437</v>
      </c>
      <c r="K22" s="455">
        <f t="shared" ref="K22:K32" si="11">K4*$K$17</f>
        <v>0</v>
      </c>
      <c r="L22" s="455">
        <f t="shared" ref="L22:L32" si="12">L4*$L$17</f>
        <v>0</v>
      </c>
      <c r="M22" s="455">
        <f t="shared" ref="M22:M32" si="13">M4*$M$17</f>
        <v>0</v>
      </c>
      <c r="N22" s="455">
        <f t="shared" ref="N22:N32" si="14">N4*$N$17</f>
        <v>0</v>
      </c>
      <c r="O22" s="455">
        <f t="shared" ref="O22:O32" si="15">O4*$O$17</f>
        <v>0</v>
      </c>
      <c r="P22" s="468">
        <f t="shared" ref="P22:P32" si="16">P4*$P$17</f>
        <v>0</v>
      </c>
      <c r="Q22" s="457">
        <f ca="1">SUM(B22:P22)</f>
        <v>18004.689294062515</v>
      </c>
    </row>
    <row r="23" spans="1:17">
      <c r="A23" s="454" t="s">
        <v>155</v>
      </c>
      <c r="B23" s="455">
        <f t="shared" ca="1" si="2"/>
        <v>1998.9385685582672</v>
      </c>
      <c r="C23" s="455">
        <f t="shared" ca="1" si="3"/>
        <v>0</v>
      </c>
      <c r="D23" s="455">
        <f t="shared" ca="1" si="4"/>
        <v>7113.3045123239199</v>
      </c>
      <c r="E23" s="455">
        <f t="shared" si="5"/>
        <v>10.381855198559366</v>
      </c>
      <c r="F23" s="455">
        <f t="shared" ca="1" si="6"/>
        <v>528.15861355317918</v>
      </c>
      <c r="G23" s="455">
        <f t="shared" si="7"/>
        <v>0</v>
      </c>
      <c r="H23" s="455">
        <f t="shared" si="8"/>
        <v>0</v>
      </c>
      <c r="I23" s="455">
        <f t="shared" si="9"/>
        <v>0</v>
      </c>
      <c r="J23" s="455">
        <f t="shared" si="10"/>
        <v>7.5942901768466971E-3</v>
      </c>
      <c r="K23" s="455">
        <f t="shared" si="11"/>
        <v>0</v>
      </c>
      <c r="L23" s="455">
        <f t="shared" ca="1" si="12"/>
        <v>0</v>
      </c>
      <c r="M23" s="455">
        <f t="shared" si="13"/>
        <v>0</v>
      </c>
      <c r="N23" s="455">
        <f t="shared" ca="1" si="14"/>
        <v>0</v>
      </c>
      <c r="O23" s="455">
        <f t="shared" si="15"/>
        <v>0</v>
      </c>
      <c r="P23" s="456">
        <f t="shared" si="16"/>
        <v>0</v>
      </c>
      <c r="Q23" s="454">
        <f t="shared" ref="Q23:Q31" ca="1" si="17">SUM(B23:P23)</f>
        <v>9650.7911439241016</v>
      </c>
    </row>
    <row r="24" spans="1:17">
      <c r="A24" s="454" t="s">
        <v>193</v>
      </c>
      <c r="B24" s="455">
        <f t="shared" ca="1" si="2"/>
        <v>144.65788017456143</v>
      </c>
      <c r="C24" s="455">
        <f t="shared" ca="1" si="3"/>
        <v>0</v>
      </c>
      <c r="D24" s="455">
        <f t="shared" si="4"/>
        <v>0</v>
      </c>
      <c r="E24" s="455">
        <f t="shared" si="5"/>
        <v>0</v>
      </c>
      <c r="F24" s="455">
        <f t="shared" si="6"/>
        <v>0</v>
      </c>
      <c r="G24" s="455">
        <f t="shared" si="7"/>
        <v>0</v>
      </c>
      <c r="H24" s="455">
        <f t="shared" si="8"/>
        <v>0</v>
      </c>
      <c r="I24" s="455">
        <f t="shared" si="9"/>
        <v>0</v>
      </c>
      <c r="J24" s="455">
        <f t="shared" si="10"/>
        <v>0</v>
      </c>
      <c r="K24" s="455">
        <f t="shared" si="11"/>
        <v>0</v>
      </c>
      <c r="L24" s="455">
        <f t="shared" si="12"/>
        <v>0</v>
      </c>
      <c r="M24" s="455">
        <f t="shared" si="13"/>
        <v>0</v>
      </c>
      <c r="N24" s="455">
        <f t="shared" si="14"/>
        <v>0</v>
      </c>
      <c r="O24" s="455">
        <f t="shared" si="15"/>
        <v>0</v>
      </c>
      <c r="P24" s="456">
        <f t="shared" si="16"/>
        <v>0</v>
      </c>
      <c r="Q24" s="454">
        <f t="shared" ca="1" si="17"/>
        <v>144.65788017456143</v>
      </c>
    </row>
    <row r="25" spans="1:17">
      <c r="A25" s="454" t="s">
        <v>111</v>
      </c>
      <c r="B25" s="455">
        <f t="shared" ca="1" si="2"/>
        <v>2002.3619503315506</v>
      </c>
      <c r="C25" s="455">
        <f t="shared" ca="1" si="3"/>
        <v>14769.297766721495</v>
      </c>
      <c r="D25" s="455">
        <f t="shared" si="4"/>
        <v>0</v>
      </c>
      <c r="E25" s="455">
        <f t="shared" si="5"/>
        <v>79.655722901748305</v>
      </c>
      <c r="F25" s="455">
        <f t="shared" si="6"/>
        <v>8150.9261079597809</v>
      </c>
      <c r="G25" s="455">
        <f t="shared" si="7"/>
        <v>0</v>
      </c>
      <c r="H25" s="455">
        <f t="shared" si="8"/>
        <v>0</v>
      </c>
      <c r="I25" s="455">
        <f t="shared" si="9"/>
        <v>0</v>
      </c>
      <c r="J25" s="455">
        <f t="shared" si="10"/>
        <v>874.38733406808944</v>
      </c>
      <c r="K25" s="455">
        <f t="shared" si="11"/>
        <v>0</v>
      </c>
      <c r="L25" s="455">
        <f t="shared" si="12"/>
        <v>0</v>
      </c>
      <c r="M25" s="455">
        <f t="shared" si="13"/>
        <v>0</v>
      </c>
      <c r="N25" s="455">
        <f t="shared" si="14"/>
        <v>0</v>
      </c>
      <c r="O25" s="455">
        <f t="shared" si="15"/>
        <v>0</v>
      </c>
      <c r="P25" s="456">
        <f t="shared" si="16"/>
        <v>0</v>
      </c>
      <c r="Q25" s="454">
        <f t="shared" ca="1" si="17"/>
        <v>25876.628881982666</v>
      </c>
    </row>
    <row r="26" spans="1:17">
      <c r="A26" s="454" t="s">
        <v>626</v>
      </c>
      <c r="B26" s="455">
        <f t="shared" ca="1" si="2"/>
        <v>35462.690364301016</v>
      </c>
      <c r="C26" s="455">
        <f t="shared" ca="1" si="3"/>
        <v>1919.636687060023</v>
      </c>
      <c r="D26" s="455">
        <f t="shared" si="4"/>
        <v>14051.691628699418</v>
      </c>
      <c r="E26" s="455">
        <f t="shared" si="5"/>
        <v>64.4908840749722</v>
      </c>
      <c r="F26" s="455">
        <f t="shared" si="6"/>
        <v>1254.9587021204181</v>
      </c>
      <c r="G26" s="455">
        <f t="shared" si="7"/>
        <v>0</v>
      </c>
      <c r="H26" s="455">
        <f t="shared" si="8"/>
        <v>0</v>
      </c>
      <c r="I26" s="455">
        <f t="shared" si="9"/>
        <v>0</v>
      </c>
      <c r="J26" s="455">
        <f t="shared" si="10"/>
        <v>1.6925577233366609</v>
      </c>
      <c r="K26" s="455">
        <f t="shared" si="11"/>
        <v>0</v>
      </c>
      <c r="L26" s="455">
        <f t="shared" si="12"/>
        <v>0</v>
      </c>
      <c r="M26" s="455">
        <f t="shared" si="13"/>
        <v>0</v>
      </c>
      <c r="N26" s="455">
        <f t="shared" si="14"/>
        <v>0</v>
      </c>
      <c r="O26" s="455">
        <f t="shared" si="15"/>
        <v>0</v>
      </c>
      <c r="P26" s="456">
        <f t="shared" si="16"/>
        <v>0</v>
      </c>
      <c r="Q26" s="454">
        <f t="shared" ca="1" si="17"/>
        <v>52755.160823979182</v>
      </c>
    </row>
    <row r="27" spans="1:17" s="460" customFormat="1">
      <c r="A27" s="458" t="s">
        <v>552</v>
      </c>
      <c r="B27" s="778">
        <f t="shared" ca="1" si="2"/>
        <v>8.4399870101075809</v>
      </c>
      <c r="C27" s="459">
        <f t="shared" ca="1" si="3"/>
        <v>0</v>
      </c>
      <c r="D27" s="459">
        <f t="shared" si="4"/>
        <v>37.137003651954743</v>
      </c>
      <c r="E27" s="459">
        <f t="shared" si="5"/>
        <v>22.073368005898978</v>
      </c>
      <c r="F27" s="459">
        <f t="shared" si="6"/>
        <v>0</v>
      </c>
      <c r="G27" s="459">
        <f t="shared" si="7"/>
        <v>12234.209304943528</v>
      </c>
      <c r="H27" s="459">
        <f t="shared" si="8"/>
        <v>2906.1391911229289</v>
      </c>
      <c r="I27" s="459">
        <f t="shared" si="9"/>
        <v>0</v>
      </c>
      <c r="J27" s="459">
        <f t="shared" si="10"/>
        <v>0</v>
      </c>
      <c r="K27" s="459">
        <f t="shared" si="11"/>
        <v>0</v>
      </c>
      <c r="L27" s="459">
        <f t="shared" si="12"/>
        <v>0</v>
      </c>
      <c r="M27" s="459">
        <f t="shared" si="13"/>
        <v>0</v>
      </c>
      <c r="N27" s="459">
        <f t="shared" si="14"/>
        <v>0</v>
      </c>
      <c r="O27" s="459">
        <f t="shared" si="15"/>
        <v>0</v>
      </c>
      <c r="P27" s="469">
        <f t="shared" si="16"/>
        <v>0</v>
      </c>
      <c r="Q27" s="458">
        <f t="shared" ca="1" si="17"/>
        <v>15207.998854734418</v>
      </c>
    </row>
    <row r="28" spans="1:17" ht="16.5" customHeight="1">
      <c r="A28" s="454" t="s">
        <v>542</v>
      </c>
      <c r="B28" s="455">
        <f t="shared" ca="1" si="2"/>
        <v>0</v>
      </c>
      <c r="C28" s="455">
        <f t="shared" ca="1" si="3"/>
        <v>0</v>
      </c>
      <c r="D28" s="455">
        <f t="shared" si="4"/>
        <v>0</v>
      </c>
      <c r="E28" s="455">
        <f t="shared" si="5"/>
        <v>0</v>
      </c>
      <c r="F28" s="455">
        <f t="shared" si="6"/>
        <v>0</v>
      </c>
      <c r="G28" s="455">
        <f t="shared" si="7"/>
        <v>289.63116371222674</v>
      </c>
      <c r="H28" s="455">
        <f t="shared" si="8"/>
        <v>0</v>
      </c>
      <c r="I28" s="455">
        <f t="shared" si="9"/>
        <v>0</v>
      </c>
      <c r="J28" s="455">
        <f t="shared" si="10"/>
        <v>0</v>
      </c>
      <c r="K28" s="455">
        <f t="shared" si="11"/>
        <v>0</v>
      </c>
      <c r="L28" s="455">
        <f t="shared" si="12"/>
        <v>0</v>
      </c>
      <c r="M28" s="455">
        <f t="shared" si="13"/>
        <v>0</v>
      </c>
      <c r="N28" s="455">
        <f t="shared" si="14"/>
        <v>0</v>
      </c>
      <c r="O28" s="455">
        <f t="shared" si="15"/>
        <v>0</v>
      </c>
      <c r="P28" s="456">
        <f t="shared" si="16"/>
        <v>0</v>
      </c>
      <c r="Q28" s="454">
        <f t="shared" ca="1" si="17"/>
        <v>289.63116371222674</v>
      </c>
    </row>
    <row r="29" spans="1:17">
      <c r="A29" s="454" t="s">
        <v>543</v>
      </c>
      <c r="B29" s="455">
        <f t="shared" ca="1" si="2"/>
        <v>0</v>
      </c>
      <c r="C29" s="455">
        <f t="shared" ca="1" si="3"/>
        <v>0</v>
      </c>
      <c r="D29" s="455">
        <f t="shared" si="4"/>
        <v>0</v>
      </c>
      <c r="E29" s="455">
        <f t="shared" si="5"/>
        <v>0</v>
      </c>
      <c r="F29" s="455">
        <f t="shared" si="6"/>
        <v>0</v>
      </c>
      <c r="G29" s="455">
        <f t="shared" si="7"/>
        <v>0</v>
      </c>
      <c r="H29" s="455">
        <f t="shared" si="8"/>
        <v>0</v>
      </c>
      <c r="I29" s="455">
        <f t="shared" si="9"/>
        <v>0</v>
      </c>
      <c r="J29" s="455">
        <f t="shared" si="10"/>
        <v>0</v>
      </c>
      <c r="K29" s="455">
        <f t="shared" si="11"/>
        <v>0</v>
      </c>
      <c r="L29" s="455">
        <f t="shared" si="12"/>
        <v>0</v>
      </c>
      <c r="M29" s="455">
        <f t="shared" si="13"/>
        <v>0</v>
      </c>
      <c r="N29" s="455">
        <f t="shared" si="14"/>
        <v>0</v>
      </c>
      <c r="O29" s="455">
        <f t="shared" si="15"/>
        <v>0</v>
      </c>
      <c r="P29" s="456">
        <f t="shared" si="16"/>
        <v>0</v>
      </c>
      <c r="Q29" s="454">
        <f t="shared" ca="1" si="17"/>
        <v>0</v>
      </c>
    </row>
    <row r="30" spans="1:17">
      <c r="A30" s="454" t="s">
        <v>544</v>
      </c>
      <c r="B30" s="455">
        <f t="shared" ca="1" si="2"/>
        <v>0</v>
      </c>
      <c r="C30" s="455">
        <f t="shared" ca="1" si="3"/>
        <v>0</v>
      </c>
      <c r="D30" s="455">
        <f t="shared" si="4"/>
        <v>0</v>
      </c>
      <c r="E30" s="455">
        <f t="shared" si="5"/>
        <v>0</v>
      </c>
      <c r="F30" s="455">
        <f t="shared" si="6"/>
        <v>0</v>
      </c>
      <c r="G30" s="455">
        <f t="shared" si="7"/>
        <v>0</v>
      </c>
      <c r="H30" s="455">
        <f t="shared" si="8"/>
        <v>0</v>
      </c>
      <c r="I30" s="455">
        <f t="shared" si="9"/>
        <v>0</v>
      </c>
      <c r="J30" s="455">
        <f t="shared" si="10"/>
        <v>0</v>
      </c>
      <c r="K30" s="455">
        <f t="shared" si="11"/>
        <v>0</v>
      </c>
      <c r="L30" s="455">
        <f t="shared" si="12"/>
        <v>0</v>
      </c>
      <c r="M30" s="455">
        <f t="shared" si="13"/>
        <v>0</v>
      </c>
      <c r="N30" s="455">
        <f t="shared" si="14"/>
        <v>0</v>
      </c>
      <c r="O30" s="455">
        <f t="shared" si="15"/>
        <v>0</v>
      </c>
      <c r="P30" s="456">
        <f t="shared" si="16"/>
        <v>0</v>
      </c>
      <c r="Q30" s="454">
        <f t="shared" ca="1" si="17"/>
        <v>0</v>
      </c>
    </row>
    <row r="31" spans="1:17">
      <c r="A31" s="454" t="s">
        <v>545</v>
      </c>
      <c r="B31" s="455">
        <f t="shared" ca="1" si="2"/>
        <v>0</v>
      </c>
      <c r="C31" s="455">
        <f t="shared" ca="1" si="3"/>
        <v>0</v>
      </c>
      <c r="D31" s="455">
        <f t="shared" si="4"/>
        <v>0</v>
      </c>
      <c r="E31" s="455">
        <f t="shared" si="5"/>
        <v>0</v>
      </c>
      <c r="F31" s="455">
        <f t="shared" si="6"/>
        <v>0</v>
      </c>
      <c r="G31" s="455">
        <f t="shared" si="7"/>
        <v>0</v>
      </c>
      <c r="H31" s="455">
        <f t="shared" si="8"/>
        <v>0</v>
      </c>
      <c r="I31" s="455">
        <f t="shared" si="9"/>
        <v>0</v>
      </c>
      <c r="J31" s="455">
        <f t="shared" si="10"/>
        <v>0</v>
      </c>
      <c r="K31" s="455">
        <f t="shared" si="11"/>
        <v>0</v>
      </c>
      <c r="L31" s="455">
        <f t="shared" si="12"/>
        <v>0</v>
      </c>
      <c r="M31" s="455">
        <f t="shared" si="13"/>
        <v>0</v>
      </c>
      <c r="N31" s="455">
        <f t="shared" si="14"/>
        <v>0</v>
      </c>
      <c r="O31" s="455">
        <f t="shared" si="15"/>
        <v>0</v>
      </c>
      <c r="P31" s="456">
        <f t="shared" si="16"/>
        <v>0</v>
      </c>
      <c r="Q31" s="454">
        <f t="shared" ca="1" si="17"/>
        <v>0</v>
      </c>
    </row>
    <row r="32" spans="1:17">
      <c r="A32" s="454" t="s">
        <v>752</v>
      </c>
      <c r="B32" s="455">
        <f t="shared" ca="1" si="2"/>
        <v>82.643908152035948</v>
      </c>
      <c r="C32" s="455">
        <f t="shared" ca="1" si="3"/>
        <v>0</v>
      </c>
      <c r="D32" s="455">
        <f t="shared" si="4"/>
        <v>119.42832617861359</v>
      </c>
      <c r="E32" s="455">
        <f t="shared" si="5"/>
        <v>0</v>
      </c>
      <c r="F32" s="455">
        <f t="shared" si="6"/>
        <v>0</v>
      </c>
      <c r="G32" s="455">
        <f t="shared" si="7"/>
        <v>0</v>
      </c>
      <c r="H32" s="455">
        <f t="shared" si="8"/>
        <v>0</v>
      </c>
      <c r="I32" s="455">
        <f t="shared" si="9"/>
        <v>0</v>
      </c>
      <c r="J32" s="455">
        <f t="shared" si="10"/>
        <v>0</v>
      </c>
      <c r="K32" s="455">
        <f t="shared" si="11"/>
        <v>0</v>
      </c>
      <c r="L32" s="455">
        <f t="shared" si="12"/>
        <v>0</v>
      </c>
      <c r="M32" s="455">
        <f t="shared" si="13"/>
        <v>0</v>
      </c>
      <c r="N32" s="455">
        <f t="shared" si="14"/>
        <v>0</v>
      </c>
      <c r="O32" s="455">
        <f t="shared" si="15"/>
        <v>0</v>
      </c>
      <c r="P32" s="456">
        <f t="shared" si="16"/>
        <v>0</v>
      </c>
      <c r="Q32" s="454">
        <f t="shared" ref="Q32" ca="1" si="18">SUM(B32:P32)</f>
        <v>202.07223433064954</v>
      </c>
    </row>
    <row r="33" spans="1:17" s="466" customFormat="1">
      <c r="A33" s="464" t="s">
        <v>546</v>
      </c>
      <c r="B33" s="465">
        <f ca="1">SUM(B22:B32)</f>
        <v>43803.850941219731</v>
      </c>
      <c r="C33" s="465">
        <f t="shared" ref="C33:Q33" ca="1" si="19">SUM(C22:C32)</f>
        <v>16688.934453781516</v>
      </c>
      <c r="D33" s="465">
        <f t="shared" ca="1" si="19"/>
        <v>28121.521493982596</v>
      </c>
      <c r="E33" s="465">
        <f t="shared" si="19"/>
        <v>3592.8207638130207</v>
      </c>
      <c r="F33" s="465">
        <f t="shared" ca="1" si="19"/>
        <v>13440.45834159779</v>
      </c>
      <c r="G33" s="465">
        <f t="shared" si="19"/>
        <v>12523.840468655755</v>
      </c>
      <c r="H33" s="465">
        <f t="shared" si="19"/>
        <v>2906.1391911229289</v>
      </c>
      <c r="I33" s="465">
        <f t="shared" si="19"/>
        <v>0</v>
      </c>
      <c r="J33" s="465">
        <f t="shared" si="19"/>
        <v>1054.0646227269774</v>
      </c>
      <c r="K33" s="465">
        <f t="shared" si="19"/>
        <v>0</v>
      </c>
      <c r="L33" s="465">
        <f t="shared" ca="1" si="19"/>
        <v>0</v>
      </c>
      <c r="M33" s="465">
        <f t="shared" si="19"/>
        <v>0</v>
      </c>
      <c r="N33" s="465">
        <f t="shared" ca="1" si="19"/>
        <v>0</v>
      </c>
      <c r="O33" s="465">
        <f t="shared" si="19"/>
        <v>0</v>
      </c>
      <c r="P33" s="465">
        <f t="shared" si="19"/>
        <v>0</v>
      </c>
      <c r="Q33" s="465">
        <f t="shared" ca="1" si="19"/>
        <v>122131.63027690034</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53" customWidth="1"/>
    <col min="2" max="8" width="26.28515625" style="453" customWidth="1"/>
    <col min="9" max="9" width="32" style="453" customWidth="1"/>
    <col min="10" max="11" width="26.28515625" style="453" customWidth="1"/>
    <col min="12" max="12" width="23.7109375" style="453" customWidth="1"/>
    <col min="13" max="15" width="26.28515625" style="453" customWidth="1"/>
    <col min="16" max="16" width="42" style="453" customWidth="1"/>
    <col min="17" max="17" width="26.28515625" style="453" customWidth="1"/>
    <col min="18" max="18" width="9.5703125" style="453" bestFit="1" customWidth="1"/>
    <col min="19" max="16384" width="9.140625" style="453"/>
  </cols>
  <sheetData>
    <row r="1" spans="1:17" s="975" customFormat="1" ht="21">
      <c r="A1" s="1183" t="s">
        <v>541</v>
      </c>
      <c r="B1" s="1184" t="s">
        <v>721</v>
      </c>
      <c r="C1" s="1184"/>
      <c r="D1" s="1184"/>
      <c r="E1" s="1184"/>
      <c r="F1" s="1184"/>
      <c r="G1" s="1184"/>
      <c r="H1" s="1184"/>
      <c r="I1" s="1184"/>
      <c r="J1" s="1184"/>
      <c r="K1" s="1184"/>
      <c r="L1" s="1184"/>
      <c r="M1" s="1184"/>
      <c r="N1" s="1184"/>
      <c r="O1" s="1184"/>
      <c r="P1" s="1185"/>
      <c r="Q1" s="974"/>
    </row>
    <row r="2" spans="1:17" s="975" customFormat="1" ht="21">
      <c r="A2" s="1183"/>
      <c r="B2" s="1186" t="s">
        <v>20</v>
      </c>
      <c r="C2" s="1188" t="s">
        <v>195</v>
      </c>
      <c r="D2" s="1190" t="s">
        <v>196</v>
      </c>
      <c r="E2" s="1191"/>
      <c r="F2" s="1191"/>
      <c r="G2" s="1191"/>
      <c r="H2" s="1191"/>
      <c r="I2" s="1191"/>
      <c r="J2" s="1191"/>
      <c r="K2" s="1187"/>
      <c r="L2" s="1190" t="s">
        <v>197</v>
      </c>
      <c r="M2" s="1191"/>
      <c r="N2" s="1191"/>
      <c r="O2" s="1191"/>
      <c r="P2" s="1187"/>
      <c r="Q2" s="974"/>
    </row>
    <row r="3" spans="1:17" s="975" customFormat="1" ht="42">
      <c r="A3" s="1183"/>
      <c r="B3" s="1187"/>
      <c r="C3" s="1189"/>
      <c r="D3" s="976" t="s">
        <v>198</v>
      </c>
      <c r="E3" s="976" t="s">
        <v>199</v>
      </c>
      <c r="F3" s="976" t="s">
        <v>200</v>
      </c>
      <c r="G3" s="976" t="s">
        <v>201</v>
      </c>
      <c r="H3" s="976" t="s">
        <v>119</v>
      </c>
      <c r="I3" s="976" t="s">
        <v>202</v>
      </c>
      <c r="J3" s="976" t="s">
        <v>203</v>
      </c>
      <c r="K3" s="976" t="s">
        <v>204</v>
      </c>
      <c r="L3" s="976" t="s">
        <v>205</v>
      </c>
      <c r="M3" s="976" t="s">
        <v>206</v>
      </c>
      <c r="N3" s="976" t="s">
        <v>207</v>
      </c>
      <c r="O3" s="976" t="s">
        <v>208</v>
      </c>
      <c r="P3" s="976" t="s">
        <v>209</v>
      </c>
      <c r="Q3" s="974" t="s">
        <v>115</v>
      </c>
    </row>
    <row r="4" spans="1:17" ht="195">
      <c r="A4" s="977" t="s">
        <v>154</v>
      </c>
      <c r="B4" s="978" t="s">
        <v>722</v>
      </c>
      <c r="C4" s="979" t="s">
        <v>723</v>
      </c>
      <c r="D4" s="980" t="s">
        <v>724</v>
      </c>
      <c r="E4" s="981" t="s">
        <v>725</v>
      </c>
      <c r="F4" s="981" t="s">
        <v>726</v>
      </c>
      <c r="G4" s="982" t="s">
        <v>727</v>
      </c>
      <c r="H4" s="982" t="s">
        <v>727</v>
      </c>
      <c r="I4" s="982" t="s">
        <v>727</v>
      </c>
      <c r="J4" s="981" t="s">
        <v>728</v>
      </c>
      <c r="K4" s="982" t="s">
        <v>727</v>
      </c>
      <c r="L4" s="982" t="s">
        <v>727</v>
      </c>
      <c r="M4" s="982" t="s">
        <v>727</v>
      </c>
      <c r="N4" s="981" t="s">
        <v>729</v>
      </c>
      <c r="O4" s="983" t="s">
        <v>730</v>
      </c>
      <c r="P4" s="984" t="s">
        <v>731</v>
      </c>
      <c r="Q4" s="985"/>
    </row>
    <row r="5" spans="1:17" ht="150">
      <c r="A5" s="986" t="s">
        <v>155</v>
      </c>
      <c r="B5" s="987" t="s">
        <v>732</v>
      </c>
      <c r="C5" s="988" t="s">
        <v>733</v>
      </c>
      <c r="D5" s="988" t="s">
        <v>734</v>
      </c>
      <c r="E5" s="989" t="s">
        <v>735</v>
      </c>
      <c r="F5" s="989" t="s">
        <v>736</v>
      </c>
      <c r="G5" s="990" t="s">
        <v>727</v>
      </c>
      <c r="H5" s="990" t="s">
        <v>727</v>
      </c>
      <c r="I5" s="990" t="s">
        <v>727</v>
      </c>
      <c r="J5" s="989" t="s">
        <v>737</v>
      </c>
      <c r="K5" s="987" t="s">
        <v>738</v>
      </c>
      <c r="L5" s="990" t="s">
        <v>727</v>
      </c>
      <c r="M5" s="990" t="s">
        <v>727</v>
      </c>
      <c r="N5" s="989" t="s">
        <v>739</v>
      </c>
      <c r="O5" s="991" t="s">
        <v>730</v>
      </c>
      <c r="P5" s="992" t="s">
        <v>731</v>
      </c>
      <c r="Q5" s="993"/>
    </row>
    <row r="6" spans="1:17" ht="30">
      <c r="A6" s="986" t="s">
        <v>193</v>
      </c>
      <c r="B6" s="994" t="s">
        <v>740</v>
      </c>
      <c r="C6" s="995" t="s">
        <v>741</v>
      </c>
      <c r="D6" s="990" t="s">
        <v>741</v>
      </c>
      <c r="E6" s="990" t="s">
        <v>741</v>
      </c>
      <c r="F6" s="990" t="s">
        <v>741</v>
      </c>
      <c r="G6" s="990" t="s">
        <v>741</v>
      </c>
      <c r="H6" s="990" t="s">
        <v>741</v>
      </c>
      <c r="I6" s="990" t="s">
        <v>741</v>
      </c>
      <c r="J6" s="990" t="s">
        <v>741</v>
      </c>
      <c r="K6" s="990" t="s">
        <v>741</v>
      </c>
      <c r="L6" s="990" t="s">
        <v>741</v>
      </c>
      <c r="M6" s="990" t="s">
        <v>741</v>
      </c>
      <c r="N6" s="990" t="s">
        <v>741</v>
      </c>
      <c r="O6" s="996" t="s">
        <v>741</v>
      </c>
      <c r="P6" s="997" t="s">
        <v>741</v>
      </c>
      <c r="Q6" s="998"/>
    </row>
    <row r="7" spans="1:17" ht="150">
      <c r="A7" s="986" t="s">
        <v>111</v>
      </c>
      <c r="B7" s="994" t="s">
        <v>740</v>
      </c>
      <c r="C7" s="988" t="s">
        <v>733</v>
      </c>
      <c r="D7" s="988" t="s">
        <v>734</v>
      </c>
      <c r="E7" s="989" t="s">
        <v>735</v>
      </c>
      <c r="F7" s="989" t="s">
        <v>736</v>
      </c>
      <c r="G7" s="990" t="s">
        <v>727</v>
      </c>
      <c r="H7" s="990" t="s">
        <v>727</v>
      </c>
      <c r="I7" s="990" t="s">
        <v>727</v>
      </c>
      <c r="J7" s="989" t="s">
        <v>737</v>
      </c>
      <c r="K7" s="990" t="s">
        <v>727</v>
      </c>
      <c r="L7" s="990" t="s">
        <v>727</v>
      </c>
      <c r="M7" s="990" t="s">
        <v>727</v>
      </c>
      <c r="N7" s="999" t="s">
        <v>727</v>
      </c>
      <c r="O7" s="995" t="s">
        <v>727</v>
      </c>
      <c r="P7" s="1000" t="s">
        <v>727</v>
      </c>
      <c r="Q7" s="993"/>
    </row>
    <row r="8" spans="1:17" ht="270">
      <c r="A8" s="986" t="s">
        <v>626</v>
      </c>
      <c r="B8" s="987" t="s">
        <v>742</v>
      </c>
      <c r="C8" s="988" t="s">
        <v>733</v>
      </c>
      <c r="D8" s="988" t="s">
        <v>734</v>
      </c>
      <c r="E8" s="989" t="s">
        <v>735</v>
      </c>
      <c r="F8" s="989" t="s">
        <v>736</v>
      </c>
      <c r="G8" s="990" t="s">
        <v>727</v>
      </c>
      <c r="H8" s="990" t="s">
        <v>727</v>
      </c>
      <c r="I8" s="990" t="s">
        <v>727</v>
      </c>
      <c r="J8" s="989" t="s">
        <v>737</v>
      </c>
      <c r="K8" s="987" t="s">
        <v>738</v>
      </c>
      <c r="L8" s="990" t="s">
        <v>727</v>
      </c>
      <c r="M8" s="990" t="s">
        <v>727</v>
      </c>
      <c r="N8" s="989" t="s">
        <v>739</v>
      </c>
      <c r="O8" s="991" t="s">
        <v>730</v>
      </c>
      <c r="P8" s="992" t="s">
        <v>731</v>
      </c>
      <c r="Q8" s="993"/>
    </row>
    <row r="9" spans="1:17" s="460" customFormat="1" ht="390">
      <c r="A9" s="1001" t="s">
        <v>552</v>
      </c>
      <c r="B9" s="989" t="s">
        <v>743</v>
      </c>
      <c r="C9" s="996" t="s">
        <v>741</v>
      </c>
      <c r="D9" s="989" t="s">
        <v>744</v>
      </c>
      <c r="E9" s="989" t="s">
        <v>745</v>
      </c>
      <c r="F9" s="990" t="s">
        <v>741</v>
      </c>
      <c r="G9" s="989" t="s">
        <v>746</v>
      </c>
      <c r="H9" s="989" t="s">
        <v>747</v>
      </c>
      <c r="I9" s="990" t="s">
        <v>741</v>
      </c>
      <c r="J9" s="990" t="s">
        <v>741</v>
      </c>
      <c r="K9" s="990" t="s">
        <v>741</v>
      </c>
      <c r="L9" s="990" t="s">
        <v>741</v>
      </c>
      <c r="M9" s="989" t="s">
        <v>743</v>
      </c>
      <c r="N9" s="990" t="s">
        <v>741</v>
      </c>
      <c r="O9" s="990" t="s">
        <v>741</v>
      </c>
      <c r="P9" s="1002" t="s">
        <v>741</v>
      </c>
      <c r="Q9" s="1003"/>
    </row>
    <row r="10" spans="1:17" ht="360">
      <c r="A10" s="986" t="s">
        <v>542</v>
      </c>
      <c r="B10" s="987" t="s">
        <v>748</v>
      </c>
      <c r="C10" s="996" t="s">
        <v>741</v>
      </c>
      <c r="D10" s="996" t="s">
        <v>741</v>
      </c>
      <c r="E10" s="996" t="s">
        <v>741</v>
      </c>
      <c r="F10" s="990" t="s">
        <v>741</v>
      </c>
      <c r="G10" s="987" t="s">
        <v>749</v>
      </c>
      <c r="H10" s="990" t="s">
        <v>741</v>
      </c>
      <c r="I10" s="990" t="s">
        <v>741</v>
      </c>
      <c r="J10" s="990" t="s">
        <v>741</v>
      </c>
      <c r="K10" s="990" t="s">
        <v>741</v>
      </c>
      <c r="L10" s="990" t="s">
        <v>741</v>
      </c>
      <c r="M10" s="987" t="s">
        <v>750</v>
      </c>
      <c r="N10" s="990" t="s">
        <v>741</v>
      </c>
      <c r="O10" s="990" t="s">
        <v>741</v>
      </c>
      <c r="P10" s="1002" t="s">
        <v>741</v>
      </c>
      <c r="Q10" s="993"/>
    </row>
    <row r="11" spans="1:17" ht="21">
      <c r="A11" s="986" t="s">
        <v>543</v>
      </c>
      <c r="B11" s="1004" t="s">
        <v>751</v>
      </c>
      <c r="C11" s="1004" t="s">
        <v>751</v>
      </c>
      <c r="D11" s="1004" t="s">
        <v>751</v>
      </c>
      <c r="E11" s="1004" t="s">
        <v>751</v>
      </c>
      <c r="F11" s="1004" t="s">
        <v>751</v>
      </c>
      <c r="G11" s="1004" t="s">
        <v>751</v>
      </c>
      <c r="H11" s="1004" t="s">
        <v>751</v>
      </c>
      <c r="I11" s="1004" t="s">
        <v>751</v>
      </c>
      <c r="J11" s="1004" t="s">
        <v>751</v>
      </c>
      <c r="K11" s="1004" t="s">
        <v>751</v>
      </c>
      <c r="L11" s="1004" t="s">
        <v>751</v>
      </c>
      <c r="M11" s="1004" t="s">
        <v>751</v>
      </c>
      <c r="N11" s="1004" t="s">
        <v>751</v>
      </c>
      <c r="O11" s="1004" t="s">
        <v>751</v>
      </c>
      <c r="P11" s="1005" t="s">
        <v>751</v>
      </c>
      <c r="Q11" s="1006"/>
    </row>
    <row r="12" spans="1:17" ht="21">
      <c r="A12" s="986" t="s">
        <v>544</v>
      </c>
      <c r="B12" s="1004" t="s">
        <v>751</v>
      </c>
      <c r="C12" s="1004" t="s">
        <v>741</v>
      </c>
      <c r="D12" s="1004" t="s">
        <v>741</v>
      </c>
      <c r="E12" s="1004" t="s">
        <v>741</v>
      </c>
      <c r="F12" s="1004" t="s">
        <v>741</v>
      </c>
      <c r="G12" s="1004" t="s">
        <v>741</v>
      </c>
      <c r="H12" s="1004" t="s">
        <v>741</v>
      </c>
      <c r="I12" s="1004" t="s">
        <v>741</v>
      </c>
      <c r="J12" s="1004" t="s">
        <v>741</v>
      </c>
      <c r="K12" s="1004" t="s">
        <v>741</v>
      </c>
      <c r="L12" s="1004" t="s">
        <v>741</v>
      </c>
      <c r="M12" s="1004" t="s">
        <v>741</v>
      </c>
      <c r="N12" s="1004" t="s">
        <v>741</v>
      </c>
      <c r="O12" s="1004" t="s">
        <v>741</v>
      </c>
      <c r="P12" s="1007" t="s">
        <v>741</v>
      </c>
      <c r="Q12" s="456"/>
    </row>
    <row r="13" spans="1:17" ht="21">
      <c r="A13" s="986" t="s">
        <v>545</v>
      </c>
      <c r="B13" s="1004" t="s">
        <v>751</v>
      </c>
      <c r="C13" s="1004" t="s">
        <v>741</v>
      </c>
      <c r="D13" s="1004" t="s">
        <v>751</v>
      </c>
      <c r="E13" s="1004" t="s">
        <v>751</v>
      </c>
      <c r="F13" s="1004" t="s">
        <v>741</v>
      </c>
      <c r="G13" s="1004" t="s">
        <v>751</v>
      </c>
      <c r="H13" s="1004" t="s">
        <v>751</v>
      </c>
      <c r="I13" s="1004" t="s">
        <v>741</v>
      </c>
      <c r="J13" s="1004" t="s">
        <v>741</v>
      </c>
      <c r="K13" s="1004" t="s">
        <v>741</v>
      </c>
      <c r="L13" s="1004" t="s">
        <v>741</v>
      </c>
      <c r="M13" s="1004" t="s">
        <v>751</v>
      </c>
      <c r="N13" s="1004" t="s">
        <v>741</v>
      </c>
      <c r="O13" s="1004" t="s">
        <v>741</v>
      </c>
      <c r="P13" s="1007" t="s">
        <v>741</v>
      </c>
      <c r="Q13" s="456"/>
    </row>
    <row r="14" spans="1:17" ht="30">
      <c r="A14" s="1008" t="s">
        <v>752</v>
      </c>
      <c r="B14" s="994" t="s">
        <v>740</v>
      </c>
      <c r="C14" s="1004" t="s">
        <v>741</v>
      </c>
      <c r="D14" s="994" t="s">
        <v>740</v>
      </c>
      <c r="E14" s="1004" t="s">
        <v>741</v>
      </c>
      <c r="F14" s="1004" t="s">
        <v>741</v>
      </c>
      <c r="G14" s="1004" t="s">
        <v>741</v>
      </c>
      <c r="H14" s="1004" t="s">
        <v>741</v>
      </c>
      <c r="I14" s="1004" t="s">
        <v>741</v>
      </c>
      <c r="J14" s="1004" t="s">
        <v>741</v>
      </c>
      <c r="K14" s="1004" t="s">
        <v>741</v>
      </c>
      <c r="L14" s="1004" t="s">
        <v>741</v>
      </c>
      <c r="M14" s="1004" t="s">
        <v>741</v>
      </c>
      <c r="N14" s="1004" t="s">
        <v>741</v>
      </c>
      <c r="O14" s="1004" t="s">
        <v>741</v>
      </c>
      <c r="P14" s="1005" t="s">
        <v>741</v>
      </c>
      <c r="Q14" s="1009"/>
    </row>
    <row r="15" spans="1:17" s="466" customFormat="1" ht="21">
      <c r="A15" s="1010" t="s">
        <v>546</v>
      </c>
      <c r="B15" s="465"/>
      <c r="C15" s="465"/>
      <c r="D15" s="465"/>
      <c r="E15" s="465"/>
      <c r="F15" s="465"/>
      <c r="G15" s="465"/>
      <c r="H15" s="465"/>
      <c r="I15" s="465"/>
      <c r="J15" s="465"/>
      <c r="K15" s="465"/>
      <c r="L15" s="465"/>
      <c r="M15" s="1011"/>
      <c r="N15" s="465"/>
      <c r="O15" s="465"/>
      <c r="P15" s="1012"/>
      <c r="Q15" s="1013"/>
    </row>
    <row r="16" spans="1:17">
      <c r="M16" s="1014"/>
    </row>
    <row r="17" spans="1:4">
      <c r="B17" s="1015">
        <v>1</v>
      </c>
      <c r="C17" s="1016">
        <v>2</v>
      </c>
      <c r="D17" s="1017">
        <v>3</v>
      </c>
    </row>
    <row r="18" spans="1:4" ht="252">
      <c r="A18" s="1018" t="s">
        <v>753</v>
      </c>
      <c r="B18" s="1019" t="s">
        <v>754</v>
      </c>
      <c r="C18" s="1020" t="s">
        <v>755</v>
      </c>
      <c r="D18" s="1021" t="s">
        <v>756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2" t="s">
        <v>240</v>
      </c>
      <c r="B1" s="1193" t="s">
        <v>350</v>
      </c>
      <c r="C1" s="1193"/>
      <c r="D1" s="1194" t="s">
        <v>351</v>
      </c>
      <c r="E1" s="1194"/>
      <c r="F1" s="1194"/>
      <c r="G1" s="1194"/>
      <c r="H1" s="1194"/>
      <c r="I1" s="1194"/>
      <c r="J1" s="1194"/>
      <c r="K1" s="1194"/>
      <c r="L1" s="1194"/>
      <c r="M1" s="1194"/>
      <c r="N1" s="1194"/>
      <c r="O1" s="1194"/>
      <c r="P1" s="1193" t="s">
        <v>758</v>
      </c>
    </row>
    <row r="2" spans="1:16" ht="60">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c r="A4" s="1030" t="s">
        <v>248</v>
      </c>
      <c r="B4" s="1026">
        <f>'SEAP template'!B72</f>
        <v>0</v>
      </c>
      <c r="C4" s="1026"/>
      <c r="D4" s="1026"/>
      <c r="E4" s="1026"/>
      <c r="F4" s="1026"/>
      <c r="G4" s="1026"/>
      <c r="H4" s="1026"/>
      <c r="I4" s="1026"/>
      <c r="J4" s="1026"/>
      <c r="K4" s="1026"/>
      <c r="L4" s="1026"/>
      <c r="M4" s="1026"/>
      <c r="N4" s="1026"/>
      <c r="O4" s="1026"/>
      <c r="P4" s="1027">
        <f>'SEAP template'!Q72</f>
        <v>0</v>
      </c>
    </row>
    <row r="5" spans="1:16">
      <c r="A5" s="1031" t="s">
        <v>249</v>
      </c>
      <c r="B5" s="1026">
        <f>'SEAP template'!B73</f>
        <v>0</v>
      </c>
      <c r="C5" s="1026"/>
      <c r="D5" s="1026"/>
      <c r="E5" s="1026"/>
      <c r="F5" s="1026"/>
      <c r="G5" s="1026"/>
      <c r="H5" s="1026"/>
      <c r="I5" s="1026"/>
      <c r="J5" s="1026"/>
      <c r="K5" s="1026"/>
      <c r="L5" s="1026"/>
      <c r="M5" s="1026"/>
      <c r="N5" s="1026"/>
      <c r="O5" s="1026"/>
      <c r="P5" s="1027">
        <f>'SEAP template'!Q73</f>
        <v>0</v>
      </c>
    </row>
    <row r="6" spans="1:16">
      <c r="A6" s="1031" t="s">
        <v>250</v>
      </c>
      <c r="B6" s="1026">
        <f>'SEAP template'!B74</f>
        <v>10027.356303736373</v>
      </c>
      <c r="C6" s="1026"/>
      <c r="D6" s="1026"/>
      <c r="E6" s="1026"/>
      <c r="F6" s="1026"/>
      <c r="G6" s="1026"/>
      <c r="H6" s="1026"/>
      <c r="I6" s="1026"/>
      <c r="J6" s="1026"/>
      <c r="K6" s="1026"/>
      <c r="L6" s="1026"/>
      <c r="M6" s="1026"/>
      <c r="N6" s="1026"/>
      <c r="O6" s="1026"/>
      <c r="P6" s="1027">
        <f>'SEAP template'!Q74</f>
        <v>0</v>
      </c>
    </row>
    <row r="7" spans="1:16">
      <c r="A7" s="1031" t="s">
        <v>717</v>
      </c>
      <c r="B7" s="1026">
        <f>'SEAP template'!B75</f>
        <v>0</v>
      </c>
      <c r="C7" s="1026"/>
      <c r="D7" s="1026"/>
      <c r="E7" s="1026"/>
      <c r="F7" s="1026"/>
      <c r="G7" s="1026"/>
      <c r="H7" s="1026"/>
      <c r="I7" s="1026"/>
      <c r="J7" s="1026"/>
      <c r="K7" s="1026"/>
      <c r="L7" s="1026"/>
      <c r="M7" s="1026"/>
      <c r="N7" s="1026"/>
      <c r="O7" s="1026"/>
      <c r="P7" s="1027">
        <f>'SEAP template'!Q75</f>
        <v>0</v>
      </c>
    </row>
    <row r="8" spans="1:16">
      <c r="A8" s="1030" t="s">
        <v>251</v>
      </c>
      <c r="B8" s="1026">
        <f>'SEAP template'!B76</f>
        <v>1309.5</v>
      </c>
      <c r="C8" s="1026">
        <f>'SEAP template'!C76</f>
        <v>49158</v>
      </c>
      <c r="D8" s="1026">
        <f>'SEAP template'!D76</f>
        <v>57832.941176470595</v>
      </c>
      <c r="E8" s="1026">
        <f>'SEAP template'!E76</f>
        <v>0</v>
      </c>
      <c r="F8" s="1026">
        <f>'SEAP template'!F76</f>
        <v>0</v>
      </c>
      <c r="G8" s="1026">
        <f>'SEAP template'!G76</f>
        <v>0</v>
      </c>
      <c r="H8" s="1026">
        <f>'SEAP template'!H76</f>
        <v>0</v>
      </c>
      <c r="I8" s="1026">
        <f>'SEAP template'!I76</f>
        <v>0</v>
      </c>
      <c r="J8" s="1026">
        <f>'SEAP template'!J76</f>
        <v>1540.5882352941178</v>
      </c>
      <c r="K8" s="1026">
        <f>'SEAP template'!K76</f>
        <v>0</v>
      </c>
      <c r="L8" s="1026">
        <f>'SEAP template'!L76</f>
        <v>0</v>
      </c>
      <c r="M8" s="1026">
        <f>'SEAP template'!M76</f>
        <v>0</v>
      </c>
      <c r="N8" s="1026">
        <f>'SEAP template'!N76</f>
        <v>0</v>
      </c>
      <c r="O8" s="1026">
        <f>'SEAP template'!O76</f>
        <v>0</v>
      </c>
      <c r="P8" s="1027">
        <f>'SEAP template'!Q76</f>
        <v>11682.25411764706</v>
      </c>
    </row>
    <row r="9" spans="1:16">
      <c r="A9" s="1032" t="s">
        <v>761</v>
      </c>
      <c r="B9" s="1026">
        <f>'SEAP template'!B77</f>
        <v>0</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0</v>
      </c>
      <c r="K9" s="1026">
        <f>'SEAP template'!K77</f>
        <v>0</v>
      </c>
      <c r="L9" s="1026">
        <f>'SEAP template'!L77</f>
        <v>0</v>
      </c>
      <c r="M9" s="1026">
        <f>'SEAP template'!M77</f>
        <v>0</v>
      </c>
      <c r="N9" s="1026">
        <f>'SEAP template'!N77</f>
        <v>0</v>
      </c>
      <c r="O9" s="1026">
        <f>'SEAP template'!O77</f>
        <v>0</v>
      </c>
      <c r="P9" s="1027">
        <f>'SEAP template'!Q77</f>
        <v>0</v>
      </c>
    </row>
    <row r="10" spans="1:16">
      <c r="A10" s="1031" t="s">
        <v>115</v>
      </c>
      <c r="B10" s="1028">
        <f>SUM(B4:B9)</f>
        <v>11336.856303736373</v>
      </c>
      <c r="C10" s="1028">
        <f>SUM(C4:C9)</f>
        <v>49158</v>
      </c>
      <c r="D10" s="1028">
        <f t="shared" ref="D10:H10" si="0">SUM(D8:D9)</f>
        <v>57832.941176470595</v>
      </c>
      <c r="E10" s="1028">
        <f t="shared" si="0"/>
        <v>0</v>
      </c>
      <c r="F10" s="1028">
        <f t="shared" si="0"/>
        <v>0</v>
      </c>
      <c r="G10" s="1028">
        <f t="shared" si="0"/>
        <v>0</v>
      </c>
      <c r="H10" s="1028">
        <f t="shared" si="0"/>
        <v>0</v>
      </c>
      <c r="I10" s="1028">
        <f>SUM(I8:I9)</f>
        <v>0</v>
      </c>
      <c r="J10" s="1028">
        <f>SUM(J8:J9)</f>
        <v>1540.5882352941178</v>
      </c>
      <c r="K10" s="1028">
        <f t="shared" ref="K10:L10" si="1">SUM(K8:K9)</f>
        <v>0</v>
      </c>
      <c r="L10" s="1028">
        <f t="shared" si="1"/>
        <v>0</v>
      </c>
      <c r="M10" s="1028">
        <f>SUM(M8:M9)</f>
        <v>0</v>
      </c>
      <c r="N10" s="1028">
        <f>SUM(N8:N9)</f>
        <v>0</v>
      </c>
      <c r="O10" s="1028">
        <f>SUM(O8:O9)</f>
        <v>0</v>
      </c>
      <c r="P10" s="1028">
        <f>SUM(P8:P9)</f>
        <v>11682.25411764706</v>
      </c>
    </row>
    <row r="11" spans="1:16">
      <c r="A11" s="897"/>
      <c r="B11" s="897"/>
      <c r="C11" s="897"/>
      <c r="D11" s="897"/>
      <c r="E11" s="897"/>
      <c r="F11" s="897"/>
      <c r="G11" s="897"/>
      <c r="H11" s="897"/>
      <c r="I11" s="897"/>
      <c r="J11" s="897"/>
      <c r="K11" s="897"/>
      <c r="L11" s="897"/>
      <c r="M11" s="897"/>
      <c r="N11" s="897"/>
      <c r="O11" s="897"/>
      <c r="P11" s="897"/>
    </row>
    <row r="12" spans="1:16">
      <c r="A12" s="467" t="s">
        <v>772</v>
      </c>
      <c r="B12" s="784" t="s">
        <v>771</v>
      </c>
      <c r="C12" s="784">
        <f ca="1">'EF ele_warmte'!B12</f>
        <v>0.21280384155040658</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7.25" customHeight="1">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c r="A17" s="1033" t="s">
        <v>251</v>
      </c>
      <c r="B17" s="1029">
        <f>'SEAP template'!B87</f>
        <v>1870.7142857142853</v>
      </c>
      <c r="C17" s="1029">
        <f>'SEAP template'!C87</f>
        <v>70225.714285714275</v>
      </c>
      <c r="D17" s="1027">
        <f>'SEAP template'!D87</f>
        <v>82618.487394957992</v>
      </c>
      <c r="E17" s="1027">
        <f>'SEAP template'!E87</f>
        <v>0</v>
      </c>
      <c r="F17" s="1027">
        <f>'SEAP template'!F87</f>
        <v>0</v>
      </c>
      <c r="G17" s="1027">
        <f>'SEAP template'!G87</f>
        <v>0</v>
      </c>
      <c r="H17" s="1027">
        <f>'SEAP template'!H87</f>
        <v>0</v>
      </c>
      <c r="I17" s="1027">
        <f>'SEAP template'!I87</f>
        <v>0</v>
      </c>
      <c r="J17" s="1027">
        <f>'SEAP template'!J87</f>
        <v>2200.840336134454</v>
      </c>
      <c r="K17" s="1027">
        <f>'SEAP template'!K87</f>
        <v>0</v>
      </c>
      <c r="L17" s="1027">
        <f>'SEAP template'!L87</f>
        <v>0</v>
      </c>
      <c r="M17" s="1027">
        <f>'SEAP template'!M87</f>
        <v>0</v>
      </c>
      <c r="N17" s="1027">
        <f>'SEAP template'!N87</f>
        <v>0</v>
      </c>
      <c r="O17" s="1027">
        <f>'SEAP template'!O87</f>
        <v>0</v>
      </c>
      <c r="P17" s="1027">
        <f>'SEAP template'!Q87</f>
        <v>16688.934453781516</v>
      </c>
    </row>
    <row r="18" spans="1:16">
      <c r="A18" s="1034" t="s">
        <v>257</v>
      </c>
      <c r="B18" s="1029">
        <f>'SEAP template'!B88</f>
        <v>0</v>
      </c>
      <c r="C18" s="1029">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32" t="s">
        <v>762</v>
      </c>
      <c r="B19" s="1029">
        <f>'SEAP template'!B89</f>
        <v>0</v>
      </c>
      <c r="C19" s="1029">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5" t="s">
        <v>115</v>
      </c>
      <c r="B20" s="1028">
        <f>SUM(B17:B19)</f>
        <v>1870.7142857142853</v>
      </c>
      <c r="C20" s="1028">
        <f>SUM(C17:C19)</f>
        <v>70225.714285714275</v>
      </c>
      <c r="D20" s="1028">
        <f t="shared" ref="D20:H20" si="2">SUM(D17:D19)</f>
        <v>82618.487394957992</v>
      </c>
      <c r="E20" s="1028">
        <f t="shared" si="2"/>
        <v>0</v>
      </c>
      <c r="F20" s="1028">
        <f t="shared" si="2"/>
        <v>0</v>
      </c>
      <c r="G20" s="1028">
        <f t="shared" si="2"/>
        <v>0</v>
      </c>
      <c r="H20" s="1028">
        <f t="shared" si="2"/>
        <v>0</v>
      </c>
      <c r="I20" s="1028">
        <f>SUM(I17:I19)</f>
        <v>0</v>
      </c>
      <c r="J20" s="1028">
        <f>SUM(J17:J19)</f>
        <v>2200.840336134454</v>
      </c>
      <c r="K20" s="1028">
        <f t="shared" ref="K20:L20" si="3">SUM(K17:K19)</f>
        <v>0</v>
      </c>
      <c r="L20" s="1028">
        <f t="shared" si="3"/>
        <v>0</v>
      </c>
      <c r="M20" s="1028">
        <f>SUM(M17:M19)</f>
        <v>0</v>
      </c>
      <c r="N20" s="1028">
        <f>SUM(N17:N19)</f>
        <v>0</v>
      </c>
      <c r="O20" s="1028">
        <f>SUM(O17:O19)</f>
        <v>0</v>
      </c>
      <c r="P20" s="1028">
        <f>SUM(P17:P19)</f>
        <v>16688.934453781516</v>
      </c>
    </row>
    <row r="21" spans="1:16">
      <c r="B21" s="890"/>
    </row>
    <row r="22" spans="1:16">
      <c r="A22" s="467" t="s">
        <v>773</v>
      </c>
      <c r="B22" s="784" t="s">
        <v>771</v>
      </c>
      <c r="C22" s="784">
        <f ca="1">'EF ele_warmte'!B22</f>
        <v>0.23148073745771164</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2" t="s">
        <v>240</v>
      </c>
      <c r="B1" s="1193" t="s">
        <v>350</v>
      </c>
      <c r="C1" s="1193"/>
      <c r="D1" s="1194" t="s">
        <v>351</v>
      </c>
      <c r="E1" s="1194"/>
      <c r="F1" s="1194"/>
      <c r="G1" s="1194"/>
      <c r="H1" s="1194"/>
      <c r="I1" s="1194"/>
      <c r="J1" s="1194"/>
      <c r="K1" s="1194"/>
      <c r="L1" s="1194"/>
      <c r="M1" s="1194"/>
      <c r="N1" s="1194"/>
      <c r="O1" s="1194"/>
      <c r="P1" s="1193" t="s">
        <v>758</v>
      </c>
    </row>
    <row r="2" spans="1:16" ht="15.75">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ht="110.25" customHeight="1">
      <c r="A4" s="1039" t="s">
        <v>248</v>
      </c>
      <c r="B4" s="1037" t="s">
        <v>780</v>
      </c>
      <c r="C4" s="1042" t="s">
        <v>741</v>
      </c>
      <c r="D4" s="1042" t="s">
        <v>741</v>
      </c>
      <c r="E4" s="1042" t="s">
        <v>741</v>
      </c>
      <c r="F4" s="1042" t="s">
        <v>741</v>
      </c>
      <c r="G4" s="1042" t="s">
        <v>741</v>
      </c>
      <c r="H4" s="1042" t="s">
        <v>741</v>
      </c>
      <c r="I4" s="1042" t="s">
        <v>741</v>
      </c>
      <c r="J4" s="1042" t="s">
        <v>741</v>
      </c>
      <c r="K4" s="1042" t="s">
        <v>741</v>
      </c>
      <c r="L4" s="1042" t="s">
        <v>741</v>
      </c>
      <c r="M4" s="1042" t="s">
        <v>741</v>
      </c>
      <c r="N4" s="1042" t="s">
        <v>741</v>
      </c>
      <c r="O4" s="1042" t="s">
        <v>741</v>
      </c>
      <c r="P4" s="1038" t="s">
        <v>774</v>
      </c>
    </row>
    <row r="5" spans="1:16" ht="135">
      <c r="A5" s="1040" t="s">
        <v>249</v>
      </c>
      <c r="B5" s="1037" t="s">
        <v>780</v>
      </c>
      <c r="C5" s="1042" t="s">
        <v>741</v>
      </c>
      <c r="D5" s="1042" t="s">
        <v>741</v>
      </c>
      <c r="E5" s="1042" t="s">
        <v>741</v>
      </c>
      <c r="F5" s="1042" t="s">
        <v>741</v>
      </c>
      <c r="G5" s="1042" t="s">
        <v>741</v>
      </c>
      <c r="H5" s="1042" t="s">
        <v>741</v>
      </c>
      <c r="I5" s="1042" t="s">
        <v>741</v>
      </c>
      <c r="J5" s="1042" t="s">
        <v>741</v>
      </c>
      <c r="K5" s="1042" t="s">
        <v>741</v>
      </c>
      <c r="L5" s="1042" t="s">
        <v>741</v>
      </c>
      <c r="M5" s="1042" t="s">
        <v>741</v>
      </c>
      <c r="N5" s="1042" t="s">
        <v>741</v>
      </c>
      <c r="O5" s="1042" t="s">
        <v>741</v>
      </c>
      <c r="P5" s="1038" t="s">
        <v>774</v>
      </c>
    </row>
    <row r="6" spans="1:16" ht="135">
      <c r="A6" s="1040" t="s">
        <v>250</v>
      </c>
      <c r="B6" s="1037" t="s">
        <v>780</v>
      </c>
      <c r="C6" s="1042" t="s">
        <v>741</v>
      </c>
      <c r="D6" s="1042" t="s">
        <v>741</v>
      </c>
      <c r="E6" s="1042" t="s">
        <v>741</v>
      </c>
      <c r="F6" s="1042" t="s">
        <v>741</v>
      </c>
      <c r="G6" s="1042" t="s">
        <v>741</v>
      </c>
      <c r="H6" s="1042" t="s">
        <v>741</v>
      </c>
      <c r="I6" s="1042" t="s">
        <v>741</v>
      </c>
      <c r="J6" s="1042" t="s">
        <v>741</v>
      </c>
      <c r="K6" s="1042" t="s">
        <v>741</v>
      </c>
      <c r="L6" s="1042" t="s">
        <v>741</v>
      </c>
      <c r="M6" s="1042" t="s">
        <v>741</v>
      </c>
      <c r="N6" s="1042" t="s">
        <v>741</v>
      </c>
      <c r="O6" s="1042" t="s">
        <v>741</v>
      </c>
      <c r="P6" s="1038" t="s">
        <v>774</v>
      </c>
    </row>
    <row r="7" spans="1:16" ht="135">
      <c r="A7" s="1040" t="s">
        <v>717</v>
      </c>
      <c r="B7" s="1042" t="s">
        <v>741</v>
      </c>
      <c r="C7" s="1042" t="s">
        <v>741</v>
      </c>
      <c r="D7" s="1042" t="s">
        <v>741</v>
      </c>
      <c r="E7" s="1042" t="s">
        <v>741</v>
      </c>
      <c r="F7" s="1042" t="s">
        <v>741</v>
      </c>
      <c r="G7" s="1042" t="s">
        <v>741</v>
      </c>
      <c r="H7" s="1042" t="s">
        <v>741</v>
      </c>
      <c r="I7" s="1042" t="s">
        <v>741</v>
      </c>
      <c r="J7" s="1042" t="s">
        <v>741</v>
      </c>
      <c r="K7" s="1042" t="s">
        <v>741</v>
      </c>
      <c r="L7" s="1042" t="s">
        <v>741</v>
      </c>
      <c r="M7" s="1042" t="s">
        <v>741</v>
      </c>
      <c r="N7" s="1042" t="s">
        <v>741</v>
      </c>
      <c r="O7" s="1042" t="s">
        <v>741</v>
      </c>
      <c r="P7" s="1038" t="s">
        <v>774</v>
      </c>
    </row>
    <row r="8" spans="1:16" ht="210">
      <c r="A8" s="1039" t="s">
        <v>251</v>
      </c>
      <c r="B8" s="1037" t="s">
        <v>775</v>
      </c>
      <c r="C8" s="1037" t="s">
        <v>775</v>
      </c>
      <c r="D8" s="1037" t="s">
        <v>775</v>
      </c>
      <c r="E8" s="1037" t="s">
        <v>775</v>
      </c>
      <c r="F8" s="1037" t="s">
        <v>775</v>
      </c>
      <c r="G8" s="1037" t="s">
        <v>775</v>
      </c>
      <c r="H8" s="1037" t="s">
        <v>775</v>
      </c>
      <c r="I8" s="1037" t="s">
        <v>775</v>
      </c>
      <c r="J8" s="1037" t="s">
        <v>775</v>
      </c>
      <c r="K8" s="1042" t="s">
        <v>741</v>
      </c>
      <c r="L8" s="1042" t="s">
        <v>741</v>
      </c>
      <c r="M8" s="1042" t="s">
        <v>741</v>
      </c>
      <c r="N8" s="1037" t="s">
        <v>776</v>
      </c>
      <c r="O8" s="1037" t="s">
        <v>776</v>
      </c>
      <c r="P8" s="1043"/>
    </row>
    <row r="9" spans="1:16" ht="210">
      <c r="A9" s="1041" t="s">
        <v>761</v>
      </c>
      <c r="B9" s="1037" t="s">
        <v>776</v>
      </c>
      <c r="C9" s="1037" t="s">
        <v>776</v>
      </c>
      <c r="D9" s="1037" t="s">
        <v>776</v>
      </c>
      <c r="E9" s="1037" t="s">
        <v>776</v>
      </c>
      <c r="F9" s="1037" t="s">
        <v>776</v>
      </c>
      <c r="G9" s="1037" t="s">
        <v>776</v>
      </c>
      <c r="H9" s="1037" t="s">
        <v>776</v>
      </c>
      <c r="I9" s="1037" t="s">
        <v>776</v>
      </c>
      <c r="J9" s="1037" t="s">
        <v>776</v>
      </c>
      <c r="K9" s="1042" t="s">
        <v>741</v>
      </c>
      <c r="L9" s="1037" t="s">
        <v>776</v>
      </c>
      <c r="M9" s="1037" t="s">
        <v>776</v>
      </c>
      <c r="N9" s="1037" t="s">
        <v>776</v>
      </c>
      <c r="O9" s="1037" t="s">
        <v>776</v>
      </c>
      <c r="P9" s="1043"/>
    </row>
    <row r="10" spans="1:16">
      <c r="A10" s="1040" t="s">
        <v>115</v>
      </c>
      <c r="B10" s="1044"/>
      <c r="C10" s="1044"/>
      <c r="D10" s="1044"/>
      <c r="E10" s="1044"/>
      <c r="F10" s="1044"/>
      <c r="G10" s="1044"/>
      <c r="H10" s="1044"/>
      <c r="I10" s="1044"/>
      <c r="J10" s="1044"/>
      <c r="K10" s="1044"/>
      <c r="L10" s="1044"/>
      <c r="M10" s="1044"/>
      <c r="N10" s="1044"/>
      <c r="O10" s="1044"/>
      <c r="P10" s="1044"/>
    </row>
    <row r="11" spans="1:16">
      <c r="A11" s="897"/>
      <c r="B11" s="897"/>
      <c r="C11" s="897"/>
      <c r="D11" s="897"/>
      <c r="E11" s="897"/>
      <c r="F11" s="897"/>
      <c r="G11" s="897"/>
      <c r="H11" s="897"/>
      <c r="I11" s="897"/>
      <c r="J11" s="897"/>
      <c r="K11" s="897"/>
      <c r="L11" s="897"/>
      <c r="M11" s="897"/>
      <c r="N11" s="897"/>
      <c r="O11" s="897"/>
      <c r="P11" s="897"/>
    </row>
    <row r="12" spans="1:16" ht="150">
      <c r="A12" s="467" t="s">
        <v>772</v>
      </c>
      <c r="B12" s="784" t="s">
        <v>771</v>
      </c>
      <c r="C12" s="1045" t="s">
        <v>777</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ht="210">
      <c r="A17" s="1033" t="s">
        <v>251</v>
      </c>
      <c r="B17" s="1037" t="s">
        <v>776</v>
      </c>
      <c r="C17" s="1037" t="s">
        <v>776</v>
      </c>
      <c r="D17" s="1037" t="s">
        <v>776</v>
      </c>
      <c r="E17" s="1037" t="s">
        <v>776</v>
      </c>
      <c r="F17" s="1037" t="s">
        <v>776</v>
      </c>
      <c r="G17" s="1037" t="s">
        <v>776</v>
      </c>
      <c r="H17" s="1037" t="s">
        <v>776</v>
      </c>
      <c r="I17" s="1037" t="s">
        <v>776</v>
      </c>
      <c r="J17" s="1037" t="s">
        <v>776</v>
      </c>
      <c r="K17" s="1042" t="s">
        <v>741</v>
      </c>
      <c r="L17" s="1042" t="s">
        <v>741</v>
      </c>
      <c r="M17" s="1042" t="s">
        <v>741</v>
      </c>
      <c r="N17" s="1037" t="s">
        <v>776</v>
      </c>
      <c r="O17" s="1037" t="s">
        <v>776</v>
      </c>
      <c r="P17" s="1036"/>
    </row>
    <row r="18" spans="1:16" ht="45">
      <c r="A18" s="1034" t="s">
        <v>257</v>
      </c>
      <c r="B18" s="1038" t="s">
        <v>751</v>
      </c>
      <c r="C18" s="1038" t="s">
        <v>751</v>
      </c>
      <c r="D18" s="1038" t="s">
        <v>751</v>
      </c>
      <c r="E18" s="1038" t="s">
        <v>751</v>
      </c>
      <c r="F18" s="1038" t="s">
        <v>751</v>
      </c>
      <c r="G18" s="1038" t="s">
        <v>751</v>
      </c>
      <c r="H18" s="1038" t="s">
        <v>751</v>
      </c>
      <c r="I18" s="1038" t="s">
        <v>751</v>
      </c>
      <c r="J18" s="1038" t="s">
        <v>751</v>
      </c>
      <c r="K18" s="1038" t="s">
        <v>751</v>
      </c>
      <c r="L18" s="1038" t="s">
        <v>751</v>
      </c>
      <c r="M18" s="1038" t="s">
        <v>751</v>
      </c>
      <c r="N18" s="1038" t="s">
        <v>751</v>
      </c>
      <c r="O18" s="1038" t="s">
        <v>751</v>
      </c>
      <c r="P18" s="1038" t="s">
        <v>751</v>
      </c>
    </row>
    <row r="19" spans="1:16" ht="45">
      <c r="A19" s="1032" t="s">
        <v>762</v>
      </c>
      <c r="B19" s="1038" t="s">
        <v>751</v>
      </c>
      <c r="C19" s="1038" t="s">
        <v>751</v>
      </c>
      <c r="D19" s="1038" t="s">
        <v>751</v>
      </c>
      <c r="E19" s="1038" t="s">
        <v>751</v>
      </c>
      <c r="F19" s="1038" t="s">
        <v>751</v>
      </c>
      <c r="G19" s="1038" t="s">
        <v>751</v>
      </c>
      <c r="H19" s="1038" t="s">
        <v>751</v>
      </c>
      <c r="I19" s="1038" t="s">
        <v>751</v>
      </c>
      <c r="J19" s="1038" t="s">
        <v>751</v>
      </c>
      <c r="K19" s="1038" t="s">
        <v>751</v>
      </c>
      <c r="L19" s="1038" t="s">
        <v>751</v>
      </c>
      <c r="M19" s="1038" t="s">
        <v>751</v>
      </c>
      <c r="N19" s="1038" t="s">
        <v>751</v>
      </c>
      <c r="O19" s="1038" t="s">
        <v>751</v>
      </c>
      <c r="P19" s="1038" t="s">
        <v>751</v>
      </c>
    </row>
    <row r="20" spans="1:16">
      <c r="A20" s="1035" t="s">
        <v>115</v>
      </c>
      <c r="B20" s="1028"/>
      <c r="C20" s="1028"/>
      <c r="D20" s="1028"/>
      <c r="E20" s="1028"/>
      <c r="F20" s="1028"/>
      <c r="G20" s="1028"/>
      <c r="H20" s="1028"/>
      <c r="I20" s="1028"/>
      <c r="J20" s="1028"/>
      <c r="K20" s="1028"/>
      <c r="L20" s="1028"/>
      <c r="M20" s="1028"/>
      <c r="N20" s="1028"/>
      <c r="O20" s="1028"/>
      <c r="P20" s="1028"/>
    </row>
    <row r="21" spans="1:16">
      <c r="A21" s="890"/>
      <c r="B21" s="890"/>
      <c r="C21" s="890"/>
      <c r="D21" s="890"/>
      <c r="E21" s="890"/>
      <c r="F21" s="890"/>
      <c r="G21" s="890"/>
      <c r="H21" s="890"/>
      <c r="I21" s="890"/>
      <c r="J21" s="890"/>
      <c r="K21" s="890"/>
      <c r="L21" s="890"/>
      <c r="M21" s="890"/>
      <c r="N21" s="890"/>
      <c r="O21" s="890"/>
      <c r="P21" s="890"/>
    </row>
    <row r="22" spans="1:16" ht="90">
      <c r="A22" s="467" t="s">
        <v>773</v>
      </c>
      <c r="B22" s="784" t="s">
        <v>771</v>
      </c>
      <c r="C22" s="1045" t="s">
        <v>778</v>
      </c>
      <c r="D22" s="890"/>
      <c r="E22" s="890"/>
      <c r="F22" s="890"/>
      <c r="G22" s="890"/>
      <c r="H22" s="890"/>
      <c r="I22" s="890"/>
      <c r="J22" s="890"/>
      <c r="K22" s="890"/>
      <c r="L22" s="890"/>
      <c r="M22" s="890"/>
      <c r="N22" s="890"/>
      <c r="O22" s="890"/>
      <c r="P22" s="890"/>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379</v>
      </c>
      <c r="B2" s="110"/>
      <c r="C2" s="111"/>
    </row>
    <row r="3" spans="1:3" s="15" customFormat="1" ht="15.75">
      <c r="A3" s="98"/>
      <c r="B3" s="70"/>
      <c r="C3" s="99"/>
    </row>
    <row r="4" spans="1:3">
      <c r="A4" s="95" t="s">
        <v>362</v>
      </c>
      <c r="B4" s="69" t="s">
        <v>374</v>
      </c>
      <c r="C4" s="100" t="s">
        <v>373</v>
      </c>
    </row>
    <row r="5" spans="1:3">
      <c r="A5" s="112"/>
      <c r="B5" s="43"/>
      <c r="C5" s="96"/>
    </row>
    <row r="6" spans="1:3" ht="30">
      <c r="A6" s="113" t="s">
        <v>569</v>
      </c>
      <c r="B6" s="75" t="s">
        <v>570</v>
      </c>
      <c r="C6" s="437" t="s">
        <v>553</v>
      </c>
    </row>
    <row r="7" spans="1:3">
      <c r="A7" s="125"/>
      <c r="B7" s="129"/>
      <c r="C7" s="122"/>
    </row>
    <row r="8" spans="1:3">
      <c r="A8" s="113" t="s">
        <v>572</v>
      </c>
      <c r="B8" s="75" t="s">
        <v>571</v>
      </c>
      <c r="C8" s="437" t="s">
        <v>383</v>
      </c>
    </row>
    <row r="9" spans="1:3">
      <c r="A9" s="125"/>
      <c r="B9" s="129"/>
      <c r="C9" s="122"/>
    </row>
    <row r="10" spans="1:3">
      <c r="A10" s="113" t="s">
        <v>327</v>
      </c>
      <c r="B10" s="75" t="s">
        <v>381</v>
      </c>
      <c r="C10" s="114" t="s">
        <v>383</v>
      </c>
    </row>
    <row r="11" spans="1:3">
      <c r="A11" s="125"/>
      <c r="B11" s="129"/>
      <c r="C11" s="122"/>
    </row>
    <row r="12" spans="1:3" ht="30">
      <c r="A12" s="113" t="s">
        <v>399</v>
      </c>
      <c r="B12" s="75" t="s">
        <v>512</v>
      </c>
      <c r="C12" s="314" t="s">
        <v>606</v>
      </c>
    </row>
    <row r="13" spans="1:3">
      <c r="A13" s="140"/>
      <c r="B13" s="124"/>
      <c r="C13" s="302"/>
    </row>
    <row r="14" spans="1:3" s="11" customFormat="1">
      <c r="A14" s="113" t="s">
        <v>589</v>
      </c>
      <c r="B14" s="130" t="s">
        <v>590</v>
      </c>
      <c r="C14" s="131" t="s">
        <v>591</v>
      </c>
    </row>
    <row r="15" spans="1:3" s="11" customFormat="1">
      <c r="A15" s="140"/>
      <c r="B15" s="158"/>
      <c r="C15" s="159"/>
    </row>
    <row r="16" spans="1:3" ht="21">
      <c r="A16" s="126" t="s">
        <v>461</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8.5703125" style="453" bestFit="1" customWidth="1"/>
    <col min="8" max="8" width="10.8554687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35.7109375" style="453"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684" t="s">
        <v>601</v>
      </c>
      <c r="B4" s="470"/>
      <c r="C4" s="470"/>
      <c r="D4" s="470"/>
      <c r="E4" s="470"/>
      <c r="F4" s="470"/>
      <c r="G4" s="502"/>
      <c r="H4" s="502"/>
      <c r="I4" s="470"/>
      <c r="J4" s="470"/>
      <c r="K4" s="470"/>
      <c r="L4" s="470"/>
      <c r="M4" s="470"/>
      <c r="N4" s="470"/>
      <c r="O4" s="470"/>
      <c r="P4" s="470"/>
    </row>
    <row r="5" spans="1:16" outlineLevel="1">
      <c r="A5" s="684" t="s">
        <v>602</v>
      </c>
      <c r="B5" s="470"/>
      <c r="C5" s="470"/>
      <c r="D5" s="470"/>
      <c r="E5" s="470"/>
      <c r="F5" s="470"/>
      <c r="G5" s="502"/>
      <c r="H5" s="502"/>
      <c r="I5" s="470"/>
      <c r="J5" s="470"/>
      <c r="K5" s="470"/>
      <c r="L5" s="470"/>
      <c r="M5" s="470"/>
      <c r="N5" s="470"/>
      <c r="O5" s="470"/>
      <c r="P5" s="470"/>
    </row>
    <row r="6" spans="1:16" outlineLevel="1">
      <c r="A6" s="684" t="s">
        <v>603</v>
      </c>
      <c r="B6" s="470"/>
      <c r="C6" s="470"/>
      <c r="D6" s="470"/>
      <c r="E6" s="470"/>
      <c r="F6" s="470"/>
      <c r="G6" s="502"/>
      <c r="H6" s="502"/>
      <c r="I6" s="470"/>
      <c r="J6" s="470"/>
      <c r="K6" s="470"/>
      <c r="L6" s="470"/>
      <c r="M6" s="470"/>
      <c r="N6" s="470"/>
      <c r="O6" s="470"/>
      <c r="P6" s="470"/>
    </row>
    <row r="7" spans="1:16" outlineLevel="1">
      <c r="A7" s="472"/>
      <c r="B7" s="470"/>
      <c r="C7" s="470"/>
      <c r="D7" s="470"/>
      <c r="E7" s="470"/>
      <c r="F7" s="470"/>
      <c r="G7" s="502"/>
      <c r="H7" s="502"/>
      <c r="I7" s="470"/>
      <c r="J7" s="470"/>
      <c r="K7" s="470"/>
      <c r="L7" s="470"/>
      <c r="M7" s="470"/>
      <c r="N7" s="470"/>
      <c r="O7" s="470"/>
      <c r="P7" s="470"/>
    </row>
    <row r="8" spans="1:16" outlineLevel="1">
      <c r="A8" s="685" t="s">
        <v>604</v>
      </c>
      <c r="B8" s="470"/>
      <c r="C8" s="470"/>
      <c r="D8" s="470"/>
      <c r="E8" s="470"/>
      <c r="F8" s="470"/>
      <c r="G8" s="502"/>
      <c r="H8" s="502"/>
      <c r="I8" s="470"/>
      <c r="J8" s="470"/>
      <c r="K8" s="470"/>
      <c r="L8" s="470"/>
      <c r="M8" s="470"/>
      <c r="N8" s="470"/>
      <c r="O8" s="470"/>
      <c r="P8" s="470"/>
    </row>
    <row r="9" spans="1:16" outlineLevel="1">
      <c r="A9" s="472"/>
      <c r="B9" s="470"/>
      <c r="C9" s="470"/>
      <c r="D9" s="470"/>
      <c r="E9" s="470"/>
      <c r="F9" s="470"/>
      <c r="G9" s="502"/>
      <c r="H9" s="502"/>
      <c r="I9" s="470"/>
      <c r="J9" s="470"/>
      <c r="K9" s="470"/>
      <c r="L9" s="470"/>
      <c r="M9" s="470"/>
      <c r="N9" s="470"/>
      <c r="O9" s="470"/>
      <c r="P9" s="470"/>
    </row>
    <row r="10" spans="1:16" outlineLevel="1">
      <c r="A10" s="472" t="s">
        <v>605</v>
      </c>
      <c r="B10" s="470"/>
      <c r="C10" s="470"/>
      <c r="D10" s="470"/>
      <c r="E10" s="470"/>
      <c r="F10" s="470"/>
      <c r="G10" s="502"/>
      <c r="H10" s="502"/>
      <c r="I10" s="470"/>
      <c r="J10" s="470"/>
      <c r="K10" s="470"/>
      <c r="L10" s="470"/>
      <c r="M10" s="470"/>
      <c r="N10" s="470"/>
      <c r="O10" s="470"/>
      <c r="P10" s="470"/>
    </row>
    <row r="11" spans="1:16" outlineLevel="1">
      <c r="A11" s="472"/>
      <c r="B11" s="470"/>
      <c r="C11" s="470"/>
      <c r="D11" s="470"/>
      <c r="E11" s="470"/>
      <c r="F11" s="470"/>
      <c r="G11" s="502"/>
      <c r="H11" s="502"/>
      <c r="I11" s="470"/>
      <c r="J11" s="470"/>
      <c r="K11" s="470"/>
      <c r="L11" s="470"/>
      <c r="M11" s="470"/>
      <c r="N11" s="470"/>
      <c r="O11" s="470"/>
      <c r="P11" s="470"/>
    </row>
    <row r="12" spans="1:16" ht="15.75" outlineLevel="1" thickBot="1">
      <c r="B12" s="470"/>
      <c r="C12" s="470"/>
      <c r="D12" s="470"/>
      <c r="E12" s="470"/>
      <c r="F12" s="470"/>
      <c r="G12" s="502"/>
      <c r="H12" s="502"/>
      <c r="I12" s="470"/>
      <c r="J12" s="470"/>
      <c r="K12" s="470"/>
      <c r="L12" s="470"/>
      <c r="M12" s="470"/>
      <c r="N12" s="470"/>
      <c r="O12" s="470"/>
      <c r="P12" s="470"/>
    </row>
    <row r="13" spans="1:16" ht="25.5" customHeight="1" outlineLevel="1" thickBot="1">
      <c r="A13" s="473" t="s">
        <v>567</v>
      </c>
      <c r="B13" s="455"/>
      <c r="C13" s="474"/>
      <c r="D13" s="474"/>
      <c r="E13" s="474"/>
      <c r="F13" s="474"/>
      <c r="G13" s="474"/>
      <c r="H13" s="474"/>
      <c r="I13" s="474"/>
      <c r="J13" s="474"/>
      <c r="K13" s="474"/>
      <c r="L13" s="474"/>
      <c r="M13" s="474"/>
      <c r="N13" s="474"/>
      <c r="O13" s="785" t="s">
        <v>622</v>
      </c>
      <c r="P13" s="785" t="s">
        <v>621</v>
      </c>
    </row>
    <row r="14" spans="1:16" outlineLevel="1"/>
    <row r="15" spans="1:16" s="466" customFormat="1" outlineLevel="1">
      <c r="A15" s="475" t="s">
        <v>304</v>
      </c>
      <c r="B15" s="476">
        <f>SUM(B4:B12)</f>
        <v>0</v>
      </c>
      <c r="C15" s="476">
        <f t="shared" ref="C15:P15" si="0">SUM(C4:C13)</f>
        <v>0</v>
      </c>
      <c r="D15" s="476">
        <f t="shared" si="0"/>
        <v>0</v>
      </c>
      <c r="E15" s="476">
        <f t="shared" si="0"/>
        <v>0</v>
      </c>
      <c r="F15" s="476">
        <f t="shared" si="0"/>
        <v>0</v>
      </c>
      <c r="G15" s="476"/>
      <c r="H15" s="476"/>
      <c r="I15" s="476">
        <f t="shared" si="0"/>
        <v>0</v>
      </c>
      <c r="J15" s="476">
        <f t="shared" si="0"/>
        <v>0</v>
      </c>
      <c r="K15" s="476">
        <f t="shared" si="0"/>
        <v>0</v>
      </c>
      <c r="L15" s="476">
        <f t="shared" si="0"/>
        <v>0</v>
      </c>
      <c r="M15" s="476">
        <f>SUM(M4:M13)</f>
        <v>0</v>
      </c>
      <c r="N15" s="476">
        <f t="shared" si="0"/>
        <v>0</v>
      </c>
      <c r="O15" s="476">
        <f>SUM(O4:O13)</f>
        <v>0</v>
      </c>
      <c r="P15" s="476">
        <f t="shared" si="0"/>
        <v>0</v>
      </c>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0.21280384155040658</v>
      </c>
      <c r="C17" s="504">
        <f ca="1">'EF ele_warmte'!B22</f>
        <v>0.23148073745771164</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f ca="1">C15*C17</f>
        <v>0</v>
      </c>
      <c r="D19" s="481">
        <f>D15*D17</f>
        <v>0</v>
      </c>
      <c r="E19" s="481">
        <f>E15*E17</f>
        <v>0</v>
      </c>
      <c r="F19" s="481">
        <f>F15*F17</f>
        <v>0</v>
      </c>
      <c r="G19" s="481"/>
      <c r="H19" s="481"/>
      <c r="I19" s="481">
        <f t="shared" ref="I19:P19" si="1">I15*I17</f>
        <v>0</v>
      </c>
      <c r="J19" s="481">
        <f t="shared" si="1"/>
        <v>0</v>
      </c>
      <c r="K19" s="481">
        <f t="shared" si="1"/>
        <v>0</v>
      </c>
      <c r="L19" s="481">
        <f t="shared" si="1"/>
        <v>0</v>
      </c>
      <c r="M19" s="481">
        <f t="shared" si="1"/>
        <v>0</v>
      </c>
      <c r="N19" s="481">
        <f t="shared" si="1"/>
        <v>0</v>
      </c>
      <c r="O19" s="481">
        <f t="shared" si="1"/>
        <v>0</v>
      </c>
      <c r="P19" s="481">
        <f t="shared" si="1"/>
        <v>0</v>
      </c>
    </row>
    <row r="22" spans="1:16" s="455" customFormat="1" ht="15" customHeight="1" outlineLevel="1">
      <c r="A22" s="482" t="s">
        <v>474</v>
      </c>
      <c r="B22" s="483"/>
      <c r="C22" s="484"/>
      <c r="D22" s="485"/>
      <c r="E22" s="486"/>
    </row>
    <row r="23" spans="1:16" s="48" customFormat="1" ht="15" customHeight="1" outlineLevel="1">
      <c r="A23" s="487"/>
      <c r="B23" s="488"/>
      <c r="C23" s="489" t="s">
        <v>376</v>
      </c>
      <c r="D23" s="489" t="s">
        <v>181</v>
      </c>
      <c r="E23" s="490"/>
    </row>
    <row r="24" spans="1:16" s="455" customFormat="1" ht="15" customHeight="1" outlineLevel="1">
      <c r="A24" s="491" t="s">
        <v>265</v>
      </c>
      <c r="B24" s="47">
        <f>EigenZB</f>
        <v>0</v>
      </c>
      <c r="C24" s="492"/>
      <c r="D24" s="895" t="s">
        <v>643</v>
      </c>
      <c r="E24" s="456"/>
    </row>
    <row r="25" spans="1:16" s="455" customFormat="1" outlineLevel="1">
      <c r="A25" s="491" t="s">
        <v>441</v>
      </c>
      <c r="B25" s="48">
        <v>4.2</v>
      </c>
      <c r="C25" s="492"/>
      <c r="D25" s="493" t="s">
        <v>498</v>
      </c>
      <c r="E25" s="469"/>
    </row>
    <row r="26" spans="1:16" s="455" customFormat="1" outlineLevel="1">
      <c r="A26" s="789" t="s">
        <v>442</v>
      </c>
      <c r="B26" s="790">
        <f>1.34/3.6</f>
        <v>0.37222222222222223</v>
      </c>
      <c r="C26" s="492" t="s">
        <v>217</v>
      </c>
      <c r="D26" s="493" t="s">
        <v>498</v>
      </c>
      <c r="E26" s="469"/>
    </row>
    <row r="27" spans="1:16" s="455" customFormat="1" outlineLevel="1">
      <c r="A27" s="494" t="s">
        <v>613</v>
      </c>
      <c r="B27" s="792">
        <f>B24*B25*B26</f>
        <v>0</v>
      </c>
      <c r="C27" s="495" t="s">
        <v>614</v>
      </c>
      <c r="D27" s="496"/>
      <c r="E27" s="497"/>
    </row>
    <row r="28" spans="1:16" s="455" customFormat="1" outlineLevel="1">
      <c r="A28" s="48"/>
      <c r="B28" s="48"/>
      <c r="C28" s="498"/>
      <c r="D28" s="492"/>
    </row>
    <row r="29" spans="1:16" s="455" customFormat="1" outlineLevel="1">
      <c r="A29" s="499" t="s">
        <v>475</v>
      </c>
      <c r="B29" s="483"/>
      <c r="C29" s="484"/>
      <c r="D29" s="485"/>
      <c r="E29" s="486"/>
    </row>
    <row r="30" spans="1:16" s="48" customFormat="1" outlineLevel="1">
      <c r="A30" s="500"/>
      <c r="B30" s="488"/>
      <c r="C30" s="489" t="s">
        <v>376</v>
      </c>
      <c r="D30" s="489" t="s">
        <v>181</v>
      </c>
      <c r="E30" s="490"/>
    </row>
    <row r="31" spans="1:16" s="455" customFormat="1" outlineLevel="1">
      <c r="A31" s="491" t="s">
        <v>440</v>
      </c>
      <c r="B31" s="47">
        <f>EigenWP</f>
        <v>0</v>
      </c>
      <c r="C31" s="492"/>
      <c r="D31" s="895" t="s">
        <v>643</v>
      </c>
      <c r="E31" s="456"/>
    </row>
    <row r="32" spans="1:16" s="455" customFormat="1" outlineLevel="1">
      <c r="A32" s="491" t="s">
        <v>438</v>
      </c>
      <c r="B32" s="48">
        <v>13</v>
      </c>
      <c r="C32" s="498" t="s">
        <v>262</v>
      </c>
      <c r="D32" s="493" t="s">
        <v>498</v>
      </c>
      <c r="E32" s="456"/>
    </row>
    <row r="33" spans="1:5" s="455" customFormat="1" outlineLevel="1">
      <c r="A33" s="491" t="s">
        <v>439</v>
      </c>
      <c r="B33" s="48">
        <v>2000</v>
      </c>
      <c r="C33" s="498" t="s">
        <v>264</v>
      </c>
      <c r="D33" s="493" t="s">
        <v>498</v>
      </c>
      <c r="E33" s="456"/>
    </row>
    <row r="34" spans="1:5" s="455" customFormat="1" outlineLevel="1">
      <c r="A34" s="789" t="s">
        <v>378</v>
      </c>
      <c r="B34" s="48">
        <v>3.75</v>
      </c>
      <c r="C34" s="498"/>
      <c r="D34" s="493" t="s">
        <v>498</v>
      </c>
      <c r="E34" s="456"/>
    </row>
    <row r="35" spans="1:5" s="455" customFormat="1" outlineLevel="1">
      <c r="A35" s="494" t="s">
        <v>613</v>
      </c>
      <c r="B35" s="791">
        <f>B31*B32*B33/1000-B31*B32*B33/1000/B34</f>
        <v>0</v>
      </c>
      <c r="C35" s="501" t="s">
        <v>614</v>
      </c>
      <c r="D35" s="496"/>
      <c r="E35" s="46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6.5703125" style="453" bestFit="1" customWidth="1"/>
    <col min="8" max="8" width="8.14062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26.42578125" style="453" bestFit="1"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472"/>
      <c r="B4" s="470"/>
      <c r="C4" s="502"/>
      <c r="D4" s="502"/>
      <c r="E4" s="502"/>
      <c r="F4" s="502"/>
      <c r="G4" s="502"/>
      <c r="H4" s="502"/>
      <c r="I4" s="502"/>
      <c r="J4" s="502"/>
      <c r="K4" s="502"/>
      <c r="L4" s="502"/>
      <c r="M4" s="502"/>
      <c r="N4" s="502"/>
      <c r="O4" s="502"/>
      <c r="P4" s="502"/>
    </row>
    <row r="5" spans="1:16" outlineLevel="1">
      <c r="A5" s="472"/>
      <c r="B5" s="470"/>
      <c r="C5" s="502"/>
      <c r="D5" s="502"/>
      <c r="E5" s="502"/>
      <c r="F5" s="502"/>
      <c r="G5" s="502"/>
      <c r="H5" s="502"/>
      <c r="I5" s="502"/>
      <c r="J5" s="502"/>
      <c r="K5" s="502"/>
      <c r="L5" s="502"/>
      <c r="M5" s="502"/>
      <c r="N5" s="502"/>
      <c r="O5" s="502"/>
      <c r="P5" s="502"/>
    </row>
    <row r="6" spans="1:16" outlineLevel="1">
      <c r="A6" s="472"/>
      <c r="B6" s="470"/>
      <c r="C6" s="502"/>
      <c r="D6" s="502"/>
      <c r="E6" s="502"/>
      <c r="F6" s="502"/>
      <c r="G6" s="502"/>
      <c r="H6" s="502"/>
      <c r="I6" s="502"/>
      <c r="J6" s="502"/>
      <c r="K6" s="502"/>
      <c r="L6" s="502"/>
      <c r="M6" s="502"/>
      <c r="N6" s="502"/>
      <c r="O6" s="502"/>
      <c r="P6" s="502"/>
    </row>
    <row r="7" spans="1:16" outlineLevel="1">
      <c r="A7" s="472"/>
      <c r="B7" s="470"/>
      <c r="C7" s="502"/>
      <c r="D7" s="502"/>
      <c r="E7" s="502"/>
      <c r="F7" s="502"/>
      <c r="G7" s="502"/>
      <c r="H7" s="502"/>
      <c r="I7" s="502"/>
      <c r="J7" s="502"/>
      <c r="K7" s="502"/>
      <c r="L7" s="502"/>
      <c r="M7" s="502"/>
      <c r="N7" s="502"/>
      <c r="O7" s="502"/>
      <c r="P7" s="502"/>
    </row>
    <row r="8" spans="1:16" outlineLevel="1">
      <c r="A8" s="685"/>
      <c r="B8" s="470"/>
      <c r="C8" s="502"/>
      <c r="D8" s="502"/>
      <c r="E8" s="502"/>
      <c r="F8" s="502"/>
      <c r="G8" s="502"/>
      <c r="H8" s="502"/>
      <c r="I8" s="502"/>
      <c r="J8" s="502"/>
      <c r="K8" s="502"/>
      <c r="L8" s="502"/>
      <c r="M8" s="502"/>
      <c r="N8" s="502"/>
      <c r="O8" s="502"/>
      <c r="P8" s="502"/>
    </row>
    <row r="9" spans="1:16" outlineLevel="1">
      <c r="A9" s="472"/>
      <c r="B9" s="470"/>
      <c r="C9" s="502"/>
      <c r="D9" s="502"/>
      <c r="E9" s="502"/>
      <c r="F9" s="502"/>
      <c r="G9" s="502"/>
      <c r="H9" s="502"/>
      <c r="I9" s="502"/>
      <c r="J9" s="502"/>
      <c r="K9" s="502"/>
      <c r="L9" s="502"/>
      <c r="M9" s="502"/>
      <c r="N9" s="502"/>
      <c r="O9" s="502"/>
      <c r="P9" s="502"/>
    </row>
    <row r="10" spans="1:16" outlineLevel="1">
      <c r="A10" s="472"/>
      <c r="B10" s="470"/>
      <c r="C10" s="502"/>
      <c r="D10" s="502"/>
      <c r="E10" s="502"/>
      <c r="F10" s="502"/>
      <c r="G10" s="502"/>
      <c r="H10" s="502"/>
      <c r="I10" s="502"/>
      <c r="J10" s="502"/>
      <c r="K10" s="502"/>
      <c r="L10" s="502"/>
      <c r="M10" s="502"/>
      <c r="N10" s="502"/>
      <c r="O10" s="502"/>
      <c r="P10" s="502"/>
    </row>
    <row r="11" spans="1:16" outlineLevel="1">
      <c r="A11" s="472"/>
      <c r="B11" s="470"/>
      <c r="C11" s="502"/>
      <c r="D11" s="502"/>
      <c r="E11" s="502"/>
      <c r="F11" s="502"/>
      <c r="G11" s="502"/>
      <c r="H11" s="502"/>
      <c r="I11" s="502"/>
      <c r="J11" s="502"/>
      <c r="K11" s="502"/>
      <c r="L11" s="502"/>
      <c r="M11" s="502"/>
      <c r="N11" s="502"/>
      <c r="O11" s="502"/>
      <c r="P11" s="502"/>
    </row>
    <row r="12" spans="1:16" ht="15.75" outlineLevel="1" thickBot="1">
      <c r="A12" s="472"/>
      <c r="B12" s="470"/>
      <c r="C12" s="502"/>
      <c r="D12" s="502"/>
      <c r="E12" s="502"/>
      <c r="F12" s="502"/>
      <c r="G12" s="502"/>
      <c r="H12" s="502"/>
      <c r="I12" s="502"/>
      <c r="J12" s="502"/>
      <c r="K12" s="502"/>
      <c r="L12" s="502"/>
      <c r="M12" s="502"/>
      <c r="N12" s="502"/>
      <c r="O12" s="502"/>
      <c r="P12" s="502"/>
    </row>
    <row r="13" spans="1:16" ht="25.5" customHeight="1" outlineLevel="1" thickBot="1">
      <c r="A13" s="473" t="s">
        <v>567</v>
      </c>
      <c r="B13" s="455"/>
      <c r="C13" s="474"/>
      <c r="D13" s="474"/>
      <c r="E13" s="474"/>
      <c r="F13" s="474"/>
      <c r="G13" s="474"/>
      <c r="H13" s="474"/>
      <c r="I13" s="474"/>
      <c r="J13" s="474"/>
      <c r="K13" s="474"/>
      <c r="L13" s="474"/>
      <c r="M13" s="474"/>
      <c r="N13" s="474"/>
      <c r="O13" s="1203"/>
      <c r="P13" s="1203"/>
    </row>
    <row r="14" spans="1:16" outlineLevel="1">
      <c r="A14" s="472"/>
      <c r="B14" s="52"/>
      <c r="C14" s="502"/>
      <c r="D14" s="502"/>
      <c r="E14" s="502"/>
      <c r="F14" s="502"/>
      <c r="G14" s="502"/>
      <c r="H14" s="502"/>
      <c r="I14" s="502"/>
      <c r="J14" s="502"/>
      <c r="K14" s="502"/>
      <c r="L14" s="502"/>
      <c r="M14" s="502"/>
      <c r="N14" s="502"/>
      <c r="O14" s="502"/>
      <c r="P14" s="502"/>
    </row>
    <row r="15" spans="1:16" s="466" customFormat="1" outlineLevel="1">
      <c r="A15" s="475" t="s">
        <v>305</v>
      </c>
      <c r="B15" s="476">
        <f>SUM(B4:B12)</f>
        <v>0</v>
      </c>
      <c r="C15" s="477"/>
      <c r="D15" s="477"/>
      <c r="E15" s="477"/>
      <c r="F15" s="477"/>
      <c r="G15" s="477"/>
      <c r="H15" s="477"/>
      <c r="I15" s="477"/>
      <c r="J15" s="477"/>
      <c r="K15" s="477"/>
      <c r="L15" s="477"/>
      <c r="M15" s="477"/>
      <c r="N15" s="477"/>
      <c r="O15" s="478"/>
      <c r="P15" s="478"/>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0.21280384155040658</v>
      </c>
      <c r="C17" s="504">
        <f ca="1">'EF ele_warmte'!B22</f>
        <v>0.23148073745771164</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c r="D19" s="481"/>
      <c r="E19" s="481"/>
      <c r="F19" s="481"/>
      <c r="G19" s="481"/>
      <c r="H19" s="481"/>
      <c r="I19" s="481"/>
      <c r="J19" s="481"/>
      <c r="K19" s="481"/>
      <c r="L19" s="481"/>
      <c r="M19" s="481"/>
      <c r="N19" s="481"/>
      <c r="O19" s="481"/>
      <c r="P19" s="48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3" customWidth="1"/>
    <col min="2" max="2" width="14.140625" style="453" customWidth="1"/>
    <col min="3" max="3" width="16.42578125" style="453" customWidth="1"/>
    <col min="4" max="4" width="15" style="453" customWidth="1"/>
    <col min="5" max="5" width="13.85546875" style="453" customWidth="1"/>
    <col min="6" max="6" width="14.85546875" style="453" customWidth="1"/>
    <col min="7" max="7" width="14.7109375" style="453" customWidth="1"/>
    <col min="8" max="8" width="14.28515625" style="453"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16.140625" style="453" customWidth="1"/>
    <col min="16" max="16" width="17.5703125" style="453" customWidth="1"/>
    <col min="17" max="17" width="9.140625" style="453"/>
    <col min="18" max="18" width="20.42578125" style="453" customWidth="1"/>
    <col min="19" max="16384" width="9.140625" style="453"/>
  </cols>
  <sheetData>
    <row r="1" spans="1:16" ht="15.75" customHeight="1" thickTop="1" thickBot="1">
      <c r="A1" s="1174" t="s">
        <v>327</v>
      </c>
      <c r="B1" s="1197" t="s">
        <v>194</v>
      </c>
      <c r="C1" s="1198"/>
      <c r="D1" s="1198"/>
      <c r="E1" s="1198"/>
      <c r="F1" s="1198"/>
      <c r="G1" s="1198"/>
      <c r="H1" s="1198"/>
      <c r="I1" s="1198"/>
      <c r="J1" s="1198"/>
      <c r="K1" s="1198"/>
      <c r="L1" s="1198"/>
      <c r="M1" s="1198"/>
      <c r="N1" s="1198"/>
      <c r="O1" s="1198"/>
      <c r="P1" s="1198"/>
    </row>
    <row r="2" spans="1:16" ht="15" customHeight="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c r="B4" s="470"/>
      <c r="C4" s="502"/>
      <c r="D4" s="471"/>
      <c r="E4" s="471"/>
      <c r="F4" s="502"/>
      <c r="G4" s="471"/>
      <c r="H4" s="471"/>
      <c r="I4" s="502"/>
      <c r="J4" s="502"/>
      <c r="K4" s="502"/>
      <c r="L4" s="502"/>
      <c r="M4" s="502"/>
      <c r="N4" s="502"/>
      <c r="O4" s="502"/>
      <c r="P4" s="502"/>
    </row>
    <row r="5" spans="1:16">
      <c r="B5" s="470"/>
      <c r="C5" s="52"/>
      <c r="D5" s="470"/>
      <c r="E5" s="470"/>
      <c r="F5" s="52"/>
      <c r="G5" s="470"/>
      <c r="H5" s="470"/>
      <c r="I5" s="52"/>
      <c r="J5" s="52"/>
      <c r="K5" s="52"/>
      <c r="L5" s="52"/>
      <c r="M5" s="52"/>
      <c r="N5" s="52"/>
      <c r="O5" s="52"/>
      <c r="P5" s="52"/>
    </row>
    <row r="6" spans="1:16">
      <c r="B6" s="470"/>
      <c r="C6" s="52"/>
      <c r="D6" s="470"/>
      <c r="E6" s="470"/>
      <c r="F6" s="52"/>
      <c r="G6" s="470"/>
      <c r="H6" s="470"/>
      <c r="I6" s="52"/>
      <c r="J6" s="52"/>
      <c r="K6" s="52"/>
      <c r="L6" s="52"/>
      <c r="M6" s="52"/>
      <c r="N6" s="52"/>
      <c r="O6" s="52"/>
      <c r="P6" s="52"/>
    </row>
    <row r="7" spans="1:16">
      <c r="B7" s="470"/>
      <c r="C7" s="52"/>
      <c r="D7" s="470"/>
      <c r="E7" s="470"/>
      <c r="F7" s="52"/>
      <c r="G7" s="470"/>
      <c r="H7" s="470"/>
      <c r="I7" s="52"/>
      <c r="J7" s="52"/>
      <c r="K7" s="52"/>
      <c r="L7" s="52"/>
      <c r="M7" s="52"/>
      <c r="N7" s="52"/>
      <c r="O7" s="52"/>
      <c r="P7" s="52"/>
    </row>
    <row r="8" spans="1:16">
      <c r="A8" s="466"/>
      <c r="B8" s="470"/>
      <c r="C8" s="52"/>
      <c r="D8" s="470"/>
      <c r="E8" s="470"/>
      <c r="F8" s="52"/>
      <c r="G8" s="470"/>
      <c r="H8" s="470"/>
      <c r="I8" s="52"/>
      <c r="J8" s="52"/>
      <c r="K8" s="52"/>
      <c r="L8" s="52"/>
      <c r="M8" s="52"/>
      <c r="N8" s="52"/>
      <c r="O8" s="52"/>
      <c r="P8" s="52"/>
    </row>
    <row r="9" spans="1:16">
      <c r="B9" s="470"/>
      <c r="C9" s="52"/>
      <c r="D9" s="470"/>
      <c r="E9" s="470"/>
      <c r="F9" s="52"/>
      <c r="G9" s="470"/>
      <c r="H9" s="470"/>
      <c r="I9" s="52"/>
      <c r="J9" s="52"/>
      <c r="K9" s="52"/>
      <c r="L9" s="52"/>
      <c r="M9" s="52"/>
      <c r="N9" s="52"/>
      <c r="O9" s="52"/>
      <c r="P9" s="52"/>
    </row>
    <row r="10" spans="1:16">
      <c r="B10" s="470"/>
      <c r="C10" s="52"/>
      <c r="D10" s="470"/>
      <c r="E10" s="470"/>
      <c r="F10" s="52"/>
      <c r="G10" s="470"/>
      <c r="H10" s="470"/>
      <c r="I10" s="52"/>
      <c r="J10" s="52"/>
      <c r="K10" s="52"/>
      <c r="L10" s="52"/>
      <c r="M10" s="52"/>
      <c r="N10" s="52"/>
      <c r="O10" s="52"/>
      <c r="P10" s="52"/>
    </row>
    <row r="11" spans="1:16">
      <c r="B11" s="470"/>
      <c r="C11" s="52"/>
      <c r="D11" s="470"/>
      <c r="E11" s="470"/>
      <c r="F11" s="52"/>
      <c r="G11" s="470"/>
      <c r="H11" s="470"/>
      <c r="I11" s="52"/>
      <c r="J11" s="52"/>
      <c r="K11" s="52"/>
      <c r="L11" s="52"/>
      <c r="M11" s="52"/>
      <c r="N11" s="52"/>
      <c r="O11" s="52"/>
      <c r="P11" s="52"/>
    </row>
    <row r="12" spans="1:16">
      <c r="B12" s="470"/>
      <c r="C12" s="52"/>
      <c r="D12" s="470"/>
      <c r="E12" s="470"/>
      <c r="F12" s="52"/>
      <c r="G12" s="470"/>
      <c r="H12" s="470"/>
      <c r="I12" s="52"/>
      <c r="J12" s="52"/>
      <c r="K12" s="52"/>
      <c r="L12" s="52"/>
      <c r="M12" s="52"/>
      <c r="N12" s="52"/>
      <c r="O12" s="52"/>
      <c r="P12" s="52"/>
    </row>
    <row r="13" spans="1:16">
      <c r="B13" s="470"/>
      <c r="C13" s="52"/>
      <c r="D13" s="470"/>
      <c r="E13" s="470"/>
      <c r="F13" s="52"/>
      <c r="G13" s="470"/>
      <c r="H13" s="470"/>
      <c r="I13" s="52"/>
      <c r="J13" s="52"/>
      <c r="K13" s="52"/>
      <c r="L13" s="52"/>
      <c r="M13" s="52"/>
      <c r="N13" s="52"/>
      <c r="O13" s="52"/>
      <c r="P13" s="52"/>
    </row>
    <row r="14" spans="1:16">
      <c r="B14" s="470"/>
      <c r="C14" s="52"/>
      <c r="D14" s="470"/>
      <c r="E14" s="470"/>
      <c r="F14" s="52"/>
      <c r="G14" s="470"/>
      <c r="H14" s="470"/>
      <c r="I14" s="52"/>
      <c r="J14" s="52"/>
      <c r="K14" s="52"/>
      <c r="L14" s="52"/>
      <c r="M14" s="52"/>
      <c r="N14" s="52"/>
      <c r="O14" s="52"/>
      <c r="P14" s="52"/>
    </row>
    <row r="15" spans="1:16">
      <c r="B15" s="470"/>
      <c r="C15" s="52"/>
      <c r="D15" s="470"/>
      <c r="E15" s="470"/>
      <c r="F15" s="52"/>
      <c r="G15" s="470"/>
      <c r="H15" s="470"/>
      <c r="I15" s="52"/>
      <c r="J15" s="52"/>
      <c r="K15" s="52"/>
      <c r="L15" s="52"/>
      <c r="M15" s="52"/>
      <c r="N15" s="52"/>
      <c r="O15" s="52"/>
      <c r="P15" s="52"/>
    </row>
    <row r="16" spans="1:16">
      <c r="B16" s="470"/>
      <c r="C16" s="52"/>
      <c r="D16" s="470"/>
      <c r="E16" s="470"/>
      <c r="F16" s="52"/>
      <c r="G16" s="470"/>
      <c r="H16" s="470"/>
      <c r="I16" s="52"/>
      <c r="J16" s="52"/>
      <c r="K16" s="52"/>
      <c r="L16" s="52"/>
      <c r="M16" s="52"/>
      <c r="N16" s="52"/>
      <c r="O16" s="52"/>
      <c r="P16" s="52"/>
    </row>
    <row r="17" spans="1:16">
      <c r="B17" s="470"/>
      <c r="C17" s="52"/>
      <c r="D17" s="470"/>
      <c r="E17" s="470"/>
      <c r="F17" s="52"/>
      <c r="G17" s="470"/>
      <c r="H17" s="470"/>
      <c r="I17" s="52"/>
      <c r="J17" s="52"/>
      <c r="K17" s="52"/>
      <c r="L17" s="52"/>
      <c r="M17" s="52"/>
      <c r="N17" s="52"/>
      <c r="O17" s="52"/>
      <c r="P17" s="52"/>
    </row>
    <row r="18" spans="1:16">
      <c r="B18" s="470"/>
      <c r="C18" s="52"/>
      <c r="D18" s="470"/>
      <c r="E18" s="470"/>
      <c r="F18" s="52"/>
      <c r="G18" s="470"/>
      <c r="H18" s="470"/>
      <c r="I18" s="52"/>
      <c r="J18" s="52"/>
      <c r="K18" s="52"/>
      <c r="L18" s="52"/>
      <c r="M18" s="52"/>
      <c r="N18" s="52"/>
      <c r="O18" s="52"/>
      <c r="P18" s="52"/>
    </row>
    <row r="19" spans="1:16">
      <c r="B19" s="470"/>
      <c r="C19" s="52"/>
      <c r="D19" s="470"/>
      <c r="E19" s="470"/>
      <c r="F19" s="52"/>
      <c r="G19" s="470"/>
      <c r="H19" s="470"/>
      <c r="I19" s="52"/>
      <c r="J19" s="52"/>
      <c r="K19" s="52"/>
      <c r="L19" s="52"/>
      <c r="M19" s="52"/>
      <c r="N19" s="52"/>
      <c r="O19" s="52"/>
      <c r="P19" s="52"/>
    </row>
    <row r="20" spans="1:16">
      <c r="B20" s="470"/>
      <c r="C20" s="52"/>
      <c r="D20" s="470"/>
      <c r="E20" s="470"/>
      <c r="F20" s="52"/>
      <c r="G20" s="470"/>
      <c r="H20" s="470"/>
      <c r="I20" s="52"/>
      <c r="J20" s="52"/>
      <c r="K20" s="52"/>
      <c r="L20" s="52"/>
      <c r="M20" s="52"/>
      <c r="N20" s="52"/>
      <c r="O20" s="52"/>
      <c r="P20" s="52"/>
    </row>
    <row r="21" spans="1:16">
      <c r="B21" s="470"/>
      <c r="C21" s="52"/>
      <c r="D21" s="470"/>
      <c r="E21" s="470"/>
      <c r="F21" s="52"/>
      <c r="G21" s="470"/>
      <c r="H21" s="470"/>
      <c r="I21" s="52"/>
      <c r="J21" s="52"/>
      <c r="K21" s="52"/>
      <c r="L21" s="52"/>
      <c r="M21" s="52"/>
      <c r="N21" s="52"/>
      <c r="O21" s="52"/>
      <c r="P21" s="52"/>
    </row>
    <row r="22" spans="1:16">
      <c r="B22" s="470"/>
      <c r="C22" s="52"/>
      <c r="D22" s="470"/>
      <c r="E22" s="470"/>
      <c r="F22" s="52"/>
      <c r="G22" s="470"/>
      <c r="H22" s="470"/>
      <c r="I22" s="52"/>
      <c r="J22" s="52"/>
      <c r="K22" s="52"/>
      <c r="L22" s="52"/>
      <c r="M22" s="52"/>
      <c r="N22" s="52"/>
      <c r="O22" s="52"/>
      <c r="P22" s="52"/>
    </row>
    <row r="23" spans="1:16" ht="15.75" thickBot="1">
      <c r="B23" s="470"/>
      <c r="C23" s="52"/>
      <c r="D23" s="470"/>
      <c r="E23" s="470"/>
      <c r="F23" s="52"/>
      <c r="G23" s="470"/>
      <c r="H23" s="470"/>
      <c r="I23" s="52"/>
      <c r="J23" s="52"/>
      <c r="K23" s="52"/>
      <c r="L23" s="52"/>
      <c r="M23" s="52"/>
      <c r="N23" s="52"/>
      <c r="O23" s="52"/>
      <c r="P23" s="52"/>
    </row>
    <row r="24" spans="1:16" ht="15.75" thickBot="1">
      <c r="A24" s="473" t="s">
        <v>567</v>
      </c>
    </row>
    <row r="26" spans="1:16" s="466" customFormat="1">
      <c r="A26" s="475" t="s">
        <v>516</v>
      </c>
      <c r="B26" s="475">
        <f t="shared" ref="B26:H26" si="0">SUM(B4:B23)</f>
        <v>0</v>
      </c>
      <c r="C26" s="475"/>
      <c r="D26" s="475">
        <f t="shared" si="0"/>
        <v>0</v>
      </c>
      <c r="E26" s="475">
        <f t="shared" si="0"/>
        <v>0</v>
      </c>
      <c r="F26" s="475"/>
      <c r="G26" s="475">
        <f t="shared" si="0"/>
        <v>0</v>
      </c>
      <c r="H26" s="475">
        <f t="shared" si="0"/>
        <v>0</v>
      </c>
      <c r="I26" s="475"/>
      <c r="J26" s="475"/>
      <c r="K26" s="475"/>
      <c r="L26" s="475"/>
      <c r="M26" s="475"/>
      <c r="N26" s="475"/>
      <c r="O26" s="475"/>
      <c r="P26" s="475"/>
    </row>
    <row r="27" spans="1:16" s="466" customFormat="1">
      <c r="A27" s="475" t="s">
        <v>585</v>
      </c>
      <c r="B27" s="475">
        <f>B26</f>
        <v>0</v>
      </c>
      <c r="C27" s="475"/>
      <c r="D27" s="475">
        <f>D26</f>
        <v>0</v>
      </c>
      <c r="E27" s="475">
        <f>E26</f>
        <v>0</v>
      </c>
      <c r="F27" s="475"/>
      <c r="G27" s="475">
        <f>(1-transport!C35)*'Eigen vloot'!G26</f>
        <v>0</v>
      </c>
      <c r="H27" s="475">
        <f>(1-transport!C42)*'Eigen vloot'!H26</f>
        <v>0</v>
      </c>
      <c r="I27" s="475"/>
      <c r="J27" s="475"/>
      <c r="K27" s="475"/>
      <c r="L27" s="475"/>
      <c r="M27" s="686">
        <f>G26*transport!C35+'Eigen vloot'!H26*transport!C42</f>
        <v>0</v>
      </c>
      <c r="N27" s="475"/>
      <c r="O27" s="475"/>
      <c r="P27" s="475"/>
    </row>
    <row r="29" spans="1:16">
      <c r="A29" s="480" t="s">
        <v>594</v>
      </c>
      <c r="B29" s="505">
        <f ca="1">'EF ele_warmte'!B12</f>
        <v>0.21280384155040658</v>
      </c>
      <c r="C29" s="505">
        <f ca="1">'EF ele_warmte'!B22</f>
        <v>0.23148073745771164</v>
      </c>
      <c r="D29" s="505">
        <f>EF_CO2_aardgas</f>
        <v>0.20200000000000001</v>
      </c>
      <c r="E29" s="505">
        <f>EF_VLgas_CO2</f>
        <v>0.22700000000000001</v>
      </c>
      <c r="F29" s="505">
        <f>EF_stookolie_CO2</f>
        <v>0.26700000000000002</v>
      </c>
      <c r="G29" s="505">
        <f>EF_diesel_CO2</f>
        <v>0.26700000000000002</v>
      </c>
      <c r="H29" s="505">
        <f>EF_benzine_CO2</f>
        <v>0.249</v>
      </c>
      <c r="I29" s="505">
        <f>EF_bruinkool_CO2</f>
        <v>0.35099999999999998</v>
      </c>
      <c r="J29" s="505">
        <f>EF_steenkool_CO2</f>
        <v>0.35399999999999998</v>
      </c>
      <c r="K29" s="505">
        <f>EF_anderfossiel_CO2</f>
        <v>0.26400000000000001</v>
      </c>
      <c r="L29" s="505">
        <f>'EF brandstof'!J4</f>
        <v>0</v>
      </c>
      <c r="M29" s="505">
        <f>'EF brandstof'!K4</f>
        <v>0</v>
      </c>
      <c r="N29" s="505">
        <f>'EF brandstof'!L4</f>
        <v>0</v>
      </c>
      <c r="O29" s="505">
        <v>0</v>
      </c>
      <c r="P29" s="505">
        <v>0</v>
      </c>
    </row>
    <row r="31" spans="1:16">
      <c r="A31" s="475" t="s">
        <v>212</v>
      </c>
      <c r="B31" s="687">
        <f ca="1">B27*B29</f>
        <v>0</v>
      </c>
      <c r="C31" s="687"/>
      <c r="D31" s="687">
        <f>D27*D29</f>
        <v>0</v>
      </c>
      <c r="E31" s="687">
        <f>E27*E29</f>
        <v>0</v>
      </c>
      <c r="F31" s="687"/>
      <c r="G31" s="687">
        <f>G27*G29</f>
        <v>0</v>
      </c>
      <c r="H31" s="687">
        <f>H27*H29</f>
        <v>0</v>
      </c>
      <c r="I31" s="687"/>
      <c r="J31" s="687"/>
      <c r="K31" s="687"/>
      <c r="L31" s="687"/>
      <c r="M31" s="687">
        <f>M27*M29</f>
        <v>0</v>
      </c>
      <c r="N31" s="503"/>
      <c r="O31" s="503"/>
      <c r="P31" s="50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3" bestFit="1" customWidth="1"/>
    <col min="3" max="3" width="26" customWidth="1"/>
    <col min="4" max="4" width="69.42578125" customWidth="1"/>
  </cols>
  <sheetData>
    <row r="1" spans="1:11" s="43" customFormat="1" ht="15.75" thickBot="1">
      <c r="B1" s="455"/>
    </row>
    <row r="2" spans="1:11" s="43" customFormat="1">
      <c r="A2" s="184" t="s">
        <v>513</v>
      </c>
      <c r="B2" s="506"/>
      <c r="C2" s="185"/>
      <c r="D2" s="186"/>
    </row>
    <row r="3" spans="1:11">
      <c r="A3" s="101"/>
      <c r="B3" s="507"/>
      <c r="C3" s="141" t="s">
        <v>181</v>
      </c>
      <c r="D3" s="144" t="s">
        <v>387</v>
      </c>
    </row>
    <row r="4" spans="1:11">
      <c r="A4" s="44" t="s">
        <v>432</v>
      </c>
      <c r="B4" s="47"/>
      <c r="C4" s="32"/>
      <c r="D4" s="143" t="s">
        <v>389</v>
      </c>
    </row>
    <row r="5" spans="1:11">
      <c r="A5" s="44"/>
      <c r="B5" s="48"/>
      <c r="C5" s="32"/>
      <c r="D5" s="143"/>
    </row>
    <row r="6" spans="1:11" s="10" customFormat="1" ht="21.75" thickBot="1">
      <c r="A6" s="189" t="s">
        <v>465</v>
      </c>
      <c r="B6" s="508"/>
      <c r="C6" s="190"/>
      <c r="D6" s="191"/>
    </row>
    <row r="7" spans="1:11" s="43" customFormat="1" ht="15.75" thickBot="1">
      <c r="B7" s="455"/>
    </row>
    <row r="8" spans="1:11" s="43" customFormat="1">
      <c r="A8" s="184" t="s">
        <v>526</v>
      </c>
      <c r="B8" s="506"/>
      <c r="C8" s="185"/>
      <c r="D8" s="186"/>
    </row>
    <row r="9" spans="1:11" s="32" customFormat="1">
      <c r="A9" s="46"/>
      <c r="B9" s="509"/>
      <c r="C9" s="42"/>
      <c r="D9" s="303"/>
    </row>
    <row r="10" spans="1:11">
      <c r="A10" s="304" t="s">
        <v>555</v>
      </c>
      <c r="B10" s="507"/>
      <c r="C10" s="141" t="s">
        <v>181</v>
      </c>
      <c r="D10" s="144" t="s">
        <v>387</v>
      </c>
      <c r="I10" s="1204"/>
      <c r="K10" s="58"/>
    </row>
    <row r="11" spans="1:11" s="43" customFormat="1">
      <c r="A11" s="44" t="s">
        <v>556</v>
      </c>
      <c r="B11" s="47"/>
      <c r="D11" s="142" t="s">
        <v>388</v>
      </c>
      <c r="I11" s="1204"/>
      <c r="K11" s="58"/>
    </row>
    <row r="12" spans="1:11" s="43" customFormat="1">
      <c r="A12" s="44" t="s">
        <v>557</v>
      </c>
      <c r="B12" s="47"/>
      <c r="D12" s="142" t="s">
        <v>388</v>
      </c>
      <c r="I12" s="1204"/>
      <c r="K12" s="58"/>
    </row>
    <row r="13" spans="1:11" s="43" customFormat="1">
      <c r="A13" s="44"/>
      <c r="B13" s="455"/>
      <c r="D13" s="96"/>
      <c r="I13" s="1204"/>
    </row>
    <row r="14" spans="1:11" s="43" customFormat="1">
      <c r="A14" s="304" t="s">
        <v>554</v>
      </c>
      <c r="B14" s="507"/>
      <c r="C14" s="141" t="s">
        <v>181</v>
      </c>
      <c r="D14" s="144" t="s">
        <v>387</v>
      </c>
      <c r="I14" s="1204"/>
    </row>
    <row r="15" spans="1:11" s="43" customFormat="1">
      <c r="A15" s="44" t="s">
        <v>70</v>
      </c>
      <c r="B15" s="47"/>
      <c r="D15" s="142" t="s">
        <v>388</v>
      </c>
      <c r="I15" s="1204"/>
      <c r="J15" s="1204"/>
    </row>
    <row r="16" spans="1:11" s="43" customFormat="1">
      <c r="A16" s="44" t="s">
        <v>518</v>
      </c>
      <c r="B16" s="47"/>
      <c r="D16" s="142" t="s">
        <v>388</v>
      </c>
      <c r="I16" s="1204"/>
      <c r="J16" s="1204"/>
    </row>
    <row r="17" spans="1:11" s="43" customFormat="1">
      <c r="A17" s="44" t="s">
        <v>77</v>
      </c>
      <c r="B17" s="47"/>
      <c r="D17" s="142" t="s">
        <v>388</v>
      </c>
      <c r="I17" s="1204"/>
      <c r="J17" s="1204"/>
    </row>
    <row r="18" spans="1:11" s="43" customFormat="1">
      <c r="A18" s="44" t="s">
        <v>519</v>
      </c>
      <c r="B18" s="47"/>
      <c r="D18" s="142" t="s">
        <v>388</v>
      </c>
      <c r="I18" s="1204"/>
      <c r="J18" s="1204"/>
      <c r="K18" s="58"/>
    </row>
    <row r="19" spans="1:11" s="43" customFormat="1">
      <c r="A19" s="44" t="s">
        <v>76</v>
      </c>
      <c r="B19" s="47"/>
      <c r="D19" s="142" t="s">
        <v>388</v>
      </c>
      <c r="I19" s="1204"/>
      <c r="J19" s="1205"/>
      <c r="K19" s="58"/>
    </row>
    <row r="20" spans="1:11" s="43" customFormat="1">
      <c r="A20" s="32" t="s">
        <v>520</v>
      </c>
      <c r="B20" s="47"/>
      <c r="D20" s="142" t="s">
        <v>388</v>
      </c>
      <c r="I20" s="305"/>
      <c r="J20" s="306"/>
      <c r="K20" s="58"/>
    </row>
    <row r="21" spans="1:11" s="43" customFormat="1">
      <c r="A21" s="32" t="s">
        <v>521</v>
      </c>
      <c r="B21" s="47"/>
      <c r="D21" s="142" t="s">
        <v>388</v>
      </c>
      <c r="I21" s="305"/>
      <c r="J21" s="306"/>
      <c r="K21" s="58"/>
    </row>
    <row r="22" spans="1:11" s="43" customFormat="1">
      <c r="A22" s="32" t="s">
        <v>522</v>
      </c>
      <c r="B22" s="47"/>
      <c r="D22" s="142" t="s">
        <v>388</v>
      </c>
      <c r="I22" s="305"/>
      <c r="J22" s="306"/>
      <c r="K22" s="58"/>
    </row>
    <row r="23" spans="1:11">
      <c r="A23" s="32" t="s">
        <v>523</v>
      </c>
      <c r="B23" s="47"/>
      <c r="C23" s="43"/>
      <c r="D23" s="142" t="s">
        <v>388</v>
      </c>
      <c r="I23" s="58"/>
      <c r="J23" s="58"/>
      <c r="K23" s="58"/>
    </row>
    <row r="24" spans="1:11">
      <c r="A24" s="32" t="s">
        <v>524</v>
      </c>
      <c r="B24" s="47"/>
      <c r="C24" s="43"/>
      <c r="D24" s="142" t="s">
        <v>388</v>
      </c>
      <c r="I24" s="58"/>
      <c r="J24" s="58"/>
      <c r="K24" s="58"/>
    </row>
    <row r="25" spans="1:11">
      <c r="A25" s="58"/>
      <c r="B25" s="48"/>
      <c r="C25" s="43"/>
      <c r="D25" s="142"/>
      <c r="I25" s="58"/>
      <c r="J25" s="58"/>
      <c r="K25" s="58"/>
    </row>
    <row r="26" spans="1:11" ht="21.75" thickBot="1">
      <c r="A26" s="189" t="s">
        <v>565</v>
      </c>
      <c r="B26" s="510"/>
      <c r="C26" s="108"/>
      <c r="D26" s="109"/>
      <c r="I26" s="58"/>
      <c r="J26" s="58"/>
      <c r="K26" s="58"/>
    </row>
    <row r="28" spans="1:11" ht="15.75" thickBot="1"/>
    <row r="29" spans="1:11" s="43" customFormat="1">
      <c r="A29" s="184" t="s">
        <v>514</v>
      </c>
      <c r="B29" s="506"/>
      <c r="C29" s="185"/>
      <c r="D29" s="186"/>
    </row>
    <row r="30" spans="1:11" s="32" customFormat="1">
      <c r="A30" s="46"/>
      <c r="B30" s="509"/>
      <c r="C30" s="42"/>
      <c r="D30" s="303"/>
    </row>
    <row r="31" spans="1:11">
      <c r="A31" s="304" t="s">
        <v>555</v>
      </c>
      <c r="B31" s="507"/>
      <c r="C31" s="141" t="s">
        <v>181</v>
      </c>
      <c r="D31" s="144" t="s">
        <v>387</v>
      </c>
    </row>
    <row r="32" spans="1:11">
      <c r="A32" s="444" t="s">
        <v>556</v>
      </c>
      <c r="B32" s="47"/>
      <c r="C32" s="48"/>
      <c r="D32" s="142" t="s">
        <v>388</v>
      </c>
    </row>
    <row r="33" spans="1:11">
      <c r="A33" s="44"/>
      <c r="B33" s="48"/>
      <c r="C33" s="48"/>
      <c r="D33" s="142"/>
    </row>
    <row r="34" spans="1:11" s="43" customFormat="1">
      <c r="A34" s="304" t="s">
        <v>554</v>
      </c>
      <c r="B34" s="507"/>
      <c r="C34" s="141" t="s">
        <v>181</v>
      </c>
      <c r="D34" s="144" t="s">
        <v>387</v>
      </c>
      <c r="I34"/>
    </row>
    <row r="35" spans="1:11" s="43" customFormat="1">
      <c r="A35" s="443" t="s">
        <v>70</v>
      </c>
      <c r="B35" s="47"/>
      <c r="D35" s="142" t="s">
        <v>388</v>
      </c>
      <c r="I35" s="1204"/>
      <c r="J35" s="1204"/>
    </row>
    <row r="36" spans="1:11" s="43" customFormat="1">
      <c r="A36" s="443" t="s">
        <v>518</v>
      </c>
      <c r="B36" s="47"/>
      <c r="D36" s="142" t="s">
        <v>388</v>
      </c>
      <c r="I36" s="1204"/>
      <c r="J36" s="1204"/>
    </row>
    <row r="37" spans="1:11" s="43" customFormat="1">
      <c r="A37" s="443" t="s">
        <v>77</v>
      </c>
      <c r="B37" s="47"/>
      <c r="D37" s="142" t="s">
        <v>388</v>
      </c>
      <c r="I37" s="1204"/>
      <c r="J37" s="1204"/>
    </row>
    <row r="38" spans="1:11" s="43" customFormat="1">
      <c r="A38" s="443" t="s">
        <v>519</v>
      </c>
      <c r="B38" s="47"/>
      <c r="D38" s="142" t="s">
        <v>388</v>
      </c>
      <c r="I38" s="1204"/>
      <c r="J38" s="1204"/>
      <c r="K38" s="58"/>
    </row>
    <row r="39" spans="1:11" s="43" customFormat="1">
      <c r="A39" s="443" t="s">
        <v>76</v>
      </c>
      <c r="B39" s="47"/>
      <c r="D39" s="142" t="s">
        <v>388</v>
      </c>
      <c r="I39" s="1204"/>
      <c r="J39" s="1205"/>
      <c r="K39" s="58"/>
    </row>
    <row r="40" spans="1:11" s="43" customFormat="1">
      <c r="A40" s="181" t="s">
        <v>520</v>
      </c>
      <c r="B40" s="48"/>
      <c r="D40" s="142" t="s">
        <v>388</v>
      </c>
      <c r="I40" s="305"/>
      <c r="J40" s="306"/>
      <c r="K40" s="58"/>
    </row>
    <row r="41" spans="1:11" s="43" customFormat="1">
      <c r="A41" s="181" t="s">
        <v>521</v>
      </c>
      <c r="B41" s="47"/>
      <c r="D41" s="142" t="s">
        <v>388</v>
      </c>
      <c r="I41" s="305"/>
      <c r="J41" s="306"/>
      <c r="K41" s="58"/>
    </row>
    <row r="42" spans="1:11" s="43" customFormat="1">
      <c r="A42" s="181" t="s">
        <v>522</v>
      </c>
      <c r="B42" s="47"/>
      <c r="D42" s="142" t="s">
        <v>388</v>
      </c>
      <c r="I42" s="305"/>
      <c r="J42" s="306"/>
      <c r="K42" s="58"/>
    </row>
    <row r="43" spans="1:11">
      <c r="A43" s="181" t="s">
        <v>523</v>
      </c>
      <c r="B43" s="47"/>
      <c r="C43" s="43"/>
      <c r="D43" s="142" t="s">
        <v>388</v>
      </c>
      <c r="I43" s="58"/>
      <c r="J43" s="58"/>
      <c r="K43" s="58"/>
    </row>
    <row r="44" spans="1:11">
      <c r="A44" s="181" t="s">
        <v>524</v>
      </c>
      <c r="B44" s="47"/>
      <c r="C44" s="43"/>
      <c r="D44" s="142" t="s">
        <v>388</v>
      </c>
      <c r="I44" s="58"/>
      <c r="J44" s="58"/>
      <c r="K44" s="58"/>
    </row>
    <row r="45" spans="1:11" s="890" customFormat="1">
      <c r="A45" s="181" t="s">
        <v>719</v>
      </c>
      <c r="B45" s="47"/>
      <c r="C45" s="43"/>
      <c r="D45" s="142" t="s">
        <v>388</v>
      </c>
      <c r="I45" s="58"/>
      <c r="J45" s="58"/>
      <c r="K45" s="58"/>
    </row>
    <row r="46" spans="1:11" s="890" customFormat="1">
      <c r="A46" s="181" t="s">
        <v>720</v>
      </c>
      <c r="B46" s="47"/>
      <c r="C46" s="43"/>
      <c r="D46" s="142" t="s">
        <v>388</v>
      </c>
      <c r="I46" s="58"/>
      <c r="J46" s="58"/>
      <c r="K46" s="58"/>
    </row>
    <row r="47" spans="1:11" s="15" customFormat="1" ht="21.75" thickBot="1">
      <c r="A47" s="972"/>
      <c r="B47" s="187"/>
      <c r="C47" s="153"/>
      <c r="D47" s="307"/>
      <c r="I47" s="58"/>
      <c r="J47" s="58"/>
      <c r="K47" s="58"/>
    </row>
    <row r="48" spans="1:11" s="15" customFormat="1">
      <c r="A48" s="58"/>
      <c r="B48" s="48"/>
      <c r="C48" s="32"/>
      <c r="D48" s="32"/>
      <c r="I48" s="58"/>
      <c r="J48" s="58"/>
      <c r="K48" s="58"/>
    </row>
    <row r="49" spans="1:4" ht="15.75" thickBot="1"/>
    <row r="50" spans="1:4" s="43" customFormat="1">
      <c r="A50" s="184" t="s">
        <v>386</v>
      </c>
      <c r="B50" s="506"/>
      <c r="C50" s="185"/>
      <c r="D50" s="186"/>
    </row>
    <row r="51" spans="1:4">
      <c r="A51" s="101"/>
      <c r="B51" s="507"/>
      <c r="C51" s="141" t="s">
        <v>181</v>
      </c>
      <c r="D51" s="144" t="s">
        <v>387</v>
      </c>
    </row>
    <row r="52" spans="1:4">
      <c r="A52" s="44" t="s">
        <v>558</v>
      </c>
      <c r="B52" s="47"/>
      <c r="C52" s="32"/>
      <c r="D52" s="143" t="s">
        <v>389</v>
      </c>
    </row>
    <row r="53" spans="1:4">
      <c r="A53" s="44" t="s">
        <v>559</v>
      </c>
      <c r="B53" s="47"/>
      <c r="C53" s="32"/>
      <c r="D53" s="143" t="s">
        <v>389</v>
      </c>
    </row>
    <row r="54" spans="1:4" ht="15.75" thickBot="1">
      <c r="A54" s="45"/>
      <c r="B54" s="187"/>
      <c r="C54" s="153"/>
      <c r="D54" s="192"/>
    </row>
    <row r="56" spans="1:4" ht="15.75" thickBot="1"/>
    <row r="57" spans="1:4" s="43" customFormat="1">
      <c r="A57" s="184" t="s">
        <v>515</v>
      </c>
      <c r="B57" s="506"/>
      <c r="C57" s="185"/>
      <c r="D57" s="186"/>
    </row>
    <row r="58" spans="1:4">
      <c r="A58" s="101"/>
      <c r="B58" s="507"/>
      <c r="C58" s="141" t="s">
        <v>181</v>
      </c>
      <c r="D58" s="144" t="s">
        <v>387</v>
      </c>
    </row>
    <row r="59" spans="1:4">
      <c r="A59" s="44" t="s">
        <v>560</v>
      </c>
      <c r="B59" s="47"/>
      <c r="C59" s="32"/>
      <c r="D59" s="142" t="s">
        <v>154</v>
      </c>
    </row>
    <row r="60" spans="1:4">
      <c r="A60" s="44" t="s">
        <v>561</v>
      </c>
      <c r="B60" s="47"/>
      <c r="C60" s="32"/>
      <c r="D60" s="142" t="s">
        <v>155</v>
      </c>
    </row>
    <row r="61" spans="1:4">
      <c r="A61" s="44" t="s">
        <v>562</v>
      </c>
      <c r="B61" s="47"/>
      <c r="C61" s="48"/>
      <c r="D61" s="142" t="s">
        <v>385</v>
      </c>
    </row>
    <row r="62" spans="1:4">
      <c r="A62" s="44" t="s">
        <v>563</v>
      </c>
      <c r="B62" s="47"/>
      <c r="C62" s="48"/>
      <c r="D62" s="142" t="s">
        <v>111</v>
      </c>
    </row>
    <row r="63" spans="1:4">
      <c r="A63" s="44"/>
      <c r="B63" s="48"/>
      <c r="C63" s="48"/>
      <c r="D63" s="142"/>
    </row>
    <row r="64" spans="1:4" ht="21.75" thickBot="1">
      <c r="A64" s="189" t="s">
        <v>517</v>
      </c>
      <c r="B64" s="187"/>
      <c r="C64" s="187"/>
      <c r="D64" s="188"/>
    </row>
    <row r="65" spans="2:2" s="43" customFormat="1">
      <c r="B65" s="455"/>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8" t="s">
        <v>580</v>
      </c>
      <c r="B1" s="649"/>
      <c r="C1" s="649"/>
      <c r="D1" s="649"/>
      <c r="E1" s="650"/>
    </row>
    <row r="2" spans="1:5">
      <c r="A2" s="661" t="s">
        <v>390</v>
      </c>
      <c r="B2" s="666" t="s">
        <v>505</v>
      </c>
      <c r="C2" s="662"/>
      <c r="D2" s="662"/>
      <c r="E2" s="663"/>
    </row>
    <row r="3" spans="1:5">
      <c r="A3" s="664"/>
      <c r="B3" s="665"/>
      <c r="C3" s="653"/>
      <c r="D3" s="653"/>
      <c r="E3" s="654"/>
    </row>
    <row r="4" spans="1:5" s="332" customFormat="1" ht="45">
      <c r="A4" s="652" t="s">
        <v>584</v>
      </c>
      <c r="B4" s="660" t="s">
        <v>573</v>
      </c>
      <c r="C4" s="681" t="s">
        <v>595</v>
      </c>
      <c r="D4" s="682" t="s">
        <v>596</v>
      </c>
      <c r="E4" s="683" t="s">
        <v>597</v>
      </c>
    </row>
    <row r="5" spans="1:5">
      <c r="A5" s="655" t="s">
        <v>574</v>
      </c>
      <c r="B5" s="647" t="s">
        <v>575</v>
      </c>
      <c r="C5" s="678">
        <v>3.678273E-2</v>
      </c>
      <c r="D5" s="679">
        <v>0.27778000000000003</v>
      </c>
      <c r="E5" s="671">
        <f>C5*D5</f>
        <v>1.0217506739400001E-2</v>
      </c>
    </row>
    <row r="6" spans="1:5">
      <c r="A6" s="655" t="s">
        <v>574</v>
      </c>
      <c r="B6" s="647" t="s">
        <v>576</v>
      </c>
      <c r="C6" s="678">
        <v>4.2278999999999997E-2</v>
      </c>
      <c r="D6" s="679">
        <v>0.27778000000000003</v>
      </c>
      <c r="E6" s="671">
        <f t="shared" ref="E6:E21" si="0">C6*D6</f>
        <v>1.174426062E-2</v>
      </c>
    </row>
    <row r="7" spans="1:5">
      <c r="A7" s="655" t="s">
        <v>574</v>
      </c>
      <c r="B7" s="647" t="s">
        <v>577</v>
      </c>
      <c r="C7" s="678">
        <v>42.279000000000003</v>
      </c>
      <c r="D7" s="679">
        <v>0.27778000000000003</v>
      </c>
      <c r="E7" s="671">
        <f t="shared" si="0"/>
        <v>11.744260620000002</v>
      </c>
    </row>
    <row r="8" spans="1:5">
      <c r="A8" s="655" t="s">
        <v>578</v>
      </c>
      <c r="B8" s="647" t="s">
        <v>575</v>
      </c>
      <c r="C8" s="678">
        <v>3.8573799999999998E-2</v>
      </c>
      <c r="D8" s="679">
        <v>0.27778000000000003</v>
      </c>
      <c r="E8" s="671">
        <f t="shared" si="0"/>
        <v>1.0715030164E-2</v>
      </c>
    </row>
    <row r="9" spans="1:5">
      <c r="A9" s="655" t="s">
        <v>578</v>
      </c>
      <c r="B9" s="647" t="s">
        <v>576</v>
      </c>
      <c r="C9" s="678">
        <v>4.0604000000000001E-2</v>
      </c>
      <c r="D9" s="679">
        <v>0.27778000000000003</v>
      </c>
      <c r="E9" s="671">
        <f t="shared" si="0"/>
        <v>1.1278979120000001E-2</v>
      </c>
    </row>
    <row r="10" spans="1:5">
      <c r="A10" s="655" t="s">
        <v>578</v>
      </c>
      <c r="B10" s="647" t="s">
        <v>577</v>
      </c>
      <c r="C10" s="678">
        <v>40.603999999999999</v>
      </c>
      <c r="D10" s="679">
        <v>0.27778000000000003</v>
      </c>
      <c r="E10" s="671">
        <f t="shared" si="0"/>
        <v>11.278979120000001</v>
      </c>
    </row>
    <row r="11" spans="1:5">
      <c r="A11" s="655" t="s">
        <v>598</v>
      </c>
      <c r="B11" s="647" t="s">
        <v>575</v>
      </c>
      <c r="C11" s="678">
        <v>2.3511000000000001E-2</v>
      </c>
      <c r="D11" s="679">
        <v>0.27778000000000003</v>
      </c>
      <c r="E11" s="671">
        <f t="shared" si="0"/>
        <v>6.5308855800000004E-3</v>
      </c>
    </row>
    <row r="12" spans="1:5">
      <c r="A12" s="655" t="s">
        <v>598</v>
      </c>
      <c r="B12" s="647" t="s">
        <v>576</v>
      </c>
      <c r="C12" s="678">
        <v>4.6100000000000002E-2</v>
      </c>
      <c r="D12" s="679">
        <v>0.27778000000000003</v>
      </c>
      <c r="E12" s="671">
        <f t="shared" si="0"/>
        <v>1.2805658000000001E-2</v>
      </c>
    </row>
    <row r="13" spans="1:5">
      <c r="A13" s="655" t="s">
        <v>598</v>
      </c>
      <c r="B13" s="647" t="s">
        <v>577</v>
      </c>
      <c r="C13" s="678">
        <v>46.1</v>
      </c>
      <c r="D13" s="679">
        <v>0.27778000000000003</v>
      </c>
      <c r="E13" s="671">
        <f t="shared" si="0"/>
        <v>12.805658000000001</v>
      </c>
    </row>
    <row r="14" spans="1:5">
      <c r="A14" s="655" t="s">
        <v>599</v>
      </c>
      <c r="B14" s="647" t="s">
        <v>575</v>
      </c>
      <c r="C14" s="678">
        <v>2.6525139999999999E-2</v>
      </c>
      <c r="D14" s="679">
        <v>0.27778000000000003</v>
      </c>
      <c r="E14" s="671">
        <f t="shared" si="0"/>
        <v>7.3681533892000009E-3</v>
      </c>
    </row>
    <row r="15" spans="1:5">
      <c r="A15" s="655" t="s">
        <v>599</v>
      </c>
      <c r="B15" s="647" t="s">
        <v>576</v>
      </c>
      <c r="C15" s="678">
        <v>4.5733000000000003E-2</v>
      </c>
      <c r="D15" s="679">
        <v>0.27778000000000003</v>
      </c>
      <c r="E15" s="671">
        <f t="shared" si="0"/>
        <v>1.2703712740000001E-2</v>
      </c>
    </row>
    <row r="16" spans="1:5">
      <c r="A16" s="655" t="s">
        <v>599</v>
      </c>
      <c r="B16" s="647" t="s">
        <v>577</v>
      </c>
      <c r="C16" s="678">
        <v>45.732999999999997</v>
      </c>
      <c r="D16" s="679">
        <v>0.27778000000000003</v>
      </c>
      <c r="E16" s="671">
        <f t="shared" si="0"/>
        <v>12.70371274</v>
      </c>
    </row>
    <row r="17" spans="1:10">
      <c r="A17" s="655" t="s">
        <v>582</v>
      </c>
      <c r="B17" s="647" t="s">
        <v>579</v>
      </c>
      <c r="C17" s="678">
        <v>3.2923000000000001E-2</v>
      </c>
      <c r="D17" s="679">
        <f>0.27778</f>
        <v>0.27778000000000003</v>
      </c>
      <c r="E17" s="671">
        <f t="shared" si="0"/>
        <v>9.1453509400000015E-3</v>
      </c>
    </row>
    <row r="18" spans="1:10">
      <c r="A18" s="655" t="s">
        <v>583</v>
      </c>
      <c r="B18" s="647" t="s">
        <v>579</v>
      </c>
      <c r="C18" s="678">
        <v>3.8852400000000002E-2</v>
      </c>
      <c r="D18" s="679">
        <f>0.27778</f>
        <v>0.27778000000000003</v>
      </c>
      <c r="E18" s="671">
        <f t="shared" si="0"/>
        <v>1.0792419672000002E-2</v>
      </c>
    </row>
    <row r="19" spans="1:10">
      <c r="A19" s="655" t="s">
        <v>586</v>
      </c>
      <c r="B19" s="647" t="s">
        <v>575</v>
      </c>
      <c r="C19" s="678">
        <v>2.4812460000000001E-2</v>
      </c>
      <c r="D19" s="679">
        <v>0.27778000000000003</v>
      </c>
      <c r="E19" s="671">
        <f t="shared" si="0"/>
        <v>6.8924051388000009E-3</v>
      </c>
    </row>
    <row r="20" spans="1:10">
      <c r="A20" s="655" t="s">
        <v>586</v>
      </c>
      <c r="B20" s="647" t="s">
        <v>576</v>
      </c>
      <c r="C20" s="678">
        <v>4.5948999999999997E-2</v>
      </c>
      <c r="D20" s="679">
        <v>0.27778000000000003</v>
      </c>
      <c r="E20" s="671">
        <f t="shared" si="0"/>
        <v>1.276371322E-2</v>
      </c>
    </row>
    <row r="21" spans="1:10">
      <c r="A21" s="655" t="s">
        <v>586</v>
      </c>
      <c r="B21" s="647" t="s">
        <v>577</v>
      </c>
      <c r="C21" s="678">
        <v>45.948999999999998</v>
      </c>
      <c r="D21" s="679">
        <v>0.27778000000000003</v>
      </c>
      <c r="E21" s="671">
        <f t="shared" si="0"/>
        <v>12.763713220000001</v>
      </c>
    </row>
    <row r="22" spans="1:10" ht="15.75" thickBot="1">
      <c r="A22" s="676"/>
      <c r="B22" s="658"/>
      <c r="C22" s="680"/>
      <c r="D22" s="680"/>
      <c r="E22" s="659"/>
    </row>
    <row r="23" spans="1:10" ht="15.75" thickBot="1">
      <c r="A23" s="651"/>
      <c r="B23" s="651"/>
      <c r="C23" s="651"/>
      <c r="D23" s="651"/>
      <c r="E23" s="651"/>
    </row>
    <row r="24" spans="1:10" ht="15.75" thickBot="1">
      <c r="A24" s="648" t="s">
        <v>581</v>
      </c>
      <c r="B24" s="649"/>
      <c r="C24" s="649"/>
      <c r="D24" s="649"/>
      <c r="E24" s="650"/>
    </row>
    <row r="25" spans="1:10">
      <c r="A25" s="675" t="s">
        <v>390</v>
      </c>
      <c r="B25" s="1066" t="s">
        <v>804</v>
      </c>
      <c r="C25" s="653"/>
      <c r="D25" s="653"/>
      <c r="E25" s="654"/>
    </row>
    <row r="26" spans="1:10">
      <c r="A26" s="44"/>
      <c r="B26" s="43"/>
      <c r="C26" s="43"/>
      <c r="D26" s="43"/>
      <c r="E26" s="96"/>
    </row>
    <row r="27" spans="1:10" s="332" customFormat="1">
      <c r="A27" s="652" t="s">
        <v>584</v>
      </c>
      <c r="B27" s="660" t="s">
        <v>573</v>
      </c>
      <c r="C27" s="668"/>
      <c r="D27" s="667"/>
      <c r="E27" s="683" t="s">
        <v>588</v>
      </c>
    </row>
    <row r="28" spans="1:10">
      <c r="A28" s="655" t="s">
        <v>201</v>
      </c>
      <c r="B28" s="647" t="s">
        <v>575</v>
      </c>
      <c r="C28" s="669"/>
      <c r="D28" s="670"/>
      <c r="E28" s="677">
        <f>E29*0.84</f>
        <v>9.962166666666666E-3</v>
      </c>
      <c r="G28" s="651"/>
      <c r="H28" s="795"/>
      <c r="I28" s="795"/>
      <c r="J28" s="795"/>
    </row>
    <row r="29" spans="1:10">
      <c r="A29" s="655" t="s">
        <v>201</v>
      </c>
      <c r="B29" s="647" t="s">
        <v>576</v>
      </c>
      <c r="C29" s="669"/>
      <c r="D29" s="670"/>
      <c r="E29" s="677">
        <f>0.042695/3.6</f>
        <v>1.1859722222222221E-2</v>
      </c>
      <c r="F29" s="909"/>
      <c r="G29" s="651"/>
      <c r="H29" s="795"/>
      <c r="I29" s="795"/>
      <c r="J29" s="795"/>
    </row>
    <row r="30" spans="1:10">
      <c r="A30" s="655" t="s">
        <v>119</v>
      </c>
      <c r="B30" s="647" t="s">
        <v>575</v>
      </c>
      <c r="C30" s="669"/>
      <c r="D30" s="670"/>
      <c r="E30" s="677">
        <f>E31*0.75</f>
        <v>9.1195833333333337E-3</v>
      </c>
      <c r="H30" s="795"/>
      <c r="I30" s="795"/>
      <c r="J30" s="795"/>
    </row>
    <row r="31" spans="1:10">
      <c r="A31" s="655" t="s">
        <v>119</v>
      </c>
      <c r="B31" s="647" t="s">
        <v>576</v>
      </c>
      <c r="C31" s="669"/>
      <c r="D31" s="670"/>
      <c r="E31" s="677">
        <f>0.043774/3.6</f>
        <v>1.2159444444444445E-2</v>
      </c>
      <c r="H31" s="795"/>
      <c r="I31" s="795"/>
      <c r="J31" s="795"/>
    </row>
    <row r="32" spans="1:10">
      <c r="A32" s="655" t="s">
        <v>586</v>
      </c>
      <c r="B32" s="647" t="s">
        <v>575</v>
      </c>
      <c r="C32" s="669"/>
      <c r="D32" s="670"/>
      <c r="E32" s="677">
        <f>E33*0.52</f>
        <v>6.7259111111111118E-3</v>
      </c>
      <c r="H32" s="795"/>
    </row>
    <row r="33" spans="1:8">
      <c r="A33" s="655" t="s">
        <v>586</v>
      </c>
      <c r="B33" s="647" t="s">
        <v>576</v>
      </c>
      <c r="C33" s="669"/>
      <c r="D33" s="670"/>
      <c r="E33" s="677">
        <f>0.046564/3.6</f>
        <v>1.2934444444444445E-2</v>
      </c>
      <c r="H33" s="795"/>
    </row>
    <row r="34" spans="1:8">
      <c r="A34" s="655" t="s">
        <v>587</v>
      </c>
      <c r="B34" s="647" t="s">
        <v>575</v>
      </c>
      <c r="C34" s="669"/>
      <c r="D34" s="670"/>
      <c r="E34" s="677">
        <f>E35*0.175</f>
        <v>2.3333333333333331E-3</v>
      </c>
      <c r="H34" s="795"/>
    </row>
    <row r="35" spans="1:8">
      <c r="A35" s="655" t="s">
        <v>587</v>
      </c>
      <c r="B35" s="647" t="s">
        <v>576</v>
      </c>
      <c r="C35" s="669"/>
      <c r="D35" s="670"/>
      <c r="E35" s="677">
        <f>0.048/3.6</f>
        <v>1.3333333333333332E-2</v>
      </c>
      <c r="H35" s="795"/>
    </row>
    <row r="36" spans="1:8" ht="15.75" thickBot="1">
      <c r="A36" s="656"/>
      <c r="B36" s="657"/>
      <c r="C36" s="672"/>
      <c r="D36" s="673"/>
      <c r="E36" s="67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430</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443</v>
      </c>
      <c r="B6" s="130" t="s">
        <v>444</v>
      </c>
      <c r="C6" s="131" t="s">
        <v>446</v>
      </c>
    </row>
    <row r="7" spans="1:3" s="11" customFormat="1">
      <c r="A7" s="123"/>
      <c r="B7" s="158"/>
      <c r="C7" s="159" t="s">
        <v>600</v>
      </c>
    </row>
    <row r="8" spans="1:3" s="11" customFormat="1">
      <c r="A8" s="132"/>
      <c r="B8" s="133"/>
      <c r="C8" s="134"/>
    </row>
    <row r="9" spans="1:3" s="11" customFormat="1">
      <c r="A9" s="113" t="s">
        <v>445</v>
      </c>
      <c r="B9" s="130" t="s">
        <v>448</v>
      </c>
      <c r="C9" s="131" t="s">
        <v>501</v>
      </c>
    </row>
    <row r="10" spans="1:3" s="11" customFormat="1">
      <c r="A10" s="132"/>
      <c r="B10" s="133"/>
      <c r="C10" s="134"/>
    </row>
    <row r="11" spans="1:3" s="11" customFormat="1" ht="18">
      <c r="A11" s="113" t="s">
        <v>447</v>
      </c>
      <c r="B11" s="130" t="s">
        <v>449</v>
      </c>
      <c r="C11" s="156" t="s">
        <v>499</v>
      </c>
    </row>
    <row r="12" spans="1:3" s="11" customFormat="1">
      <c r="A12" s="132"/>
      <c r="B12" s="133"/>
      <c r="C12" s="134"/>
    </row>
    <row r="13" spans="1:3" s="11" customFormat="1" ht="18">
      <c r="A13" s="113" t="s">
        <v>450</v>
      </c>
      <c r="B13" s="130" t="s">
        <v>451</v>
      </c>
      <c r="C13" s="157" t="s">
        <v>500</v>
      </c>
    </row>
    <row r="14" spans="1:3" s="11" customFormat="1">
      <c r="A14" s="132"/>
      <c r="B14" s="133"/>
      <c r="C14" s="134"/>
    </row>
    <row r="15" spans="1:3" s="11" customFormat="1" ht="18">
      <c r="A15" s="113" t="s">
        <v>452</v>
      </c>
      <c r="B15" t="s">
        <v>456</v>
      </c>
      <c r="C15" s="131" t="s">
        <v>502</v>
      </c>
    </row>
    <row r="16" spans="1:3" s="11" customFormat="1">
      <c r="A16" s="132"/>
      <c r="B16" s="133"/>
      <c r="C16" s="134"/>
    </row>
    <row r="17" spans="1:3" s="11" customFormat="1" ht="30">
      <c r="A17" s="113" t="s">
        <v>389</v>
      </c>
      <c r="B17" s="130" t="s">
        <v>457</v>
      </c>
      <c r="C17" s="131" t="s">
        <v>503</v>
      </c>
    </row>
    <row r="18" spans="1:3" s="11" customFormat="1">
      <c r="A18" s="132"/>
      <c r="B18" s="133"/>
      <c r="C18" s="134" t="s">
        <v>453</v>
      </c>
    </row>
    <row r="19" spans="1:3" s="11" customFormat="1" ht="30">
      <c r="A19" s="113" t="s">
        <v>454</v>
      </c>
      <c r="B19" s="130" t="s">
        <v>458</v>
      </c>
      <c r="C19" s="131" t="s">
        <v>504</v>
      </c>
    </row>
    <row r="20" spans="1:3" s="11" customFormat="1">
      <c r="A20" s="132"/>
      <c r="B20" s="133"/>
      <c r="C20" s="134"/>
    </row>
    <row r="21" spans="1:3" s="11" customFormat="1" ht="30">
      <c r="A21" s="113" t="s">
        <v>455</v>
      </c>
      <c r="B21" s="130" t="s">
        <v>797</v>
      </c>
      <c r="C21" s="131" t="s">
        <v>568</v>
      </c>
    </row>
    <row r="22" spans="1:3" s="11" customFormat="1">
      <c r="A22" s="140"/>
      <c r="B22" s="158"/>
      <c r="C22" s="159"/>
    </row>
    <row r="23" spans="1:3" ht="21">
      <c r="A23" s="126" t="s">
        <v>460</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8"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862</v>
      </c>
      <c r="B1" s="1297">
        <v>2018</v>
      </c>
      <c r="C1" s="1298"/>
      <c r="D1" s="1298"/>
      <c r="E1" s="1298"/>
      <c r="F1" s="1299"/>
    </row>
    <row r="2" spans="1:6">
      <c r="A2" s="332"/>
      <c r="B2" s="332"/>
      <c r="C2" s="332"/>
      <c r="D2" s="332"/>
      <c r="E2" s="332"/>
      <c r="F2" s="332"/>
    </row>
    <row r="3" spans="1:6" ht="19.5">
      <c r="A3" s="1300" t="s">
        <v>0</v>
      </c>
      <c r="B3" s="332"/>
      <c r="C3" s="332"/>
      <c r="D3" s="332"/>
      <c r="E3" s="332"/>
      <c r="F3" s="332"/>
    </row>
    <row r="4" spans="1:6" ht="22.5">
      <c r="A4" s="1301" t="s">
        <v>862</v>
      </c>
      <c r="B4" s="332"/>
      <c r="C4" s="332"/>
      <c r="D4" s="332"/>
      <c r="E4" s="332"/>
      <c r="F4" s="332"/>
    </row>
    <row r="5" spans="1:6" ht="22.5">
      <c r="A5" s="1301" t="s">
        <v>863</v>
      </c>
      <c r="B5" s="332"/>
      <c r="C5" s="332"/>
      <c r="D5" s="332"/>
      <c r="E5" s="332"/>
      <c r="F5" s="332"/>
    </row>
    <row r="6" spans="1:6" ht="15.75" thickBot="1">
      <c r="A6" s="332"/>
      <c r="B6" s="332"/>
      <c r="C6" s="332"/>
      <c r="D6" s="332"/>
      <c r="E6" s="332"/>
      <c r="F6" s="332"/>
    </row>
    <row r="7" spans="1:6" ht="20.25" thickBot="1">
      <c r="A7" s="1302" t="s">
        <v>1</v>
      </c>
      <c r="B7" s="333" t="s">
        <v>390</v>
      </c>
      <c r="C7" s="333" t="s">
        <v>391</v>
      </c>
      <c r="D7" s="333"/>
      <c r="E7" s="333"/>
      <c r="F7" s="334"/>
    </row>
    <row r="8" spans="1:6" ht="16.5" thickTop="1" thickBot="1">
      <c r="A8" s="1303" t="s">
        <v>4</v>
      </c>
      <c r="B8" s="1304"/>
      <c r="C8" s="1304"/>
      <c r="D8" s="1298"/>
      <c r="E8" s="1298"/>
      <c r="F8" s="1299"/>
    </row>
    <row r="9" spans="1:6">
      <c r="A9" s="1305" t="s">
        <v>2</v>
      </c>
      <c r="B9" s="1306">
        <v>4620</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302" t="s">
        <v>3</v>
      </c>
      <c r="B12" s="333" t="s">
        <v>390</v>
      </c>
      <c r="C12" s="333" t="s">
        <v>618</v>
      </c>
      <c r="D12" s="333"/>
      <c r="E12" s="333"/>
      <c r="F12" s="337"/>
    </row>
    <row r="13" spans="1:6" ht="16.5" thickTop="1" thickBot="1">
      <c r="A13" s="1307" t="s">
        <v>4</v>
      </c>
      <c r="B13" s="1308" t="s">
        <v>5</v>
      </c>
      <c r="C13" s="1308"/>
      <c r="D13" s="1308"/>
      <c r="E13" s="1308"/>
      <c r="F13" s="1309"/>
    </row>
    <row r="14" spans="1:6">
      <c r="A14" s="1310" t="s">
        <v>666</v>
      </c>
      <c r="B14" s="1311">
        <v>3268.13</v>
      </c>
      <c r="C14" s="332"/>
      <c r="D14" s="332"/>
      <c r="E14" s="332"/>
      <c r="F14" s="332"/>
    </row>
    <row r="15" spans="1:6">
      <c r="A15" s="1310" t="s">
        <v>183</v>
      </c>
      <c r="B15" s="1311">
        <v>10</v>
      </c>
      <c r="C15" s="332"/>
      <c r="D15" s="332"/>
      <c r="E15" s="332"/>
      <c r="F15" s="332"/>
    </row>
    <row r="16" spans="1:6">
      <c r="A16" s="1310" t="s">
        <v>6</v>
      </c>
      <c r="B16" s="1311">
        <v>263</v>
      </c>
      <c r="C16" s="332"/>
      <c r="D16" s="332"/>
      <c r="E16" s="332"/>
      <c r="F16" s="332"/>
    </row>
    <row r="17" spans="1:6">
      <c r="A17" s="1310" t="s">
        <v>7</v>
      </c>
      <c r="B17" s="1311">
        <v>745</v>
      </c>
      <c r="C17" s="332"/>
      <c r="D17" s="332"/>
      <c r="E17" s="332"/>
      <c r="F17" s="332"/>
    </row>
    <row r="18" spans="1:6">
      <c r="A18" s="1310" t="s">
        <v>8</v>
      </c>
      <c r="B18" s="1311">
        <v>911</v>
      </c>
      <c r="C18" s="332"/>
      <c r="D18" s="332"/>
      <c r="E18" s="332"/>
      <c r="F18" s="332"/>
    </row>
    <row r="19" spans="1:6">
      <c r="A19" s="1310" t="s">
        <v>9</v>
      </c>
      <c r="B19" s="1311">
        <v>804</v>
      </c>
      <c r="C19" s="332"/>
      <c r="D19" s="332"/>
      <c r="E19" s="332"/>
      <c r="F19" s="332"/>
    </row>
    <row r="20" spans="1:6">
      <c r="A20" s="1310" t="s">
        <v>10</v>
      </c>
      <c r="B20" s="1311">
        <v>579</v>
      </c>
      <c r="C20" s="332"/>
      <c r="D20" s="332"/>
      <c r="E20" s="332"/>
      <c r="F20" s="332"/>
    </row>
    <row r="21" spans="1:6">
      <c r="A21" s="1310" t="s">
        <v>11</v>
      </c>
      <c r="B21" s="1311">
        <v>49332</v>
      </c>
      <c r="C21" s="332"/>
      <c r="D21" s="332"/>
      <c r="E21" s="332"/>
      <c r="F21" s="332"/>
    </row>
    <row r="22" spans="1:6">
      <c r="A22" s="1310" t="s">
        <v>12</v>
      </c>
      <c r="B22" s="1311">
        <v>103920</v>
      </c>
      <c r="C22" s="332"/>
      <c r="D22" s="332"/>
      <c r="E22" s="332"/>
      <c r="F22" s="332"/>
    </row>
    <row r="23" spans="1:6">
      <c r="A23" s="1310" t="s">
        <v>13</v>
      </c>
      <c r="B23" s="1311">
        <v>1398</v>
      </c>
      <c r="C23" s="332"/>
      <c r="D23" s="332"/>
      <c r="E23" s="332"/>
      <c r="F23" s="332"/>
    </row>
    <row r="24" spans="1:6">
      <c r="A24" s="1310" t="s">
        <v>14</v>
      </c>
      <c r="B24" s="1311">
        <v>68</v>
      </c>
      <c r="C24" s="332"/>
      <c r="D24" s="332"/>
      <c r="E24" s="332"/>
      <c r="F24" s="332"/>
    </row>
    <row r="25" spans="1:6">
      <c r="A25" s="1310" t="s">
        <v>15</v>
      </c>
      <c r="B25" s="1311">
        <v>10797</v>
      </c>
      <c r="C25" s="332"/>
      <c r="D25" s="332"/>
      <c r="E25" s="332"/>
      <c r="F25" s="332"/>
    </row>
    <row r="26" spans="1:6">
      <c r="A26" s="1310" t="s">
        <v>16</v>
      </c>
      <c r="B26" s="1311">
        <v>302</v>
      </c>
      <c r="C26" s="332"/>
      <c r="D26" s="332"/>
      <c r="E26" s="332"/>
      <c r="F26" s="332"/>
    </row>
    <row r="27" spans="1:6">
      <c r="A27" s="1310" t="s">
        <v>17</v>
      </c>
      <c r="B27" s="1311">
        <v>0</v>
      </c>
      <c r="C27" s="332"/>
      <c r="D27" s="332"/>
      <c r="E27" s="332"/>
      <c r="F27" s="332"/>
    </row>
    <row r="28" spans="1:6" s="43" customFormat="1">
      <c r="A28" s="1312" t="s">
        <v>18</v>
      </c>
      <c r="B28" s="1313">
        <v>103682</v>
      </c>
      <c r="C28" s="338"/>
      <c r="D28" s="338"/>
      <c r="E28" s="338"/>
      <c r="F28" s="338"/>
    </row>
    <row r="29" spans="1:6">
      <c r="A29" s="1312" t="s">
        <v>699</v>
      </c>
      <c r="B29" s="1313">
        <v>39</v>
      </c>
      <c r="C29" s="338"/>
      <c r="D29" s="338"/>
      <c r="E29" s="338"/>
      <c r="F29" s="338"/>
    </row>
    <row r="30" spans="1:6">
      <c r="A30" s="1305" t="s">
        <v>700</v>
      </c>
      <c r="B30" s="1314">
        <v>7</v>
      </c>
      <c r="C30" s="335"/>
      <c r="D30" s="335"/>
      <c r="E30" s="335"/>
      <c r="F30" s="335"/>
    </row>
    <row r="31" spans="1:6" ht="15.75" thickBot="1">
      <c r="A31" s="336"/>
      <c r="B31" s="332"/>
      <c r="C31" s="332"/>
      <c r="D31" s="332"/>
      <c r="E31" s="332"/>
      <c r="F31" s="332"/>
    </row>
    <row r="32" spans="1:6" ht="20.25" thickBot="1">
      <c r="A32" s="1302" t="s">
        <v>19</v>
      </c>
      <c r="B32" s="333" t="s">
        <v>390</v>
      </c>
      <c r="C32" s="333" t="s">
        <v>781</v>
      </c>
      <c r="D32" s="333"/>
      <c r="E32" s="333"/>
      <c r="F32" s="337"/>
    </row>
    <row r="33" spans="1:6" ht="16.5" thickTop="1" thickBot="1">
      <c r="A33" s="1315"/>
      <c r="B33" s="1316"/>
      <c r="C33" s="1316"/>
      <c r="D33" s="1316"/>
      <c r="E33" s="1316" t="s">
        <v>20</v>
      </c>
      <c r="F33" s="1317"/>
    </row>
    <row r="34" spans="1:6" ht="16.5" thickTop="1" thickBot="1">
      <c r="A34" s="1318" t="s">
        <v>21</v>
      </c>
      <c r="B34" s="1319" t="s">
        <v>22</v>
      </c>
      <c r="C34" s="1319" t="s">
        <v>5</v>
      </c>
      <c r="D34" s="1319" t="s">
        <v>23</v>
      </c>
      <c r="E34" s="1319" t="s">
        <v>5</v>
      </c>
      <c r="F34" s="1320" t="s">
        <v>23</v>
      </c>
    </row>
    <row r="35" spans="1:6">
      <c r="A35" s="1310" t="s">
        <v>24</v>
      </c>
      <c r="B35" s="1310" t="s">
        <v>25</v>
      </c>
      <c r="C35" s="1311">
        <v>0</v>
      </c>
      <c r="D35" s="1311">
        <v>0</v>
      </c>
      <c r="E35" s="1311">
        <v>0</v>
      </c>
      <c r="F35" s="1311">
        <v>0</v>
      </c>
    </row>
    <row r="36" spans="1:6">
      <c r="A36" s="1310" t="s">
        <v>24</v>
      </c>
      <c r="B36" s="1310" t="s">
        <v>26</v>
      </c>
      <c r="C36" s="1311">
        <v>0</v>
      </c>
      <c r="D36" s="1311">
        <v>0</v>
      </c>
      <c r="E36" s="1311">
        <v>3</v>
      </c>
      <c r="F36" s="1311">
        <v>5233.5306329081996</v>
      </c>
    </row>
    <row r="37" spans="1:6">
      <c r="A37" s="1310" t="s">
        <v>24</v>
      </c>
      <c r="B37" s="1310" t="s">
        <v>27</v>
      </c>
      <c r="C37" s="1311">
        <v>0</v>
      </c>
      <c r="D37" s="1311">
        <v>0</v>
      </c>
      <c r="E37" s="1311">
        <v>0</v>
      </c>
      <c r="F37" s="1311">
        <v>0</v>
      </c>
    </row>
    <row r="38" spans="1:6">
      <c r="A38" s="1310" t="s">
        <v>24</v>
      </c>
      <c r="B38" s="1310" t="s">
        <v>28</v>
      </c>
      <c r="C38" s="1311">
        <v>0</v>
      </c>
      <c r="D38" s="1311">
        <v>0</v>
      </c>
      <c r="E38" s="1311">
        <v>0</v>
      </c>
      <c r="F38" s="1311">
        <v>0</v>
      </c>
    </row>
    <row r="39" spans="1:6">
      <c r="A39" s="1310" t="s">
        <v>29</v>
      </c>
      <c r="B39" s="1310" t="s">
        <v>30</v>
      </c>
      <c r="C39" s="1311">
        <v>2604</v>
      </c>
      <c r="D39" s="1311">
        <v>37279256.291616999</v>
      </c>
      <c r="E39" s="1311">
        <v>4211</v>
      </c>
      <c r="F39" s="1311">
        <v>13818974.6255983</v>
      </c>
    </row>
    <row r="40" spans="1:6">
      <c r="A40" s="1310" t="s">
        <v>29</v>
      </c>
      <c r="B40" s="1310" t="s">
        <v>28</v>
      </c>
      <c r="C40" s="1311">
        <v>0</v>
      </c>
      <c r="D40" s="1311">
        <v>0</v>
      </c>
      <c r="E40" s="1311">
        <v>0</v>
      </c>
      <c r="F40" s="1311">
        <v>0</v>
      </c>
    </row>
    <row r="41" spans="1:6">
      <c r="A41" s="1310" t="s">
        <v>31</v>
      </c>
      <c r="B41" s="1310" t="s">
        <v>32</v>
      </c>
      <c r="C41" s="1311">
        <v>77</v>
      </c>
      <c r="D41" s="1311">
        <v>2586316.7533593001</v>
      </c>
      <c r="E41" s="1311">
        <v>169</v>
      </c>
      <c r="F41" s="1311">
        <v>3056467.89063079</v>
      </c>
    </row>
    <row r="42" spans="1:6">
      <c r="A42" s="1310" t="s">
        <v>31</v>
      </c>
      <c r="B42" s="1310" t="s">
        <v>33</v>
      </c>
      <c r="C42" s="1311">
        <v>0</v>
      </c>
      <c r="D42" s="1311">
        <v>0</v>
      </c>
      <c r="E42" s="1311">
        <v>0</v>
      </c>
      <c r="F42" s="1311">
        <v>0</v>
      </c>
    </row>
    <row r="43" spans="1:6">
      <c r="A43" s="1310" t="s">
        <v>31</v>
      </c>
      <c r="B43" s="1310" t="s">
        <v>34</v>
      </c>
      <c r="C43" s="1311">
        <v>0</v>
      </c>
      <c r="D43" s="1311">
        <v>0</v>
      </c>
      <c r="E43" s="1311">
        <v>0</v>
      </c>
      <c r="F43" s="1311">
        <v>0</v>
      </c>
    </row>
    <row r="44" spans="1:6">
      <c r="A44" s="1310" t="s">
        <v>31</v>
      </c>
      <c r="B44" s="1310" t="s">
        <v>35</v>
      </c>
      <c r="C44" s="1311">
        <v>15</v>
      </c>
      <c r="D44" s="1311">
        <v>8305023.7679328602</v>
      </c>
      <c r="E44" s="1311">
        <v>39</v>
      </c>
      <c r="F44" s="1311">
        <v>4743834.3958437899</v>
      </c>
    </row>
    <row r="45" spans="1:6">
      <c r="A45" s="1310" t="s">
        <v>31</v>
      </c>
      <c r="B45" s="1310" t="s">
        <v>36</v>
      </c>
      <c r="C45" s="1311">
        <v>0</v>
      </c>
      <c r="D45" s="1311">
        <v>0</v>
      </c>
      <c r="E45" s="1311">
        <v>0</v>
      </c>
      <c r="F45" s="1311">
        <v>0</v>
      </c>
    </row>
    <row r="46" spans="1:6">
      <c r="A46" s="1310" t="s">
        <v>31</v>
      </c>
      <c r="B46" s="1310" t="s">
        <v>37</v>
      </c>
      <c r="C46" s="1311">
        <v>0</v>
      </c>
      <c r="D46" s="1311">
        <v>0</v>
      </c>
      <c r="E46" s="1311">
        <v>0</v>
      </c>
      <c r="F46" s="1311">
        <v>0</v>
      </c>
    </row>
    <row r="47" spans="1:6">
      <c r="A47" s="1310" t="s">
        <v>31</v>
      </c>
      <c r="B47" s="1310" t="s">
        <v>38</v>
      </c>
      <c r="C47" s="1311">
        <v>0</v>
      </c>
      <c r="D47" s="1311">
        <v>0</v>
      </c>
      <c r="E47" s="1311">
        <v>0</v>
      </c>
      <c r="F47" s="1311">
        <v>0</v>
      </c>
    </row>
    <row r="48" spans="1:6">
      <c r="A48" s="1310" t="s">
        <v>31</v>
      </c>
      <c r="B48" s="1310" t="s">
        <v>28</v>
      </c>
      <c r="C48" s="1311">
        <v>2</v>
      </c>
      <c r="D48" s="1311">
        <v>26891.326616693601</v>
      </c>
      <c r="E48" s="1311">
        <v>5</v>
      </c>
      <c r="F48" s="1311">
        <v>281854.47911100002</v>
      </c>
    </row>
    <row r="49" spans="1:6">
      <c r="A49" s="1310" t="s">
        <v>31</v>
      </c>
      <c r="B49" s="1310" t="s">
        <v>39</v>
      </c>
      <c r="C49" s="1311">
        <v>3</v>
      </c>
      <c r="D49" s="1311">
        <v>271913.11054405698</v>
      </c>
      <c r="E49" s="1311">
        <v>4</v>
      </c>
      <c r="F49" s="1311">
        <v>73898.598987937003</v>
      </c>
    </row>
    <row r="50" spans="1:6">
      <c r="A50" s="1310" t="s">
        <v>31</v>
      </c>
      <c r="B50" s="1310" t="s">
        <v>40</v>
      </c>
      <c r="C50" s="1311">
        <v>17</v>
      </c>
      <c r="D50" s="1311">
        <v>80069119.226854205</v>
      </c>
      <c r="E50" s="1311">
        <v>25</v>
      </c>
      <c r="F50" s="1311">
        <v>152683917.329216</v>
      </c>
    </row>
    <row r="51" spans="1:6">
      <c r="A51" s="1310" t="s">
        <v>41</v>
      </c>
      <c r="B51" s="1310" t="s">
        <v>42</v>
      </c>
      <c r="C51" s="1311">
        <v>42</v>
      </c>
      <c r="D51" s="1311">
        <v>139491192.28732401</v>
      </c>
      <c r="E51" s="1311">
        <v>286</v>
      </c>
      <c r="F51" s="1311">
        <v>9409425.7685534004</v>
      </c>
    </row>
    <row r="52" spans="1:6">
      <c r="A52" s="1310" t="s">
        <v>41</v>
      </c>
      <c r="B52" s="1310" t="s">
        <v>28</v>
      </c>
      <c r="C52" s="1311">
        <v>0</v>
      </c>
      <c r="D52" s="1311">
        <v>0</v>
      </c>
      <c r="E52" s="1311">
        <v>0</v>
      </c>
      <c r="F52" s="1311">
        <v>0</v>
      </c>
    </row>
    <row r="53" spans="1:6">
      <c r="A53" s="1310" t="s">
        <v>43</v>
      </c>
      <c r="B53" s="1310" t="s">
        <v>44</v>
      </c>
      <c r="C53" s="1311">
        <v>52</v>
      </c>
      <c r="D53" s="1311">
        <v>591229.33751788898</v>
      </c>
      <c r="E53" s="1311">
        <v>119</v>
      </c>
      <c r="F53" s="1311">
        <v>388357.21925847</v>
      </c>
    </row>
    <row r="54" spans="1:6">
      <c r="A54" s="1310" t="s">
        <v>45</v>
      </c>
      <c r="B54" s="1310" t="s">
        <v>46</v>
      </c>
      <c r="C54" s="1311">
        <v>0</v>
      </c>
      <c r="D54" s="1311">
        <v>0</v>
      </c>
      <c r="E54" s="1311">
        <v>1</v>
      </c>
      <c r="F54" s="1311">
        <v>679771</v>
      </c>
    </row>
    <row r="55" spans="1:6">
      <c r="A55" s="1310" t="s">
        <v>45</v>
      </c>
      <c r="B55" s="1310" t="s">
        <v>28</v>
      </c>
      <c r="C55" s="1311">
        <v>0</v>
      </c>
      <c r="D55" s="1311">
        <v>0</v>
      </c>
      <c r="E55" s="1311">
        <v>0</v>
      </c>
      <c r="F55" s="1311">
        <v>0</v>
      </c>
    </row>
    <row r="56" spans="1:6">
      <c r="A56" s="1310" t="s">
        <v>47</v>
      </c>
      <c r="B56" s="1310" t="s">
        <v>28</v>
      </c>
      <c r="C56" s="1311">
        <v>0</v>
      </c>
      <c r="D56" s="1311">
        <v>0</v>
      </c>
      <c r="E56" s="1311">
        <v>0</v>
      </c>
      <c r="F56" s="1311">
        <v>0</v>
      </c>
    </row>
    <row r="57" spans="1:6">
      <c r="A57" s="1310" t="s">
        <v>48</v>
      </c>
      <c r="B57" s="1310" t="s">
        <v>49</v>
      </c>
      <c r="C57" s="1311">
        <v>69</v>
      </c>
      <c r="D57" s="1311">
        <v>3595008.94883967</v>
      </c>
      <c r="E57" s="1311">
        <v>114</v>
      </c>
      <c r="F57" s="1311">
        <v>2172254.7471569702</v>
      </c>
    </row>
    <row r="58" spans="1:6">
      <c r="A58" s="1310" t="s">
        <v>48</v>
      </c>
      <c r="B58" s="1310" t="s">
        <v>50</v>
      </c>
      <c r="C58" s="1311">
        <v>21</v>
      </c>
      <c r="D58" s="1311">
        <v>1937010.4545588901</v>
      </c>
      <c r="E58" s="1311">
        <v>26</v>
      </c>
      <c r="F58" s="1311">
        <v>728080.07447686198</v>
      </c>
    </row>
    <row r="59" spans="1:6">
      <c r="A59" s="1310" t="s">
        <v>48</v>
      </c>
      <c r="B59" s="1310" t="s">
        <v>51</v>
      </c>
      <c r="C59" s="1311">
        <v>61</v>
      </c>
      <c r="D59" s="1311">
        <v>29935568.059863899</v>
      </c>
      <c r="E59" s="1311">
        <v>131</v>
      </c>
      <c r="F59" s="1311">
        <v>4048855.92106314</v>
      </c>
    </row>
    <row r="60" spans="1:6">
      <c r="A60" s="1310" t="s">
        <v>48</v>
      </c>
      <c r="B60" s="1310" t="s">
        <v>52</v>
      </c>
      <c r="C60" s="1311">
        <v>30</v>
      </c>
      <c r="D60" s="1311">
        <v>1115495.5146059</v>
      </c>
      <c r="E60" s="1311">
        <v>45</v>
      </c>
      <c r="F60" s="1311">
        <v>694151.58588065905</v>
      </c>
    </row>
    <row r="61" spans="1:6">
      <c r="A61" s="1310" t="s">
        <v>48</v>
      </c>
      <c r="B61" s="1310" t="s">
        <v>53</v>
      </c>
      <c r="C61" s="1311">
        <v>81</v>
      </c>
      <c r="D61" s="1311">
        <v>1806366.16655007</v>
      </c>
      <c r="E61" s="1311">
        <v>187</v>
      </c>
      <c r="F61" s="1311">
        <v>1644764.66850068</v>
      </c>
    </row>
    <row r="62" spans="1:6">
      <c r="A62" s="1310" t="s">
        <v>48</v>
      </c>
      <c r="B62" s="1310" t="s">
        <v>54</v>
      </c>
      <c r="C62" s="1311">
        <v>6</v>
      </c>
      <c r="D62" s="1311">
        <v>607648.05810735596</v>
      </c>
      <c r="E62" s="1311">
        <v>8</v>
      </c>
      <c r="F62" s="1311">
        <v>105231.741521391</v>
      </c>
    </row>
    <row r="63" spans="1:6">
      <c r="A63" s="1310" t="s">
        <v>48</v>
      </c>
      <c r="B63" s="1310" t="s">
        <v>28</v>
      </c>
      <c r="C63" s="1311">
        <v>0</v>
      </c>
      <c r="D63" s="1311">
        <v>0</v>
      </c>
      <c r="E63" s="1311">
        <v>0</v>
      </c>
      <c r="F63" s="1311">
        <v>0</v>
      </c>
    </row>
    <row r="64" spans="1:6">
      <c r="A64" s="1310" t="s">
        <v>55</v>
      </c>
      <c r="B64" s="1310" t="s">
        <v>56</v>
      </c>
      <c r="C64" s="1311">
        <v>0</v>
      </c>
      <c r="D64" s="1311">
        <v>0</v>
      </c>
      <c r="E64" s="1311">
        <v>0</v>
      </c>
      <c r="F64" s="1311">
        <v>0</v>
      </c>
    </row>
    <row r="65" spans="1:6">
      <c r="A65" s="1310" t="s">
        <v>55</v>
      </c>
      <c r="B65" s="1310" t="s">
        <v>28</v>
      </c>
      <c r="C65" s="1311">
        <v>0</v>
      </c>
      <c r="D65" s="1311">
        <v>0</v>
      </c>
      <c r="E65" s="1311">
        <v>2</v>
      </c>
      <c r="F65" s="1311">
        <v>41380.8968269342</v>
      </c>
    </row>
    <row r="66" spans="1:6">
      <c r="A66" s="1310" t="s">
        <v>55</v>
      </c>
      <c r="B66" s="1310" t="s">
        <v>57</v>
      </c>
      <c r="C66" s="1311">
        <v>0</v>
      </c>
      <c r="D66" s="1311">
        <v>0</v>
      </c>
      <c r="E66" s="1311">
        <v>0</v>
      </c>
      <c r="F66" s="1311">
        <v>0</v>
      </c>
    </row>
    <row r="67" spans="1:6">
      <c r="A67" s="1312" t="s">
        <v>55</v>
      </c>
      <c r="B67" s="1312" t="s">
        <v>58</v>
      </c>
      <c r="C67" s="1311">
        <v>0</v>
      </c>
      <c r="D67" s="1311">
        <v>0</v>
      </c>
      <c r="E67" s="1311">
        <v>0</v>
      </c>
      <c r="F67" s="1311">
        <v>0</v>
      </c>
    </row>
    <row r="68" spans="1:6">
      <c r="A68" s="1305" t="s">
        <v>55</v>
      </c>
      <c r="B68" s="1305" t="s">
        <v>59</v>
      </c>
      <c r="C68" s="1314">
        <v>3</v>
      </c>
      <c r="D68" s="1314">
        <v>51815.202073750799</v>
      </c>
      <c r="E68" s="1314">
        <v>15</v>
      </c>
      <c r="F68" s="1314">
        <v>99748.817151475901</v>
      </c>
    </row>
    <row r="69" spans="1:6" ht="15.75" thickBot="1">
      <c r="A69" s="336"/>
      <c r="B69" s="332"/>
      <c r="C69" s="332"/>
      <c r="D69" s="332"/>
      <c r="E69" s="332"/>
      <c r="F69" s="332"/>
    </row>
    <row r="70" spans="1:6" ht="19.5">
      <c r="A70" s="1302" t="s">
        <v>60</v>
      </c>
      <c r="B70" s="333" t="s">
        <v>395</v>
      </c>
      <c r="C70" s="333" t="s">
        <v>673</v>
      </c>
      <c r="D70" s="333"/>
      <c r="E70" s="333"/>
      <c r="F70" s="337"/>
    </row>
    <row r="71" spans="1:6" ht="20.25" thickBot="1">
      <c r="A71" s="1321"/>
      <c r="B71" s="339"/>
      <c r="C71" s="339"/>
      <c r="D71" s="340" t="s">
        <v>433</v>
      </c>
      <c r="E71" s="339"/>
      <c r="F71" s="341"/>
    </row>
    <row r="72" spans="1:6" ht="16.5" thickTop="1" thickBot="1">
      <c r="A72" s="1307" t="s">
        <v>61</v>
      </c>
      <c r="B72" s="1308" t="s">
        <v>62</v>
      </c>
      <c r="C72" s="1322" t="s">
        <v>665</v>
      </c>
      <c r="D72" s="1323"/>
      <c r="E72" s="1323"/>
      <c r="F72" s="1309"/>
    </row>
    <row r="73" spans="1:6">
      <c r="A73" s="1310" t="s">
        <v>63</v>
      </c>
      <c r="B73" s="1310" t="s">
        <v>647</v>
      </c>
      <c r="C73" s="1324" t="s">
        <v>649</v>
      </c>
      <c r="D73" s="1325">
        <v>34768379</v>
      </c>
      <c r="E73" s="453"/>
      <c r="F73" s="332"/>
    </row>
    <row r="74" spans="1:6">
      <c r="A74" s="1310" t="s">
        <v>63</v>
      </c>
      <c r="B74" s="1310" t="s">
        <v>648</v>
      </c>
      <c r="C74" s="1324" t="s">
        <v>650</v>
      </c>
      <c r="D74" s="1325">
        <v>4014339.9313740684</v>
      </c>
      <c r="E74" s="453"/>
      <c r="F74" s="332"/>
    </row>
    <row r="75" spans="1:6">
      <c r="A75" s="1310" t="s">
        <v>64</v>
      </c>
      <c r="B75" s="1310" t="s">
        <v>647</v>
      </c>
      <c r="C75" s="1324" t="s">
        <v>651</v>
      </c>
      <c r="D75" s="1325">
        <v>23943839</v>
      </c>
      <c r="E75" s="453"/>
      <c r="F75" s="332"/>
    </row>
    <row r="76" spans="1:6">
      <c r="A76" s="1310" t="s">
        <v>64</v>
      </c>
      <c r="B76" s="1310" t="s">
        <v>648</v>
      </c>
      <c r="C76" s="1324" t="s">
        <v>652</v>
      </c>
      <c r="D76" s="1325">
        <v>1879788.9313740684</v>
      </c>
      <c r="E76" s="453"/>
      <c r="F76" s="332"/>
    </row>
    <row r="77" spans="1:6">
      <c r="A77" s="1310" t="s">
        <v>65</v>
      </c>
      <c r="B77" s="1310" t="s">
        <v>647</v>
      </c>
      <c r="C77" s="1324" t="s">
        <v>653</v>
      </c>
      <c r="D77" s="1325">
        <v>0</v>
      </c>
      <c r="E77" s="453"/>
      <c r="F77" s="332"/>
    </row>
    <row r="78" spans="1:6">
      <c r="A78" s="1305" t="s">
        <v>65</v>
      </c>
      <c r="B78" s="1305" t="s">
        <v>648</v>
      </c>
      <c r="C78" s="1305" t="s">
        <v>654</v>
      </c>
      <c r="D78" s="1326">
        <v>0</v>
      </c>
      <c r="E78" s="1327"/>
      <c r="F78" s="335"/>
    </row>
    <row r="79" spans="1:6">
      <c r="A79" s="1328"/>
      <c r="B79" s="1328"/>
      <c r="C79" s="332"/>
      <c r="D79" s="332"/>
      <c r="E79" s="332"/>
      <c r="F79" s="332"/>
    </row>
    <row r="80" spans="1:6" ht="15.75" thickBot="1">
      <c r="A80" s="1328"/>
      <c r="B80" s="1328"/>
      <c r="C80" s="332"/>
      <c r="D80" s="332"/>
      <c r="E80" s="332"/>
      <c r="F80" s="332"/>
    </row>
    <row r="81" spans="1:6" ht="20.25" thickBot="1">
      <c r="A81" s="1302" t="s">
        <v>333</v>
      </c>
      <c r="B81" s="1329" t="s">
        <v>390</v>
      </c>
      <c r="C81" s="333" t="s">
        <v>864</v>
      </c>
      <c r="D81" s="333"/>
      <c r="E81" s="333"/>
      <c r="F81" s="337"/>
    </row>
    <row r="82" spans="1:6" ht="16.5" thickTop="1" thickBot="1">
      <c r="A82" s="1307" t="s">
        <v>334</v>
      </c>
      <c r="B82" s="1323"/>
      <c r="C82" s="1323"/>
      <c r="D82" s="1308"/>
      <c r="E82" s="1308"/>
      <c r="F82" s="1309"/>
    </row>
    <row r="83" spans="1:6">
      <c r="A83" s="1310" t="s">
        <v>335</v>
      </c>
      <c r="B83" s="1325">
        <v>317214.13725186302</v>
      </c>
      <c r="C83" s="453"/>
      <c r="D83" s="332"/>
      <c r="E83" s="332"/>
      <c r="F83" s="332"/>
    </row>
    <row r="84" spans="1:6">
      <c r="A84" s="1305" t="s">
        <v>336</v>
      </c>
      <c r="B84" s="1326">
        <v>0</v>
      </c>
      <c r="C84" s="1327"/>
      <c r="D84" s="335"/>
      <c r="E84" s="335"/>
      <c r="F84" s="335"/>
    </row>
    <row r="85" spans="1:6">
      <c r="A85" s="1328"/>
      <c r="B85" s="1330"/>
      <c r="C85" s="332"/>
      <c r="D85" s="332"/>
      <c r="E85" s="332"/>
      <c r="F85" s="332"/>
    </row>
    <row r="86" spans="1:6" ht="15.75" thickBot="1">
      <c r="A86" s="336"/>
      <c r="B86" s="332"/>
      <c r="C86" s="332"/>
      <c r="D86" s="332"/>
      <c r="E86" s="332"/>
      <c r="F86" s="332"/>
    </row>
    <row r="87" spans="1:6" ht="20.25" thickBot="1">
      <c r="A87" s="1302" t="s">
        <v>66</v>
      </c>
      <c r="B87" s="333" t="s">
        <v>390</v>
      </c>
      <c r="C87" s="333" t="s">
        <v>397</v>
      </c>
      <c r="D87" s="333"/>
      <c r="E87" s="333"/>
      <c r="F87" s="337"/>
    </row>
    <row r="88" spans="1:6" ht="16.5" thickTop="1" thickBot="1">
      <c r="A88" s="1307" t="s">
        <v>4</v>
      </c>
      <c r="B88" s="1308" t="s">
        <v>169</v>
      </c>
      <c r="C88" s="1308"/>
      <c r="D88" s="1308"/>
      <c r="E88" s="1308"/>
      <c r="F88" s="1309"/>
    </row>
    <row r="89" spans="1:6">
      <c r="A89" s="1310" t="s">
        <v>539</v>
      </c>
      <c r="B89" s="1311">
        <v>0</v>
      </c>
      <c r="C89" s="332"/>
      <c r="D89" s="332"/>
      <c r="E89" s="332"/>
      <c r="F89" s="332"/>
    </row>
    <row r="90" spans="1:6">
      <c r="A90" s="1310" t="s">
        <v>540</v>
      </c>
      <c r="B90" s="1311">
        <v>0</v>
      </c>
      <c r="C90" s="332"/>
      <c r="D90" s="332"/>
      <c r="E90" s="332"/>
      <c r="F90" s="332"/>
    </row>
    <row r="91" spans="1:6">
      <c r="A91" s="1310" t="s">
        <v>67</v>
      </c>
      <c r="B91" s="1311">
        <v>5466.9473426856111</v>
      </c>
      <c r="C91" s="332"/>
      <c r="D91" s="332"/>
      <c r="E91" s="332"/>
      <c r="F91" s="332"/>
    </row>
    <row r="92" spans="1:6">
      <c r="A92" s="1305" t="s">
        <v>68</v>
      </c>
      <c r="B92" s="1306">
        <v>4560.4089610507617</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302" t="s">
        <v>69</v>
      </c>
      <c r="B95" s="333" t="s">
        <v>390</v>
      </c>
      <c r="C95" s="333" t="s">
        <v>398</v>
      </c>
      <c r="D95" s="333"/>
      <c r="E95" s="333"/>
      <c r="F95" s="337"/>
    </row>
    <row r="96" spans="1:6" ht="16.5" thickTop="1" thickBot="1">
      <c r="A96" s="1307" t="s">
        <v>4</v>
      </c>
      <c r="B96" s="1308" t="s">
        <v>5</v>
      </c>
      <c r="C96" s="1308"/>
      <c r="D96" s="1308"/>
      <c r="E96" s="1308"/>
      <c r="F96" s="1309"/>
    </row>
    <row r="97" spans="1:6">
      <c r="A97" s="1310" t="s">
        <v>70</v>
      </c>
      <c r="B97" s="1311">
        <v>1342</v>
      </c>
      <c r="C97" s="332"/>
      <c r="D97" s="332"/>
      <c r="E97" s="332"/>
      <c r="F97" s="332"/>
    </row>
    <row r="98" spans="1:6">
      <c r="A98" s="1310" t="s">
        <v>71</v>
      </c>
      <c r="B98" s="1311">
        <v>2</v>
      </c>
      <c r="C98" s="332"/>
      <c r="D98" s="332"/>
      <c r="E98" s="332"/>
      <c r="F98" s="332"/>
    </row>
    <row r="99" spans="1:6">
      <c r="A99" s="1310" t="s">
        <v>72</v>
      </c>
      <c r="B99" s="1311">
        <v>211</v>
      </c>
      <c r="C99" s="332"/>
      <c r="D99" s="332"/>
      <c r="E99" s="332"/>
      <c r="F99" s="332"/>
    </row>
    <row r="100" spans="1:6">
      <c r="A100" s="1310" t="s">
        <v>73</v>
      </c>
      <c r="B100" s="1311">
        <v>301</v>
      </c>
      <c r="C100" s="332"/>
      <c r="D100" s="332"/>
      <c r="E100" s="332"/>
      <c r="F100" s="332"/>
    </row>
    <row r="101" spans="1:6">
      <c r="A101" s="1310" t="s">
        <v>74</v>
      </c>
      <c r="B101" s="1311">
        <v>150</v>
      </c>
      <c r="C101" s="332"/>
      <c r="D101" s="332"/>
      <c r="E101" s="332"/>
      <c r="F101" s="332"/>
    </row>
    <row r="102" spans="1:6">
      <c r="A102" s="1310" t="s">
        <v>75</v>
      </c>
      <c r="B102" s="1311">
        <v>64</v>
      </c>
      <c r="C102" s="332"/>
      <c r="D102" s="332"/>
      <c r="E102" s="332"/>
      <c r="F102" s="332"/>
    </row>
    <row r="103" spans="1:6">
      <c r="A103" s="1310" t="s">
        <v>76</v>
      </c>
      <c r="B103" s="1311">
        <v>162</v>
      </c>
      <c r="C103" s="332"/>
      <c r="D103" s="332"/>
      <c r="E103" s="332"/>
      <c r="F103" s="332"/>
    </row>
    <row r="104" spans="1:6">
      <c r="A104" s="1310" t="s">
        <v>77</v>
      </c>
      <c r="B104" s="1311">
        <v>1769</v>
      </c>
      <c r="C104" s="332"/>
      <c r="D104" s="332"/>
      <c r="E104" s="332"/>
      <c r="F104" s="332"/>
    </row>
    <row r="105" spans="1:6">
      <c r="A105" s="1305" t="s">
        <v>78</v>
      </c>
      <c r="B105" s="1314">
        <v>0</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302" t="s">
        <v>636</v>
      </c>
      <c r="B108" s="333" t="s">
        <v>390</v>
      </c>
      <c r="C108" s="333" t="s">
        <v>397</v>
      </c>
      <c r="D108" s="333"/>
      <c r="E108" s="333"/>
      <c r="F108" s="337"/>
    </row>
    <row r="109" spans="1:6" ht="16.5" thickTop="1" thickBot="1">
      <c r="A109" s="1307" t="s">
        <v>4</v>
      </c>
      <c r="B109" s="1308" t="s">
        <v>5</v>
      </c>
      <c r="C109" s="1308"/>
      <c r="D109" s="1308"/>
      <c r="E109" s="1308"/>
      <c r="F109" s="1309"/>
    </row>
    <row r="110" spans="1:6">
      <c r="A110" s="1310" t="s">
        <v>637</v>
      </c>
      <c r="B110" s="1311">
        <v>0</v>
      </c>
      <c r="C110" s="332"/>
      <c r="D110" s="332"/>
      <c r="E110" s="332"/>
      <c r="F110" s="332"/>
    </row>
    <row r="111" spans="1:6">
      <c r="A111" s="1331" t="s">
        <v>638</v>
      </c>
      <c r="B111" s="1332">
        <v>0</v>
      </c>
      <c r="C111" s="1334"/>
      <c r="D111" s="1334"/>
      <c r="E111" s="1334"/>
      <c r="F111" s="1334"/>
    </row>
    <row r="112" spans="1:6">
      <c r="A112" s="1310"/>
      <c r="B112" s="332"/>
      <c r="C112" s="332"/>
      <c r="D112" s="332"/>
      <c r="E112" s="332"/>
      <c r="F112" s="332"/>
    </row>
    <row r="113" spans="1:6" ht="15.75" thickBot="1">
      <c r="A113" s="1305"/>
      <c r="B113" s="335"/>
      <c r="C113" s="335"/>
      <c r="D113" s="335"/>
      <c r="E113" s="335"/>
      <c r="F113" s="335"/>
    </row>
    <row r="114" spans="1:6" ht="20.25" thickBot="1">
      <c r="A114" s="1302" t="s">
        <v>79</v>
      </c>
      <c r="B114" s="333" t="s">
        <v>390</v>
      </c>
      <c r="C114" s="333" t="s">
        <v>397</v>
      </c>
      <c r="D114" s="333"/>
      <c r="E114" s="333"/>
      <c r="F114" s="337"/>
    </row>
    <row r="115" spans="1:6" ht="16.5" thickTop="1" thickBot="1">
      <c r="A115" s="342"/>
      <c r="B115" s="343" t="s">
        <v>80</v>
      </c>
      <c r="C115" s="343" t="s">
        <v>81</v>
      </c>
      <c r="D115" s="343"/>
      <c r="E115" s="343"/>
      <c r="F115" s="344"/>
    </row>
    <row r="116" spans="1:6" ht="16.5" thickTop="1" thickBot="1">
      <c r="A116" s="1307" t="s">
        <v>4</v>
      </c>
      <c r="B116" s="1308" t="s">
        <v>5</v>
      </c>
      <c r="C116" s="1308" t="s">
        <v>5</v>
      </c>
      <c r="D116" s="1308"/>
      <c r="E116" s="1308"/>
      <c r="F116" s="1309"/>
    </row>
    <row r="117" spans="1:6">
      <c r="A117" s="1310" t="s">
        <v>82</v>
      </c>
      <c r="B117" s="1311">
        <v>0</v>
      </c>
      <c r="C117" s="1311">
        <v>0</v>
      </c>
      <c r="D117" s="332"/>
      <c r="E117" s="332"/>
      <c r="F117" s="332"/>
    </row>
    <row r="118" spans="1:6">
      <c r="A118" s="1310" t="s">
        <v>83</v>
      </c>
      <c r="B118" s="1311">
        <v>0</v>
      </c>
      <c r="C118" s="1311">
        <v>0</v>
      </c>
      <c r="D118" s="332"/>
      <c r="E118" s="332"/>
      <c r="F118" s="332"/>
    </row>
    <row r="119" spans="1:6">
      <c r="A119" s="1310" t="s">
        <v>31</v>
      </c>
      <c r="B119" s="1311">
        <v>0</v>
      </c>
      <c r="C119" s="1311">
        <v>0</v>
      </c>
      <c r="D119" s="332"/>
      <c r="E119" s="332"/>
      <c r="F119" s="332"/>
    </row>
    <row r="120" spans="1:6">
      <c r="A120" s="1310" t="s">
        <v>84</v>
      </c>
      <c r="B120" s="1311">
        <v>0</v>
      </c>
      <c r="C120" s="1311">
        <v>0</v>
      </c>
      <c r="D120" s="332"/>
      <c r="E120" s="332"/>
      <c r="F120" s="332"/>
    </row>
    <row r="121" spans="1:6">
      <c r="A121" s="1310" t="s">
        <v>85</v>
      </c>
      <c r="B121" s="1311">
        <v>1</v>
      </c>
      <c r="C121" s="1311">
        <v>0</v>
      </c>
      <c r="D121" s="332"/>
      <c r="E121" s="332"/>
      <c r="F121" s="332"/>
    </row>
    <row r="122" spans="1:6">
      <c r="A122" s="1310" t="s">
        <v>86</v>
      </c>
      <c r="B122" s="1311">
        <v>0</v>
      </c>
      <c r="C122" s="1311">
        <v>0</v>
      </c>
      <c r="D122" s="332"/>
      <c r="E122" s="332"/>
      <c r="F122" s="332"/>
    </row>
    <row r="123" spans="1:6">
      <c r="A123" s="1310" t="s">
        <v>87</v>
      </c>
      <c r="B123" s="1311">
        <v>12</v>
      </c>
      <c r="C123" s="1311">
        <v>50</v>
      </c>
      <c r="D123" s="332"/>
      <c r="E123" s="332"/>
      <c r="F123" s="332"/>
    </row>
    <row r="124" spans="1:6" s="43" customFormat="1">
      <c r="A124" s="1312" t="s">
        <v>88</v>
      </c>
      <c r="B124" s="1333">
        <v>1</v>
      </c>
      <c r="C124" s="1333">
        <v>0</v>
      </c>
      <c r="D124" s="338"/>
      <c r="E124" s="338"/>
      <c r="F124" s="338"/>
    </row>
    <row r="125" spans="1:6">
      <c r="A125" s="1305" t="s">
        <v>851</v>
      </c>
      <c r="B125" s="1333">
        <v>0</v>
      </c>
      <c r="C125" s="1333">
        <v>0</v>
      </c>
      <c r="D125" s="332"/>
      <c r="E125" s="332"/>
      <c r="F125" s="332"/>
    </row>
    <row r="126" spans="1:6" ht="15.75" thickBot="1">
      <c r="A126" s="1328"/>
      <c r="B126" s="332"/>
      <c r="C126" s="332"/>
      <c r="D126" s="332"/>
      <c r="E126" s="332"/>
      <c r="F126" s="332"/>
    </row>
    <row r="127" spans="1:6" ht="20.25" thickBot="1">
      <c r="A127" s="1302" t="s">
        <v>292</v>
      </c>
      <c r="B127" s="333" t="s">
        <v>390</v>
      </c>
      <c r="C127" s="333" t="s">
        <v>397</v>
      </c>
      <c r="D127" s="333"/>
      <c r="E127" s="333"/>
      <c r="F127" s="337"/>
    </row>
    <row r="128" spans="1:6" ht="16.5" thickTop="1" thickBot="1">
      <c r="A128" s="1307" t="s">
        <v>4</v>
      </c>
      <c r="B128" s="1308" t="s">
        <v>5</v>
      </c>
      <c r="C128" s="1308"/>
      <c r="D128" s="1308"/>
      <c r="E128" s="1308"/>
      <c r="F128" s="1309"/>
    </row>
    <row r="129" spans="1:6">
      <c r="A129" s="1310" t="s">
        <v>293</v>
      </c>
      <c r="B129" s="1311">
        <v>255</v>
      </c>
      <c r="C129" s="332"/>
      <c r="D129" s="332"/>
      <c r="E129" s="332"/>
      <c r="F129" s="332"/>
    </row>
    <row r="130" spans="1:6">
      <c r="A130" s="1310" t="s">
        <v>294</v>
      </c>
      <c r="B130" s="1311">
        <v>5</v>
      </c>
      <c r="C130" s="332"/>
      <c r="D130" s="332"/>
      <c r="E130" s="332"/>
      <c r="F130" s="332"/>
    </row>
    <row r="131" spans="1:6">
      <c r="A131" s="1310" t="s">
        <v>295</v>
      </c>
      <c r="B131" s="1311">
        <v>1</v>
      </c>
      <c r="C131" s="332"/>
      <c r="D131" s="332"/>
      <c r="E131" s="332"/>
      <c r="F131" s="332"/>
    </row>
    <row r="132" spans="1:6">
      <c r="A132" s="1305" t="s">
        <v>296</v>
      </c>
      <c r="B132" s="1306">
        <v>21</v>
      </c>
      <c r="C132" s="335"/>
      <c r="D132" s="335"/>
      <c r="E132" s="335"/>
      <c r="F132" s="335"/>
    </row>
    <row r="133" spans="1:6">
      <c r="A133" s="332"/>
      <c r="B133" s="332"/>
      <c r="C133" s="332"/>
      <c r="D133" s="332"/>
      <c r="E133" s="332"/>
      <c r="F133" s="332"/>
    </row>
    <row r="134" spans="1:6">
      <c r="A134" s="1330"/>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election activeCell="B59" sqref="B59"/>
    </sheetView>
  </sheetViews>
  <sheetFormatPr defaultRowHeight="15"/>
  <cols>
    <col min="1" max="1" width="46.7109375" bestFit="1" customWidth="1"/>
    <col min="2" max="2" width="38.5703125" style="523" customWidth="1"/>
    <col min="7" max="7" width="26.5703125" bestFit="1" customWidth="1"/>
  </cols>
  <sheetData>
    <row r="1" spans="1:12" ht="18.75" thickBot="1">
      <c r="A1" s="121" t="s">
        <v>179</v>
      </c>
      <c r="B1" s="511"/>
      <c r="E1" s="651"/>
      <c r="F1" s="651"/>
    </row>
    <row r="2" spans="1:12">
      <c r="A2" s="44" t="s">
        <v>818</v>
      </c>
      <c r="B2" s="512"/>
      <c r="E2" s="651"/>
      <c r="F2" s="651"/>
    </row>
    <row r="3" spans="1:12">
      <c r="A3" s="44"/>
      <c r="B3" s="512"/>
      <c r="E3" s="651"/>
      <c r="F3" s="651"/>
    </row>
    <row r="4" spans="1:12" ht="18">
      <c r="A4" s="137" t="s">
        <v>180</v>
      </c>
      <c r="B4" s="513" t="s">
        <v>384</v>
      </c>
      <c r="E4" s="651"/>
      <c r="F4" s="651"/>
    </row>
    <row r="5" spans="1:12" ht="21">
      <c r="A5" s="116" t="s">
        <v>182</v>
      </c>
      <c r="B5" s="514"/>
      <c r="E5" s="902"/>
      <c r="F5" s="903"/>
      <c r="G5" s="912"/>
      <c r="H5" s="912"/>
      <c r="I5" s="9"/>
      <c r="J5" s="9"/>
    </row>
    <row r="6" spans="1:12">
      <c r="A6" s="117" t="s">
        <v>183</v>
      </c>
      <c r="B6" s="515">
        <v>4.0513950503279288</v>
      </c>
      <c r="E6" s="904"/>
      <c r="F6" s="904"/>
      <c r="G6" s="913"/>
      <c r="H6" s="913"/>
      <c r="I6" s="10"/>
      <c r="J6" s="10"/>
      <c r="K6" s="10"/>
      <c r="L6" s="10"/>
    </row>
    <row r="7" spans="1:12">
      <c r="A7" s="117" t="s">
        <v>6</v>
      </c>
      <c r="B7" s="515">
        <v>156.21689819973477</v>
      </c>
      <c r="E7" s="651"/>
      <c r="F7" s="651"/>
      <c r="G7" s="914"/>
      <c r="H7" s="914"/>
      <c r="K7" s="10"/>
      <c r="L7" s="10"/>
    </row>
    <row r="8" spans="1:12">
      <c r="A8" s="117" t="s">
        <v>7</v>
      </c>
      <c r="B8" s="515">
        <v>93.640097616740647</v>
      </c>
      <c r="E8" s="651"/>
      <c r="F8" s="651"/>
      <c r="G8" s="914"/>
      <c r="H8" s="914"/>
      <c r="K8" s="10"/>
      <c r="L8" s="10"/>
    </row>
    <row r="9" spans="1:12">
      <c r="A9" s="117" t="s">
        <v>8</v>
      </c>
      <c r="B9" s="515">
        <v>31.909886478760498</v>
      </c>
      <c r="E9" s="904"/>
      <c r="F9" s="904"/>
      <c r="G9" s="913"/>
      <c r="H9" s="913"/>
      <c r="I9" s="10"/>
      <c r="J9" s="10"/>
      <c r="K9" s="10"/>
      <c r="L9" s="10"/>
    </row>
    <row r="10" spans="1:12">
      <c r="A10" s="117" t="s">
        <v>9</v>
      </c>
      <c r="B10" s="515">
        <v>47.900718217356051</v>
      </c>
      <c r="E10" s="905"/>
      <c r="F10" s="905"/>
      <c r="G10" s="915"/>
      <c r="H10" s="915"/>
      <c r="I10" s="11"/>
      <c r="J10" s="11"/>
      <c r="K10" s="10"/>
      <c r="L10" s="10"/>
    </row>
    <row r="11" spans="1:12">
      <c r="A11" s="117" t="s">
        <v>10</v>
      </c>
      <c r="B11" s="515">
        <v>48.479822138264574</v>
      </c>
      <c r="E11" s="651"/>
      <c r="F11" s="905"/>
      <c r="G11" s="915"/>
      <c r="H11" s="915"/>
      <c r="I11" s="11"/>
      <c r="J11" s="11"/>
      <c r="K11" s="10"/>
      <c r="L11" s="10"/>
    </row>
    <row r="12" spans="1:12">
      <c r="A12" s="118" t="s">
        <v>16</v>
      </c>
      <c r="B12" s="515">
        <v>8</v>
      </c>
      <c r="E12" s="905"/>
      <c r="F12" s="904"/>
      <c r="G12" s="913"/>
      <c r="H12" s="913"/>
      <c r="I12" s="10"/>
      <c r="J12" s="10"/>
      <c r="K12" s="10"/>
      <c r="L12" s="10"/>
    </row>
    <row r="13" spans="1:12">
      <c r="A13" s="118" t="s">
        <v>17</v>
      </c>
      <c r="B13" s="515">
        <v>5</v>
      </c>
      <c r="E13" s="904"/>
      <c r="F13" s="904"/>
      <c r="G13" s="913"/>
      <c r="H13" s="913"/>
      <c r="I13" s="10"/>
      <c r="J13" s="10"/>
      <c r="K13" s="10"/>
      <c r="L13" s="10"/>
    </row>
    <row r="14" spans="1:12">
      <c r="A14" s="118" t="s">
        <v>184</v>
      </c>
      <c r="B14" s="515">
        <v>1.5</v>
      </c>
      <c r="E14" s="904"/>
      <c r="F14" s="904"/>
      <c r="G14" s="913"/>
      <c r="H14" s="913"/>
      <c r="I14" s="10"/>
      <c r="J14" s="10"/>
      <c r="K14" s="10"/>
      <c r="L14" s="10"/>
    </row>
    <row r="15" spans="1:12">
      <c r="A15" s="118" t="s">
        <v>185</v>
      </c>
      <c r="B15" s="515">
        <v>18</v>
      </c>
      <c r="E15" s="904"/>
      <c r="F15" s="904"/>
      <c r="G15" s="913"/>
      <c r="H15" s="913"/>
      <c r="I15" s="10"/>
      <c r="J15" s="10"/>
      <c r="K15" s="10"/>
      <c r="L15" s="10"/>
    </row>
    <row r="16" spans="1:12">
      <c r="A16" s="118" t="s">
        <v>779</v>
      </c>
      <c r="B16" s="516">
        <v>10</v>
      </c>
      <c r="E16" s="904"/>
      <c r="F16" s="904"/>
      <c r="G16" s="913"/>
      <c r="H16" s="913"/>
      <c r="I16" s="10"/>
      <c r="J16" s="10"/>
      <c r="K16" s="10"/>
      <c r="L16" s="10"/>
    </row>
    <row r="17" spans="1:12" s="43" customFormat="1" ht="15.75" thickBot="1">
      <c r="A17" s="119"/>
      <c r="B17" s="517"/>
      <c r="E17" s="906"/>
      <c r="F17" s="906"/>
      <c r="G17" s="154"/>
      <c r="H17" s="154"/>
      <c r="I17" s="154"/>
      <c r="J17" s="154"/>
      <c r="K17" s="154"/>
      <c r="L17" s="154"/>
    </row>
    <row r="18" spans="1:12" s="43" customFormat="1" ht="15.75" thickBot="1">
      <c r="A18" s="195"/>
      <c r="B18" s="518"/>
      <c r="E18" s="906"/>
      <c r="F18" s="906"/>
      <c r="G18" s="154"/>
      <c r="H18" s="154"/>
      <c r="I18" s="154"/>
      <c r="J18" s="154"/>
      <c r="K18" s="154"/>
      <c r="L18" s="154"/>
    </row>
    <row r="19" spans="1:12" ht="18.75" thickBot="1">
      <c r="A19" s="121" t="s">
        <v>187</v>
      </c>
      <c r="B19" s="511"/>
      <c r="E19" s="904"/>
      <c r="F19" s="904"/>
      <c r="G19" s="10"/>
      <c r="H19" s="10"/>
      <c r="I19" s="10"/>
      <c r="J19" s="10"/>
      <c r="K19" s="10"/>
      <c r="L19" s="10"/>
    </row>
    <row r="20" spans="1:12">
      <c r="A20" s="44" t="s">
        <v>818</v>
      </c>
      <c r="B20" s="512"/>
      <c r="E20" s="904"/>
      <c r="F20" s="904"/>
      <c r="G20" s="10"/>
      <c r="H20" s="10"/>
      <c r="I20" s="10"/>
      <c r="J20" s="10"/>
      <c r="K20" s="10"/>
      <c r="L20" s="10"/>
    </row>
    <row r="21" spans="1:12">
      <c r="A21" s="44"/>
      <c r="B21" s="512"/>
      <c r="E21" s="904"/>
      <c r="F21" s="904"/>
      <c r="G21" s="10"/>
      <c r="H21" s="10"/>
      <c r="I21" s="10"/>
      <c r="J21" s="10"/>
      <c r="K21" s="10"/>
      <c r="L21" s="10"/>
    </row>
    <row r="22" spans="1:12" ht="18">
      <c r="A22" s="138" t="s">
        <v>180</v>
      </c>
      <c r="B22" s="519" t="s">
        <v>384</v>
      </c>
      <c r="E22" s="904"/>
      <c r="F22" s="904"/>
      <c r="G22" s="10"/>
      <c r="H22" s="10"/>
      <c r="I22" s="10"/>
      <c r="J22" s="10"/>
      <c r="K22" s="10"/>
      <c r="L22" s="10"/>
    </row>
    <row r="23" spans="1:12" s="72" customFormat="1">
      <c r="A23" s="118" t="s">
        <v>182</v>
      </c>
      <c r="B23" s="515">
        <v>11.611186904771801</v>
      </c>
      <c r="E23" s="907"/>
      <c r="F23" s="907"/>
      <c r="G23" s="916"/>
      <c r="H23" s="916"/>
    </row>
    <row r="24" spans="1:12">
      <c r="A24" s="117" t="s">
        <v>183</v>
      </c>
      <c r="B24" s="515">
        <v>4.2231090152811745</v>
      </c>
      <c r="E24" s="904"/>
      <c r="F24" s="904"/>
      <c r="G24" s="913"/>
      <c r="H24" s="913"/>
      <c r="I24" s="10"/>
      <c r="J24" s="10"/>
      <c r="K24" s="10"/>
      <c r="L24" s="10"/>
    </row>
    <row r="25" spans="1:12">
      <c r="A25" s="117" t="s">
        <v>6</v>
      </c>
      <c r="B25" s="515">
        <v>38.845154687972602</v>
      </c>
      <c r="E25" s="904"/>
      <c r="F25" s="904"/>
      <c r="G25" s="913"/>
      <c r="H25" s="913"/>
      <c r="I25" s="10"/>
      <c r="J25" s="10"/>
      <c r="K25" s="10"/>
      <c r="L25" s="10"/>
    </row>
    <row r="26" spans="1:12">
      <c r="A26" s="117" t="s">
        <v>7</v>
      </c>
      <c r="B26" s="515">
        <v>2.6369823340873042</v>
      </c>
      <c r="E26" s="904"/>
      <c r="F26" s="904"/>
      <c r="G26" s="913"/>
      <c r="H26" s="913"/>
      <c r="I26" s="10"/>
      <c r="J26" s="10"/>
      <c r="K26" s="10"/>
      <c r="L26" s="10"/>
    </row>
    <row r="27" spans="1:12">
      <c r="A27" s="117" t="s">
        <v>8</v>
      </c>
      <c r="B27" s="515">
        <v>1.1993683996109175</v>
      </c>
      <c r="E27" s="904"/>
      <c r="F27" s="904"/>
      <c r="G27" s="913"/>
      <c r="H27" s="913"/>
      <c r="I27" s="10"/>
      <c r="J27" s="10"/>
      <c r="K27" s="10"/>
      <c r="L27" s="10"/>
    </row>
    <row r="28" spans="1:12">
      <c r="A28" s="117" t="s">
        <v>9</v>
      </c>
      <c r="B28" s="515">
        <v>5.0655067831320864</v>
      </c>
      <c r="E28" s="904"/>
      <c r="F28" s="904"/>
      <c r="G28" s="913"/>
      <c r="H28" s="913"/>
      <c r="I28" s="10"/>
      <c r="J28" s="10"/>
      <c r="K28" s="10"/>
      <c r="L28" s="10"/>
    </row>
    <row r="29" spans="1:12">
      <c r="A29" s="117" t="s">
        <v>10</v>
      </c>
      <c r="B29" s="515">
        <v>3.8951527391088074</v>
      </c>
      <c r="E29" s="904"/>
      <c r="F29" s="904"/>
      <c r="G29" s="913"/>
      <c r="H29" s="913"/>
      <c r="I29" s="10"/>
      <c r="J29" s="10"/>
      <c r="K29" s="10"/>
      <c r="L29" s="10"/>
    </row>
    <row r="30" spans="1:12">
      <c r="A30" s="118" t="s">
        <v>184</v>
      </c>
      <c r="B30" s="515">
        <v>4.4497459965515276</v>
      </c>
      <c r="E30" s="904"/>
      <c r="F30" s="904"/>
      <c r="G30" s="913"/>
      <c r="H30" s="913"/>
      <c r="I30" s="10"/>
      <c r="J30" s="10"/>
      <c r="K30" s="10"/>
      <c r="L30" s="10"/>
    </row>
    <row r="31" spans="1:12">
      <c r="A31" s="117" t="s">
        <v>11</v>
      </c>
      <c r="B31" s="515">
        <v>1.6075002802320004</v>
      </c>
      <c r="E31" s="904"/>
      <c r="F31" s="904"/>
      <c r="G31" s="913"/>
      <c r="H31" s="913"/>
      <c r="I31" s="10"/>
      <c r="J31" s="10"/>
      <c r="K31" s="10"/>
      <c r="L31" s="10"/>
    </row>
    <row r="32" spans="1:12">
      <c r="A32" s="117" t="s">
        <v>12</v>
      </c>
      <c r="B32" s="515">
        <v>4.8225008406960006</v>
      </c>
      <c r="E32" s="904"/>
      <c r="F32" s="904"/>
      <c r="G32" s="913"/>
      <c r="H32" s="913"/>
      <c r="I32" s="10"/>
      <c r="J32" s="10"/>
      <c r="K32" s="10"/>
      <c r="L32" s="10"/>
    </row>
    <row r="33" spans="1:14">
      <c r="A33" s="117" t="s">
        <v>13</v>
      </c>
      <c r="B33" s="515">
        <v>6.3685027042560023</v>
      </c>
      <c r="E33" s="904"/>
      <c r="F33" s="904"/>
      <c r="G33" s="913"/>
      <c r="H33" s="913"/>
      <c r="I33" s="10"/>
      <c r="J33" s="10"/>
      <c r="K33" s="10"/>
      <c r="L33" s="10"/>
    </row>
    <row r="34" spans="1:14">
      <c r="A34" s="117" t="s">
        <v>14</v>
      </c>
      <c r="B34" s="515">
        <v>4.6362973013280016</v>
      </c>
      <c r="E34" s="904"/>
      <c r="F34" s="904"/>
      <c r="G34" s="913"/>
      <c r="H34" s="913"/>
      <c r="I34" s="10"/>
      <c r="J34" s="10"/>
      <c r="K34" s="10"/>
      <c r="L34" s="10"/>
    </row>
    <row r="35" spans="1:14">
      <c r="A35" s="117" t="s">
        <v>15</v>
      </c>
      <c r="B35" s="515">
        <v>12.338973989496003</v>
      </c>
      <c r="E35" s="904"/>
      <c r="F35" s="904"/>
      <c r="G35" s="913"/>
      <c r="H35" s="913"/>
      <c r="I35" s="10"/>
      <c r="J35" s="10"/>
      <c r="K35" s="10"/>
      <c r="L35" s="10"/>
    </row>
    <row r="36" spans="1:14">
      <c r="A36" s="118" t="s">
        <v>16</v>
      </c>
      <c r="B36" s="515">
        <v>0.19</v>
      </c>
      <c r="E36" s="904"/>
      <c r="F36" s="904"/>
      <c r="G36" s="913"/>
      <c r="H36" s="913"/>
      <c r="I36" s="10"/>
      <c r="J36" s="10"/>
      <c r="K36" s="10"/>
      <c r="L36" s="10"/>
    </row>
    <row r="37" spans="1:14">
      <c r="A37" s="118" t="s">
        <v>17</v>
      </c>
      <c r="B37" s="515">
        <v>0.13</v>
      </c>
      <c r="E37" s="651"/>
      <c r="F37" s="651"/>
      <c r="G37" s="914"/>
      <c r="H37" s="914"/>
    </row>
    <row r="38" spans="1:14">
      <c r="A38" s="118" t="s">
        <v>185</v>
      </c>
      <c r="B38" s="515">
        <v>1.56</v>
      </c>
      <c r="E38" s="651"/>
      <c r="F38" s="651"/>
      <c r="G38" s="914"/>
      <c r="H38" s="914"/>
    </row>
    <row r="39" spans="1:14">
      <c r="A39" s="118" t="s">
        <v>186</v>
      </c>
      <c r="B39" s="515">
        <v>0.76</v>
      </c>
      <c r="E39" s="651"/>
      <c r="F39" s="651"/>
      <c r="G39" s="914"/>
      <c r="H39" s="914"/>
    </row>
    <row r="40" spans="1:14">
      <c r="A40" s="118" t="s">
        <v>18</v>
      </c>
      <c r="B40" s="516">
        <v>2.3316568807791756E-2</v>
      </c>
      <c r="E40" s="651"/>
      <c r="F40" s="651"/>
      <c r="G40" s="914"/>
      <c r="H40" s="914"/>
    </row>
    <row r="41" spans="1:14" s="1056" customFormat="1">
      <c r="A41" s="118" t="s">
        <v>820</v>
      </c>
      <c r="B41" s="516">
        <v>0.08</v>
      </c>
      <c r="E41" s="651"/>
      <c r="F41" s="651"/>
      <c r="G41" s="914"/>
      <c r="H41" s="914"/>
    </row>
    <row r="42" spans="1:14" s="1056" customFormat="1">
      <c r="A42" s="118" t="s">
        <v>821</v>
      </c>
      <c r="B42" s="516">
        <v>0.68</v>
      </c>
      <c r="E42" s="651"/>
      <c r="F42" s="651"/>
      <c r="G42" s="914"/>
      <c r="H42" s="914"/>
    </row>
    <row r="43" spans="1:14" ht="15.75" thickBot="1">
      <c r="A43" s="119"/>
      <c r="B43" s="520"/>
      <c r="E43" s="651"/>
      <c r="F43" s="651"/>
    </row>
    <row r="44" spans="1:14" s="43" customFormat="1" ht="15.75" thickBot="1">
      <c r="A44" s="196"/>
      <c r="B44" s="518"/>
      <c r="E44" s="908"/>
      <c r="F44" s="908"/>
      <c r="G44" s="197"/>
      <c r="H44" s="197"/>
      <c r="I44" s="197"/>
      <c r="J44" s="197"/>
      <c r="K44" s="197"/>
      <c r="L44" s="197"/>
      <c r="M44" s="197"/>
      <c r="N44" s="197"/>
    </row>
    <row r="45" spans="1:14" ht="15.75" thickBot="1">
      <c r="A45" s="121" t="s">
        <v>188</v>
      </c>
      <c r="B45" s="521"/>
      <c r="E45" s="651"/>
      <c r="F45" s="651"/>
    </row>
    <row r="46" spans="1:14">
      <c r="A46" s="44" t="s">
        <v>819</v>
      </c>
      <c r="B46" s="512"/>
      <c r="E46" s="651"/>
      <c r="F46" s="651"/>
    </row>
    <row r="47" spans="1:14">
      <c r="A47" s="44"/>
      <c r="B47" s="512"/>
      <c r="E47" s="651"/>
      <c r="F47" s="651"/>
    </row>
    <row r="48" spans="1:14" ht="18">
      <c r="A48" s="137" t="s">
        <v>189</v>
      </c>
      <c r="B48" s="513" t="s">
        <v>566</v>
      </c>
      <c r="E48" s="651"/>
      <c r="F48" s="651"/>
    </row>
    <row r="49" spans="1:12">
      <c r="A49" s="116" t="s">
        <v>190</v>
      </c>
      <c r="B49" s="1046">
        <v>0.88236033538994996</v>
      </c>
      <c r="E49" s="651"/>
      <c r="F49" s="651"/>
    </row>
    <row r="50" spans="1:12">
      <c r="A50" s="118" t="s">
        <v>191</v>
      </c>
      <c r="B50" s="1047">
        <v>0.95937725030287002</v>
      </c>
      <c r="E50" s="651"/>
      <c r="F50" s="651"/>
    </row>
    <row r="51" spans="1:12">
      <c r="A51" s="118" t="s">
        <v>184</v>
      </c>
      <c r="B51" s="1047">
        <v>3.1041670666800001E-2</v>
      </c>
      <c r="E51" s="651"/>
      <c r="F51" s="651"/>
    </row>
    <row r="52" spans="1:12">
      <c r="A52" s="118" t="s">
        <v>18</v>
      </c>
      <c r="B52" s="1048">
        <v>9.2781101048999999E-4</v>
      </c>
      <c r="E52" s="904"/>
      <c r="F52" s="904"/>
      <c r="G52" s="10"/>
      <c r="H52" s="10"/>
      <c r="I52" s="10"/>
      <c r="J52" s="10"/>
      <c r="K52" s="10"/>
      <c r="L52" s="10"/>
    </row>
    <row r="53" spans="1:12">
      <c r="A53" s="118" t="s">
        <v>16</v>
      </c>
      <c r="B53" s="1049">
        <v>6.4980046374999998E-3</v>
      </c>
      <c r="E53" s="904"/>
      <c r="F53" s="904"/>
      <c r="G53" s="10"/>
      <c r="H53" s="10"/>
      <c r="I53" s="10"/>
      <c r="J53" s="10"/>
      <c r="K53" s="10"/>
      <c r="L53" s="10"/>
    </row>
    <row r="54" spans="1:12" ht="15.75" thickBot="1">
      <c r="A54" s="119" t="s">
        <v>126</v>
      </c>
      <c r="B54" s="1050">
        <v>8.4281657048296973E-2</v>
      </c>
      <c r="E54" s="651"/>
      <c r="F54" s="651"/>
    </row>
    <row r="55" spans="1:12">
      <c r="B55" s="52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53" customWidth="1"/>
    <col min="3" max="3" width="70.28515625" style="526" customWidth="1"/>
  </cols>
  <sheetData>
    <row r="1" spans="1:3" s="332" customFormat="1" ht="15.75" thickBot="1">
      <c r="A1" s="368" t="s">
        <v>617</v>
      </c>
      <c r="B1" s="524"/>
      <c r="C1" s="525"/>
    </row>
    <row r="2" spans="1:3" s="332" customFormat="1">
      <c r="A2" s="372"/>
      <c r="B2" s="492"/>
      <c r="C2" s="527"/>
    </row>
    <row r="3" spans="1:3" s="332" customFormat="1">
      <c r="A3" s="370"/>
      <c r="B3" s="528">
        <v>2018</v>
      </c>
      <c r="C3" s="373" t="s">
        <v>181</v>
      </c>
    </row>
    <row r="4" spans="1:3">
      <c r="A4" s="120" t="s">
        <v>300</v>
      </c>
      <c r="B4" s="529">
        <f>4387834.44129132/1000</f>
        <v>4387.8344412913202</v>
      </c>
      <c r="C4" s="139" t="s">
        <v>823</v>
      </c>
    </row>
    <row r="5" spans="1:3" ht="15.75" thickBot="1">
      <c r="A5" s="925" t="s">
        <v>616</v>
      </c>
      <c r="B5" s="931">
        <v>675915.6</v>
      </c>
      <c r="C5" s="932" t="s">
        <v>822</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2" customFormat="1" ht="15.75" thickBot="1">
      <c r="A1" s="368" t="s">
        <v>434</v>
      </c>
      <c r="B1" s="369"/>
    </row>
    <row r="2" spans="1:2" s="332" customFormat="1">
      <c r="A2" s="360"/>
      <c r="B2" s="367"/>
    </row>
    <row r="3" spans="1:2" s="332" customFormat="1" ht="18">
      <c r="A3" s="370"/>
      <c r="B3" s="371" t="s">
        <v>437</v>
      </c>
    </row>
    <row r="4" spans="1:2" ht="18">
      <c r="A4" s="120" t="s">
        <v>435</v>
      </c>
      <c r="B4" s="530">
        <v>310</v>
      </c>
    </row>
    <row r="5" spans="1:2" ht="18.75" thickBot="1">
      <c r="A5" s="115" t="s">
        <v>436</v>
      </c>
      <c r="B5" s="53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4"/>
      <c r="B1" s="365" t="s">
        <v>198</v>
      </c>
      <c r="C1" s="365" t="s">
        <v>199</v>
      </c>
      <c r="D1" s="365" t="s">
        <v>200</v>
      </c>
      <c r="E1" s="365" t="s">
        <v>201</v>
      </c>
      <c r="F1" s="365" t="s">
        <v>119</v>
      </c>
      <c r="G1" s="365" t="s">
        <v>202</v>
      </c>
      <c r="H1" s="365" t="s">
        <v>203</v>
      </c>
      <c r="I1" s="365" t="s">
        <v>204</v>
      </c>
      <c r="J1" s="365" t="s">
        <v>205</v>
      </c>
      <c r="K1" s="365" t="s">
        <v>206</v>
      </c>
      <c r="L1" s="365" t="s">
        <v>207</v>
      </c>
      <c r="M1" s="366" t="s">
        <v>290</v>
      </c>
    </row>
    <row r="2" spans="1:13" s="332" customFormat="1">
      <c r="A2" s="360" t="s">
        <v>424</v>
      </c>
      <c r="B2" s="338"/>
      <c r="C2" s="338"/>
      <c r="D2" s="338"/>
      <c r="E2" s="338"/>
      <c r="F2" s="338"/>
      <c r="G2" s="338"/>
      <c r="H2" s="338"/>
      <c r="I2" s="338"/>
      <c r="J2" s="338"/>
      <c r="K2" s="338"/>
      <c r="L2" s="338"/>
      <c r="M2" s="367"/>
    </row>
    <row r="3" spans="1:13">
      <c r="A3" s="44"/>
      <c r="B3" s="43"/>
      <c r="C3" s="43"/>
      <c r="D3" s="43"/>
      <c r="E3" s="43"/>
      <c r="F3" s="43"/>
      <c r="G3" s="43"/>
      <c r="H3" s="43"/>
      <c r="I3" s="43"/>
      <c r="J3" s="43"/>
      <c r="K3" s="43"/>
      <c r="L3" s="43"/>
      <c r="M3" s="96"/>
    </row>
    <row r="4" spans="1:13" ht="15.75" thickBot="1">
      <c r="A4" s="210" t="s">
        <v>425</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32"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9" t="s">
        <v>476</v>
      </c>
      <c r="B1" s="198"/>
      <c r="C1" s="198"/>
      <c r="D1" s="198"/>
      <c r="E1" s="198"/>
      <c r="F1" s="198"/>
      <c r="G1" s="198"/>
      <c r="H1" s="198"/>
      <c r="I1" s="198"/>
      <c r="J1" s="198"/>
      <c r="K1" s="199"/>
    </row>
    <row r="2" spans="1:11">
      <c r="A2" s="360"/>
      <c r="B2" s="43"/>
      <c r="C2" s="43"/>
      <c r="D2" s="43"/>
      <c r="E2" s="43"/>
      <c r="F2" s="43"/>
      <c r="G2" s="43"/>
      <c r="H2" s="43"/>
      <c r="I2" s="43"/>
      <c r="J2" s="43"/>
      <c r="K2" s="96"/>
    </row>
    <row r="3" spans="1:11">
      <c r="A3" s="360" t="s">
        <v>494</v>
      </c>
      <c r="B3" s="49">
        <f ca="1">IF(ISERROR('SEAP template'!C27),0,'SEAP template'!C27)</f>
        <v>205841.44826560366</v>
      </c>
      <c r="C3" s="43" t="s">
        <v>169</v>
      </c>
      <c r="D3" s="43"/>
      <c r="E3" s="154"/>
      <c r="F3" s="43"/>
      <c r="G3" s="43"/>
      <c r="H3" s="43"/>
      <c r="I3" s="43"/>
      <c r="J3" s="43"/>
      <c r="K3" s="96"/>
    </row>
    <row r="4" spans="1:11">
      <c r="A4" s="360" t="s">
        <v>170</v>
      </c>
      <c r="B4" s="49">
        <f>IF(ISERROR('SEAP template'!B78+'SEAP template'!C78),0,'SEAP template'!B78+'SEAP template'!C78)</f>
        <v>60494.856303736371</v>
      </c>
      <c r="C4" s="43" t="s">
        <v>169</v>
      </c>
      <c r="D4" s="43"/>
      <c r="E4" s="43"/>
      <c r="F4" s="43"/>
      <c r="G4" s="43"/>
      <c r="H4" s="43"/>
      <c r="I4" s="43"/>
      <c r="J4" s="43"/>
      <c r="K4" s="96"/>
    </row>
    <row r="5" spans="1:11">
      <c r="A5" s="360" t="s">
        <v>527</v>
      </c>
      <c r="B5" s="49">
        <f>IF(ISERROR('Eigen informatie GS &amp; warmtenet'!B4),0,'Eigen informatie GS &amp; warmtenet'!B4)</f>
        <v>0</v>
      </c>
      <c r="C5" s="43" t="s">
        <v>169</v>
      </c>
      <c r="D5" s="43"/>
      <c r="E5" s="43"/>
      <c r="F5" s="43"/>
      <c r="G5" s="43"/>
      <c r="H5" s="43"/>
      <c r="I5" s="43"/>
      <c r="J5" s="43"/>
      <c r="K5" s="96"/>
    </row>
    <row r="6" spans="1:11">
      <c r="A6" s="360" t="s">
        <v>171</v>
      </c>
      <c r="B6" s="533">
        <f>E6</f>
        <v>0.221</v>
      </c>
      <c r="C6" s="43" t="s">
        <v>172</v>
      </c>
      <c r="D6" s="43"/>
      <c r="E6" s="929">
        <v>0.221</v>
      </c>
      <c r="F6" s="43" t="s">
        <v>693</v>
      </c>
      <c r="G6" s="43" t="s">
        <v>698</v>
      </c>
      <c r="H6" s="43"/>
      <c r="I6" s="43"/>
      <c r="J6" s="43"/>
      <c r="K6" s="96"/>
    </row>
    <row r="7" spans="1:11">
      <c r="A7" s="360"/>
      <c r="B7" s="455"/>
      <c r="C7" s="43"/>
      <c r="D7" s="43"/>
      <c r="E7" s="43"/>
      <c r="F7" s="48"/>
      <c r="G7" s="43"/>
      <c r="H7" s="43"/>
      <c r="I7" s="43"/>
      <c r="J7" s="43"/>
      <c r="K7" s="96"/>
    </row>
    <row r="8" spans="1:11">
      <c r="A8" s="360"/>
      <c r="B8" s="455"/>
      <c r="C8" s="43"/>
      <c r="D8" s="43"/>
      <c r="E8" s="43"/>
      <c r="F8" s="48"/>
      <c r="G8" s="43"/>
      <c r="H8" s="928"/>
      <c r="I8" s="155"/>
      <c r="J8" s="43"/>
      <c r="K8" s="96"/>
    </row>
    <row r="9" spans="1:11">
      <c r="A9" s="360" t="s">
        <v>174</v>
      </c>
      <c r="B9" s="49">
        <f>IF(ISERROR('SEAP template'!Q78),0,'SEAP template'!Q78)</f>
        <v>11682.25411764706</v>
      </c>
      <c r="C9" s="43" t="s">
        <v>173</v>
      </c>
      <c r="D9" s="43"/>
      <c r="E9" s="43"/>
      <c r="F9" s="43"/>
      <c r="G9" s="43"/>
      <c r="H9" s="43"/>
      <c r="I9" s="43"/>
      <c r="J9" s="43"/>
      <c r="K9" s="96"/>
    </row>
    <row r="10" spans="1:11">
      <c r="A10" s="360" t="s">
        <v>400</v>
      </c>
      <c r="B10" s="48">
        <v>0</v>
      </c>
      <c r="C10" s="43" t="s">
        <v>173</v>
      </c>
      <c r="D10" s="154"/>
      <c r="E10" s="43"/>
      <c r="F10" s="43"/>
      <c r="G10" s="43"/>
      <c r="H10" s="43"/>
      <c r="I10" s="43"/>
      <c r="J10" s="43"/>
      <c r="K10" s="96"/>
    </row>
    <row r="11" spans="1:11">
      <c r="A11" s="360"/>
      <c r="B11" s="455"/>
      <c r="C11" s="43"/>
      <c r="D11" s="43"/>
      <c r="E11" s="43"/>
      <c r="F11" s="43"/>
      <c r="G11" s="43"/>
      <c r="H11" s="43"/>
      <c r="I11" s="43"/>
      <c r="J11" s="43"/>
      <c r="K11" s="96"/>
    </row>
    <row r="12" spans="1:11">
      <c r="A12" s="361" t="s">
        <v>175</v>
      </c>
      <c r="B12" s="532">
        <f ca="1">IF((B4+B5)&gt;B3,(B9+B10)/(B4+B5),((B3-B4-B5)*B6+B9+B10)/B3)</f>
        <v>0.21280384155040658</v>
      </c>
      <c r="C12" s="43" t="s">
        <v>172</v>
      </c>
      <c r="D12" s="43"/>
      <c r="E12" s="154"/>
      <c r="F12" s="43"/>
      <c r="G12" s="43"/>
      <c r="H12" s="43"/>
      <c r="I12" s="43"/>
      <c r="J12" s="43"/>
      <c r="K12" s="96"/>
    </row>
    <row r="13" spans="1:11" ht="15.75" thickBot="1">
      <c r="A13" s="362"/>
      <c r="B13" s="108"/>
      <c r="C13" s="108"/>
      <c r="D13" s="108"/>
      <c r="E13" s="108"/>
      <c r="F13" s="108"/>
      <c r="G13" s="108"/>
      <c r="H13" s="108"/>
      <c r="I13" s="108"/>
      <c r="J13" s="108"/>
      <c r="K13" s="109"/>
    </row>
    <row r="14" spans="1:11" s="43" customFormat="1" ht="15.75" thickBot="1">
      <c r="A14" s="338"/>
    </row>
    <row r="15" spans="1:11">
      <c r="A15" s="363" t="s">
        <v>477</v>
      </c>
      <c r="B15" s="200"/>
      <c r="C15" s="200"/>
      <c r="D15" s="200"/>
      <c r="E15" s="200"/>
      <c r="F15" s="200"/>
      <c r="G15" s="200"/>
      <c r="H15" s="200"/>
      <c r="I15" s="200"/>
      <c r="J15" s="200"/>
      <c r="K15" s="201"/>
    </row>
    <row r="16" spans="1:11">
      <c r="A16" s="360"/>
      <c r="B16" s="43"/>
      <c r="C16" s="43"/>
      <c r="D16" s="43"/>
      <c r="E16" s="43"/>
      <c r="F16" s="43"/>
      <c r="G16" s="43"/>
      <c r="H16" s="43"/>
      <c r="I16" s="43"/>
      <c r="J16" s="43"/>
      <c r="K16" s="96"/>
    </row>
    <row r="17" spans="1:11">
      <c r="A17" s="360" t="s">
        <v>176</v>
      </c>
      <c r="B17" s="49">
        <f>IF(ISERROR('SEAP template'!Q90),0,'SEAP template'!Q90)</f>
        <v>16688.934453781516</v>
      </c>
      <c r="C17" s="43" t="s">
        <v>173</v>
      </c>
      <c r="D17" s="43"/>
      <c r="E17" s="43"/>
      <c r="F17" s="43"/>
      <c r="G17" s="43"/>
      <c r="H17" s="43"/>
      <c r="I17" s="43"/>
      <c r="J17" s="43"/>
      <c r="K17" s="96"/>
    </row>
    <row r="18" spans="1:11">
      <c r="A18" s="360" t="s">
        <v>177</v>
      </c>
      <c r="B18" s="49">
        <f>IF(ISERROR('Eigen informatie GS &amp; warmtenet'!B52),0,'Eigen informatie GS &amp; warmtenet'!B52)</f>
        <v>0</v>
      </c>
      <c r="C18" s="43" t="s">
        <v>173</v>
      </c>
      <c r="D18" s="43"/>
      <c r="E18" s="43"/>
      <c r="F18" s="43"/>
      <c r="G18" s="43"/>
      <c r="H18" s="43"/>
      <c r="I18" s="43"/>
      <c r="J18" s="43"/>
      <c r="K18" s="96"/>
    </row>
    <row r="19" spans="1:11">
      <c r="A19" s="360" t="s">
        <v>301</v>
      </c>
      <c r="B19" s="49">
        <f>IF(ISERROR('Eigen informatie GS &amp; warmtenet'!B53),0,'Eigen informatie GS &amp; warmtenet'!B53)</f>
        <v>0</v>
      </c>
      <c r="C19" s="43" t="s">
        <v>173</v>
      </c>
      <c r="D19" s="43"/>
      <c r="E19" s="43"/>
      <c r="F19" s="43"/>
      <c r="G19" s="43"/>
      <c r="H19" s="43"/>
      <c r="I19" s="43"/>
      <c r="J19" s="43"/>
      <c r="K19" s="96"/>
    </row>
    <row r="20" spans="1:11">
      <c r="A20" s="360" t="s">
        <v>495</v>
      </c>
      <c r="B20" s="49">
        <f ca="1">IF(ISERROR('SEAP template'!D27),0,('SEAP template'!D27))</f>
        <v>72096.428571428565</v>
      </c>
      <c r="C20" s="43" t="s">
        <v>169</v>
      </c>
      <c r="D20" s="43"/>
      <c r="E20" s="154"/>
      <c r="F20" s="154"/>
      <c r="G20" s="43"/>
      <c r="H20" s="43"/>
      <c r="I20" s="43"/>
      <c r="J20" s="43"/>
      <c r="K20" s="96"/>
    </row>
    <row r="21" spans="1:11">
      <c r="A21" s="360"/>
      <c r="B21" s="43"/>
      <c r="C21" s="43"/>
      <c r="D21" s="43"/>
      <c r="E21" s="43"/>
      <c r="F21" s="43"/>
      <c r="G21" s="43"/>
      <c r="H21" s="43"/>
      <c r="I21" s="43"/>
      <c r="J21" s="43"/>
      <c r="K21" s="96"/>
    </row>
    <row r="22" spans="1:11" s="43" customFormat="1">
      <c r="A22" s="361" t="s">
        <v>178</v>
      </c>
      <c r="B22" s="534">
        <f ca="1">IF(B20=0,0,(B17+B18-B19)/B20)</f>
        <v>0.23148073745771164</v>
      </c>
      <c r="C22" s="43" t="s">
        <v>172</v>
      </c>
      <c r="K22" s="96"/>
    </row>
    <row r="23" spans="1:11" ht="15.75" thickBot="1">
      <c r="A23" s="362"/>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topLeftCell="B1" workbookViewId="0">
      <selection activeCell="H1" sqref="H1"/>
    </sheetView>
  </sheetViews>
  <sheetFormatPr defaultColWidth="9.140625" defaultRowHeight="15"/>
  <cols>
    <col min="1" max="1" width="56.85546875" style="891"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1" t="s">
        <v>665</v>
      </c>
      <c r="B1" s="891" t="s">
        <v>307</v>
      </c>
      <c r="C1" s="891" t="s">
        <v>311</v>
      </c>
      <c r="D1" s="891" t="s">
        <v>312</v>
      </c>
      <c r="E1" s="891" t="s">
        <v>313</v>
      </c>
      <c r="F1" s="891" t="s">
        <v>314</v>
      </c>
      <c r="H1" s="924" t="s">
        <v>809</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23">
        <v>1.269E-8</v>
      </c>
    </row>
    <row r="3" spans="1:8">
      <c r="A3" s="316" t="str">
        <f>CONCATENATE(TableECFTransport[[#This Row],[Voertuigtype]],"_",TableECFTransport[[#This Row],[Wegtype]],"_",TableECFTransport[[#This Row],[Brandstoftechnologie]],"_",TableECFTransport[[#This Row],[Brandstof]])</f>
        <v>BUS_Genummerde wegen_Diesel_Diesel</v>
      </c>
      <c r="B3" s="316" t="s">
        <v>663</v>
      </c>
      <c r="C3" s="316" t="s">
        <v>63</v>
      </c>
      <c r="D3" s="316" t="s">
        <v>201</v>
      </c>
      <c r="E3" s="316" t="s">
        <v>201</v>
      </c>
      <c r="F3" s="1023">
        <v>9.3389800000000004E-9</v>
      </c>
    </row>
    <row r="4" spans="1:8">
      <c r="A4" s="316" t="str">
        <f>CONCATENATE(TableECFTransport[[#This Row],[Voertuigtype]],"_",TableECFTransport[[#This Row],[Wegtype]],"_",TableECFTransport[[#This Row],[Brandstoftechnologie]],"_",TableECFTransport[[#This Row],[Brandstof]])</f>
        <v>BUS_Niet-genummerde wegen_Diesel_Diesel</v>
      </c>
      <c r="B4" s="316" t="s">
        <v>663</v>
      </c>
      <c r="C4" s="316" t="s">
        <v>64</v>
      </c>
      <c r="D4" s="316" t="s">
        <v>201</v>
      </c>
      <c r="E4" s="316" t="s">
        <v>201</v>
      </c>
      <c r="F4" s="1023">
        <v>1.6668699999999999E-8</v>
      </c>
    </row>
    <row r="5" spans="1:8">
      <c r="A5" s="316" t="str">
        <f>CONCATENATE(TableECFTransport[[#This Row],[Voertuigtype]],"_",TableECFTransport[[#This Row],[Wegtype]],"_",TableECFTransport[[#This Row],[Brandstoftechnologie]],"_",TableECFTransport[[#This Row],[Brandstof]])</f>
        <v>BUS_Genummerde wegen_Diesel Hybrid CS_Diesel</v>
      </c>
      <c r="B5" s="316" t="s">
        <v>663</v>
      </c>
      <c r="C5" s="316" t="s">
        <v>63</v>
      </c>
      <c r="D5" s="316" t="s">
        <v>316</v>
      </c>
      <c r="E5" s="316" t="s">
        <v>201</v>
      </c>
      <c r="F5" s="1023">
        <v>9.3389800000000004E-9</v>
      </c>
    </row>
    <row r="6" spans="1:8" s="891" customFormat="1">
      <c r="A6" s="316" t="str">
        <f>CONCATENATE(TableECFTransport[[#This Row],[Voertuigtype]],"_",TableECFTransport[[#This Row],[Wegtype]],"_",TableECFTransport[[#This Row],[Brandstoftechnologie]],"_",TableECFTransport[[#This Row],[Brandstof]])</f>
        <v>BUS_Niet-genummerde wegen_Diesel Hybrid CS_Diesel</v>
      </c>
      <c r="B6" s="316" t="s">
        <v>663</v>
      </c>
      <c r="C6" s="316" t="s">
        <v>64</v>
      </c>
      <c r="D6" s="316" t="s">
        <v>316</v>
      </c>
      <c r="E6" s="316" t="s">
        <v>201</v>
      </c>
      <c r="F6" s="1023">
        <v>1.6668699999999999E-8</v>
      </c>
    </row>
    <row r="7" spans="1:8">
      <c r="A7" s="316" t="str">
        <f>CONCATENATE(TableECFTransport[[#This Row],[Voertuigtype]],"_",TableECFTransport[[#This Row],[Wegtype]],"_",TableECFTransport[[#This Row],[Brandstoftechnologie]],"_",TableECFTransport[[#This Row],[Brandstof]])</f>
        <v>Lichte voertuigen_Genummerde wegen_CNG_CNG</v>
      </c>
      <c r="B7" s="316" t="s">
        <v>647</v>
      </c>
      <c r="C7" s="316" t="s">
        <v>63</v>
      </c>
      <c r="D7" s="316" t="s">
        <v>308</v>
      </c>
      <c r="E7" s="316" t="s">
        <v>308</v>
      </c>
      <c r="F7" s="1023">
        <v>2.5287700000000002E-9</v>
      </c>
    </row>
    <row r="8" spans="1:8">
      <c r="A8" s="316" t="str">
        <f>CONCATENATE(TableECFTransport[[#This Row],[Voertuigtype]],"_",TableECFTransport[[#This Row],[Wegtype]],"_",TableECFTransport[[#This Row],[Brandstoftechnologie]],"_",TableECFTransport[[#This Row],[Brandstof]])</f>
        <v>Lichte voertuigen_Genummerde wegen_Diesel_Diesel</v>
      </c>
      <c r="B8" s="316" t="s">
        <v>647</v>
      </c>
      <c r="C8" s="316" t="s">
        <v>63</v>
      </c>
      <c r="D8" s="316" t="s">
        <v>201</v>
      </c>
      <c r="E8" s="316" t="s">
        <v>201</v>
      </c>
      <c r="F8" s="1023">
        <v>2.2131300000000002E-9</v>
      </c>
    </row>
    <row r="9" spans="1:8">
      <c r="A9" s="316" t="str">
        <f>CONCATENATE(TableECFTransport[[#This Row],[Voertuigtype]],"_",TableECFTransport[[#This Row],[Wegtype]],"_",TableECFTransport[[#This Row],[Brandstoftechnologie]],"_",TableECFTransport[[#This Row],[Brandstof]])</f>
        <v>Lichte voertuigen_Genummerde wegen_E85_E85</v>
      </c>
      <c r="B9" s="316" t="s">
        <v>647</v>
      </c>
      <c r="C9" s="316" t="s">
        <v>63</v>
      </c>
      <c r="D9" s="316" t="s">
        <v>639</v>
      </c>
      <c r="E9" s="316" t="s">
        <v>639</v>
      </c>
      <c r="F9" s="1023">
        <v>2.2091899999999999E-9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647</v>
      </c>
      <c r="C10" s="316" t="s">
        <v>63</v>
      </c>
      <c r="D10" s="316" t="s">
        <v>309</v>
      </c>
      <c r="E10" s="316" t="s">
        <v>309</v>
      </c>
      <c r="F10" s="1023">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647</v>
      </c>
      <c r="C11" s="316" t="s">
        <v>63</v>
      </c>
      <c r="D11" s="316" t="s">
        <v>118</v>
      </c>
      <c r="E11" s="316" t="s">
        <v>118</v>
      </c>
      <c r="F11" s="1023">
        <v>2.2317099999999999E-9</v>
      </c>
    </row>
    <row r="12" spans="1:8">
      <c r="A12" s="316" t="str">
        <f>CONCATENATE(TableECFTransport[[#This Row],[Voertuigtype]],"_",TableECFTransport[[#This Row],[Wegtype]],"_",TableECFTransport[[#This Row],[Brandstoftechnologie]],"_",TableECFTransport[[#This Row],[Brandstof]])</f>
        <v>Lichte voertuigen_Genummerde wegen_Petrol_Petrol</v>
      </c>
      <c r="B12" s="316" t="s">
        <v>647</v>
      </c>
      <c r="C12" s="316" t="s">
        <v>63</v>
      </c>
      <c r="D12" s="316" t="s">
        <v>310</v>
      </c>
      <c r="E12" s="316" t="s">
        <v>310</v>
      </c>
      <c r="F12" s="1023">
        <v>2.2091899999999999E-9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647</v>
      </c>
      <c r="C13" s="316" t="s">
        <v>63</v>
      </c>
      <c r="D13" s="316" t="s">
        <v>667</v>
      </c>
      <c r="E13" s="316" t="s">
        <v>310</v>
      </c>
      <c r="F13" s="1023">
        <v>1.4658300000000001E-9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647</v>
      </c>
      <c r="C14" s="316" t="s">
        <v>64</v>
      </c>
      <c r="D14" s="316" t="s">
        <v>308</v>
      </c>
      <c r="E14" s="316" t="s">
        <v>308</v>
      </c>
      <c r="F14" s="1023">
        <v>4.2864300000000001E-9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647</v>
      </c>
      <c r="C15" s="316" t="s">
        <v>64</v>
      </c>
      <c r="D15" s="316" t="s">
        <v>201</v>
      </c>
      <c r="E15" s="316" t="s">
        <v>201</v>
      </c>
      <c r="F15" s="1023">
        <v>3.3174700000000001E-9</v>
      </c>
    </row>
    <row r="16" spans="1:8">
      <c r="A16" s="316" t="str">
        <f>CONCATENATE(TableECFTransport[[#This Row],[Voertuigtype]],"_",TableECFTransport[[#This Row],[Wegtype]],"_",TableECFTransport[[#This Row],[Brandstoftechnologie]],"_",TableECFTransport[[#This Row],[Brandstof]])</f>
        <v>Lichte voertuigen_Niet-genummerde wegen_E85_E85</v>
      </c>
      <c r="B16" s="316" t="s">
        <v>647</v>
      </c>
      <c r="C16" s="316" t="s">
        <v>64</v>
      </c>
      <c r="D16" s="316" t="s">
        <v>639</v>
      </c>
      <c r="E16" s="316" t="s">
        <v>639</v>
      </c>
      <c r="F16" s="1023">
        <v>3.6877099999999999E-9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647</v>
      </c>
      <c r="C17" s="316" t="s">
        <v>64</v>
      </c>
      <c r="D17" s="316" t="s">
        <v>309</v>
      </c>
      <c r="E17" s="316" t="s">
        <v>309</v>
      </c>
      <c r="F17" s="1023">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647</v>
      </c>
      <c r="C18" s="316" t="s">
        <v>64</v>
      </c>
      <c r="D18" s="316" t="s">
        <v>118</v>
      </c>
      <c r="E18" s="316" t="s">
        <v>118</v>
      </c>
      <c r="F18" s="1023">
        <v>3.5947600000000001E-9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647</v>
      </c>
      <c r="C19" s="316" t="s">
        <v>64</v>
      </c>
      <c r="D19" s="316" t="s">
        <v>310</v>
      </c>
      <c r="E19" s="316" t="s">
        <v>310</v>
      </c>
      <c r="F19" s="1023">
        <v>3.6877099999999999E-9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647</v>
      </c>
      <c r="C20" s="316" t="s">
        <v>64</v>
      </c>
      <c r="D20" s="316" t="s">
        <v>667</v>
      </c>
      <c r="E20" s="316" t="s">
        <v>310</v>
      </c>
      <c r="F20" s="1023">
        <v>2.5366300000000002E-9</v>
      </c>
    </row>
    <row r="21" spans="1:7">
      <c r="A21" s="316" t="str">
        <f>CONCATENATE(TableECFTransport[[#This Row],[Voertuigtype]],"_",TableECFTransport[[#This Row],[Wegtype]],"_",TableECFTransport[[#This Row],[Brandstoftechnologie]],"_",TableECFTransport[[#This Row],[Brandstof]])</f>
        <v>Lichte voertuigen_snelwegen_CNG_CNG</v>
      </c>
      <c r="B21" s="316" t="s">
        <v>647</v>
      </c>
      <c r="C21" s="316" t="s">
        <v>664</v>
      </c>
      <c r="D21" s="316" t="s">
        <v>308</v>
      </c>
      <c r="E21" s="316" t="s">
        <v>308</v>
      </c>
      <c r="F21" s="1023">
        <v>2.53921E-9</v>
      </c>
    </row>
    <row r="22" spans="1:7">
      <c r="A22" s="316" t="str">
        <f>CONCATENATE(TableECFTransport[[#This Row],[Voertuigtype]],"_",TableECFTransport[[#This Row],[Wegtype]],"_",TableECFTransport[[#This Row],[Brandstoftechnologie]],"_",TableECFTransport[[#This Row],[Brandstof]])</f>
        <v>Lichte voertuigen_snelwegen_Diesel_Diesel</v>
      </c>
      <c r="B22" s="316" t="s">
        <v>647</v>
      </c>
      <c r="C22" s="316" t="s">
        <v>664</v>
      </c>
      <c r="D22" s="316" t="s">
        <v>201</v>
      </c>
      <c r="E22" s="316" t="s">
        <v>201</v>
      </c>
      <c r="F22" s="1023">
        <v>2.4608200000000002E-9</v>
      </c>
    </row>
    <row r="23" spans="1:7">
      <c r="A23" s="316" t="str">
        <f>CONCATENATE(TableECFTransport[[#This Row],[Voertuigtype]],"_",TableECFTransport[[#This Row],[Wegtype]],"_",TableECFTransport[[#This Row],[Brandstoftechnologie]],"_",TableECFTransport[[#This Row],[Brandstof]])</f>
        <v>Lichte voertuigen_snelwegen_E85_E85</v>
      </c>
      <c r="B23" s="316" t="s">
        <v>647</v>
      </c>
      <c r="C23" s="316" t="s">
        <v>664</v>
      </c>
      <c r="D23" s="316" t="s">
        <v>639</v>
      </c>
      <c r="E23" s="316" t="s">
        <v>639</v>
      </c>
      <c r="F23" s="1023">
        <v>2.3143700000000001E-9</v>
      </c>
    </row>
    <row r="24" spans="1:7">
      <c r="A24" s="316" t="str">
        <f>CONCATENATE(TableECFTransport[[#This Row],[Voertuigtype]],"_",TableECFTransport[[#This Row],[Wegtype]],"_",TableECFTransport[[#This Row],[Brandstoftechnologie]],"_",TableECFTransport[[#This Row],[Brandstof]])</f>
        <v>Lichte voertuigen_snelwegen_Electric_Electric</v>
      </c>
      <c r="B24" s="316" t="s">
        <v>647</v>
      </c>
      <c r="C24" s="316" t="s">
        <v>664</v>
      </c>
      <c r="D24" s="316" t="s">
        <v>309</v>
      </c>
      <c r="E24" s="316" t="s">
        <v>309</v>
      </c>
      <c r="F24" s="1023">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647</v>
      </c>
      <c r="C25" s="316" t="s">
        <v>664</v>
      </c>
      <c r="D25" s="316" t="s">
        <v>118</v>
      </c>
      <c r="E25" s="316" t="s">
        <v>118</v>
      </c>
      <c r="F25" s="1023">
        <v>2.79243E-9</v>
      </c>
    </row>
    <row r="26" spans="1:7">
      <c r="A26" s="316" t="str">
        <f>CONCATENATE(TableECFTransport[[#This Row],[Voertuigtype]],"_",TableECFTransport[[#This Row],[Wegtype]],"_",TableECFTransport[[#This Row],[Brandstoftechnologie]],"_",TableECFTransport[[#This Row],[Brandstof]])</f>
        <v>Lichte voertuigen_snelwegen_Petrol_Petrol</v>
      </c>
      <c r="B26" s="316" t="s">
        <v>647</v>
      </c>
      <c r="C26" s="316" t="s">
        <v>664</v>
      </c>
      <c r="D26" s="316" t="s">
        <v>310</v>
      </c>
      <c r="E26" s="316" t="s">
        <v>310</v>
      </c>
      <c r="F26" s="1023">
        <v>2.3143700000000001E-9</v>
      </c>
    </row>
    <row r="27" spans="1:7">
      <c r="A27" s="316" t="str">
        <f>CONCATENATE(TableECFTransport[[#This Row],[Voertuigtype]],"_",TableECFTransport[[#This Row],[Wegtype]],"_",TableECFTransport[[#This Row],[Brandstoftechnologie]],"_",TableECFTransport[[#This Row],[Brandstof]])</f>
        <v>Lichte voertuigen_snelwegen_Petrol Hybrid_Petrol</v>
      </c>
      <c r="B27" s="316" t="s">
        <v>647</v>
      </c>
      <c r="C27" s="316" t="s">
        <v>664</v>
      </c>
      <c r="D27" s="316" t="s">
        <v>667</v>
      </c>
      <c r="E27" s="316" t="s">
        <v>310</v>
      </c>
      <c r="F27" s="1023">
        <v>1.82727E-9</v>
      </c>
      <c r="G27" s="910"/>
    </row>
    <row r="28" spans="1:7">
      <c r="A28" s="316" t="str">
        <f>CONCATENATE(TableECFTransport[[#This Row],[Voertuigtype]],"_",TableECFTransport[[#This Row],[Wegtype]],"_",TableECFTransport[[#This Row],[Brandstoftechnologie]],"_",TableECFTransport[[#This Row],[Brandstof]])</f>
        <v>Zware voertuigen_Genummerde wegen_Diesel_Diesel</v>
      </c>
      <c r="B28" s="316" t="s">
        <v>648</v>
      </c>
      <c r="C28" s="316" t="s">
        <v>63</v>
      </c>
      <c r="D28" s="316" t="s">
        <v>201</v>
      </c>
      <c r="E28" s="316" t="s">
        <v>201</v>
      </c>
      <c r="F28" s="1023">
        <v>1.00908E-8</v>
      </c>
    </row>
    <row r="29" spans="1:7">
      <c r="A29" s="316" t="str">
        <f>CONCATENATE(TableECFTransport[[#This Row],[Voertuigtype]],"_",TableECFTransport[[#This Row],[Wegtype]],"_",TableECFTransport[[#This Row],[Brandstoftechnologie]],"_",TableECFTransport[[#This Row],[Brandstof]])</f>
        <v>Zware voertuigen_Genummerde wegen_Petrol_Petrol</v>
      </c>
      <c r="B29" s="316" t="s">
        <v>648</v>
      </c>
      <c r="C29" s="316" t="s">
        <v>63</v>
      </c>
      <c r="D29" s="316" t="s">
        <v>310</v>
      </c>
      <c r="E29" s="316" t="s">
        <v>310</v>
      </c>
      <c r="F29" s="1023">
        <v>6.5875100000000001E-9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648</v>
      </c>
      <c r="C30" s="316" t="s">
        <v>64</v>
      </c>
      <c r="D30" s="316" t="s">
        <v>201</v>
      </c>
      <c r="E30" s="316" t="s">
        <v>201</v>
      </c>
      <c r="F30" s="1023">
        <v>1.21634E-8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648</v>
      </c>
      <c r="C31" s="316" t="s">
        <v>64</v>
      </c>
      <c r="D31" s="316" t="s">
        <v>310</v>
      </c>
      <c r="E31" s="316" t="s">
        <v>310</v>
      </c>
      <c r="F31" s="1024">
        <v>1.1533299999999999E-8</v>
      </c>
    </row>
    <row r="32" spans="1:7">
      <c r="A32" s="316" t="str">
        <f>CONCATENATE(TableECFTransport[[#This Row],[Voertuigtype]],"_",TableECFTransport[[#This Row],[Wegtype]],"_",TableECFTransport[[#This Row],[Brandstoftechnologie]],"_",TableECFTransport[[#This Row],[Brandstof]])</f>
        <v>Zware voertuigen_snelwegen_Diesel_Diesel</v>
      </c>
      <c r="B32" s="316" t="s">
        <v>648</v>
      </c>
      <c r="C32" s="316" t="s">
        <v>664</v>
      </c>
      <c r="D32" s="316" t="s">
        <v>201</v>
      </c>
      <c r="E32" s="316" t="s">
        <v>201</v>
      </c>
      <c r="F32" s="1024">
        <v>9.6105100000000001E-9</v>
      </c>
    </row>
    <row r="33" spans="1:6">
      <c r="A33" s="316" t="str">
        <f>CONCATENATE(TableECFTransport[[#This Row],[Voertuigtype]],"_",TableECFTransport[[#This Row],[Wegtype]],"_",TableECFTransport[[#This Row],[Brandstoftechnologie]],"_",TableECFTransport[[#This Row],[Brandstof]])</f>
        <v>Zware voertuigen_snelwegen_Petrol_Petrol</v>
      </c>
      <c r="B33" s="316" t="s">
        <v>648</v>
      </c>
      <c r="C33" s="316" t="s">
        <v>664</v>
      </c>
      <c r="D33" s="316" t="s">
        <v>310</v>
      </c>
      <c r="E33" s="316" t="s">
        <v>310</v>
      </c>
      <c r="F33" s="1024">
        <v>6.6442400000000002E-9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6">
        <v>2018</v>
      </c>
      <c r="B1" s="1207"/>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8"/>
      <c r="B2" s="1209"/>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8"/>
      <c r="B3" s="1209"/>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0"/>
      <c r="B4" s="121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390</v>
      </c>
      <c r="B5" s="917" t="s">
        <v>850</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3">
        <v>0</v>
      </c>
      <c r="D7" s="863">
        <v>0.24874242528222215</v>
      </c>
      <c r="E7" s="863">
        <v>0</v>
      </c>
      <c r="F7" s="864">
        <v>0.24874242528222215</v>
      </c>
      <c r="G7" s="863">
        <v>0</v>
      </c>
      <c r="H7" s="863">
        <v>0</v>
      </c>
      <c r="I7" s="863">
        <v>2.0672197244379986</v>
      </c>
      <c r="J7" s="863">
        <v>0.65180028930659595</v>
      </c>
      <c r="K7" s="863">
        <v>0</v>
      </c>
      <c r="L7" s="863">
        <v>49.720330614660064</v>
      </c>
      <c r="M7" s="863">
        <v>0</v>
      </c>
      <c r="N7" s="863">
        <v>0</v>
      </c>
      <c r="O7" s="863">
        <v>0</v>
      </c>
      <c r="P7" s="863">
        <v>0</v>
      </c>
      <c r="Q7" s="863">
        <v>0</v>
      </c>
      <c r="R7" s="864">
        <v>52.439350628404661</v>
      </c>
      <c r="S7" s="863">
        <v>89.7386776550712</v>
      </c>
      <c r="T7" s="863">
        <v>0</v>
      </c>
      <c r="U7" s="863">
        <v>0</v>
      </c>
      <c r="V7" s="864">
        <v>89.7386776550712</v>
      </c>
      <c r="W7" s="864">
        <v>142.42677070875808</v>
      </c>
      <c r="X7" s="863">
        <v>0</v>
      </c>
      <c r="Y7" s="863">
        <v>13.614098247423742</v>
      </c>
      <c r="Z7" s="863">
        <v>38.263426633031649</v>
      </c>
      <c r="AA7" s="865">
        <v>2.7336420830501917</v>
      </c>
      <c r="AB7" s="865">
        <v>0</v>
      </c>
      <c r="AC7" s="864">
        <v>197.03793767226367</v>
      </c>
    </row>
    <row r="8" spans="1:29">
      <c r="A8" s="216" t="s">
        <v>155</v>
      </c>
      <c r="B8" s="217"/>
      <c r="C8" s="866">
        <v>0</v>
      </c>
      <c r="D8" s="866">
        <v>8.7900000000000009E-5</v>
      </c>
      <c r="E8" s="866">
        <v>0</v>
      </c>
      <c r="F8" s="867">
        <v>8.7900000000000009E-5</v>
      </c>
      <c r="G8" s="866">
        <v>0</v>
      </c>
      <c r="H8" s="866">
        <v>0</v>
      </c>
      <c r="I8" s="866">
        <v>0.17276641957937455</v>
      </c>
      <c r="J8" s="866">
        <v>3.5000639786668219E-3</v>
      </c>
      <c r="K8" s="866">
        <v>0</v>
      </c>
      <c r="L8" s="866">
        <v>8.6064330170874257</v>
      </c>
      <c r="M8" s="866">
        <v>0</v>
      </c>
      <c r="N8" s="866">
        <v>0</v>
      </c>
      <c r="O8" s="866">
        <v>0</v>
      </c>
      <c r="P8" s="866">
        <v>0</v>
      </c>
      <c r="Q8" s="866">
        <v>0</v>
      </c>
      <c r="R8" s="867">
        <v>8.7826995006454673</v>
      </c>
      <c r="S8" s="866">
        <v>49.464117237394063</v>
      </c>
      <c r="T8" s="866">
        <v>0</v>
      </c>
      <c r="U8" s="866">
        <v>0</v>
      </c>
      <c r="V8" s="867">
        <v>49.464117237394063</v>
      </c>
      <c r="W8" s="867">
        <v>58.246904638039531</v>
      </c>
      <c r="X8" s="866">
        <v>1.9170590000000001</v>
      </c>
      <c r="Y8" s="866">
        <v>3.2195219228346033</v>
      </c>
      <c r="Z8" s="866">
        <v>43.489162729238949</v>
      </c>
      <c r="AA8" s="868">
        <v>0.69790294584191026</v>
      </c>
      <c r="AB8" s="868">
        <v>0</v>
      </c>
      <c r="AC8" s="867">
        <v>107.57055123595499</v>
      </c>
    </row>
    <row r="9" spans="1:29">
      <c r="A9" s="3"/>
      <c r="B9" s="6" t="s">
        <v>156</v>
      </c>
      <c r="C9" s="869">
        <v>0</v>
      </c>
      <c r="D9" s="869">
        <v>0</v>
      </c>
      <c r="E9" s="869">
        <v>0</v>
      </c>
      <c r="F9" s="870">
        <v>0</v>
      </c>
      <c r="G9" s="869">
        <v>0</v>
      </c>
      <c r="H9" s="869">
        <v>0</v>
      </c>
      <c r="I9" s="869">
        <v>0</v>
      </c>
      <c r="J9" s="869">
        <v>0</v>
      </c>
      <c r="K9" s="869">
        <v>0</v>
      </c>
      <c r="L9" s="869">
        <v>0.39816648818130579</v>
      </c>
      <c r="M9" s="869">
        <v>0</v>
      </c>
      <c r="N9" s="869">
        <v>0</v>
      </c>
      <c r="O9" s="869">
        <v>0</v>
      </c>
      <c r="P9" s="869">
        <v>0</v>
      </c>
      <c r="Q9" s="869">
        <v>0</v>
      </c>
      <c r="R9" s="870">
        <v>0.39816648818130579</v>
      </c>
      <c r="S9" s="869">
        <v>7.3518454104228006</v>
      </c>
      <c r="T9" s="869">
        <v>0</v>
      </c>
      <c r="U9" s="869">
        <v>0</v>
      </c>
      <c r="V9" s="870">
        <v>7.3518454104228006</v>
      </c>
      <c r="W9" s="870">
        <v>7.7500118986041064</v>
      </c>
      <c r="X9" s="869">
        <v>0</v>
      </c>
      <c r="Y9" s="869">
        <v>1.4885064000000003E-3</v>
      </c>
      <c r="Z9" s="869">
        <v>4.8558280820050346</v>
      </c>
      <c r="AA9" s="871">
        <v>0</v>
      </c>
      <c r="AB9" s="871">
        <v>0</v>
      </c>
      <c r="AC9" s="870">
        <v>12.607328487009141</v>
      </c>
    </row>
    <row r="10" spans="1:29">
      <c r="A10" s="3"/>
      <c r="B10" s="6" t="s">
        <v>157</v>
      </c>
      <c r="C10" s="869">
        <v>0</v>
      </c>
      <c r="D10" s="869">
        <v>0</v>
      </c>
      <c r="E10" s="869">
        <v>0</v>
      </c>
      <c r="F10" s="870">
        <v>0</v>
      </c>
      <c r="G10" s="869">
        <v>0</v>
      </c>
      <c r="H10" s="869">
        <v>0</v>
      </c>
      <c r="I10" s="869">
        <v>0</v>
      </c>
      <c r="J10" s="869">
        <v>0</v>
      </c>
      <c r="K10" s="869">
        <v>0</v>
      </c>
      <c r="L10" s="869">
        <v>0.44629059886591532</v>
      </c>
      <c r="M10" s="869">
        <v>0</v>
      </c>
      <c r="N10" s="869">
        <v>0</v>
      </c>
      <c r="O10" s="869">
        <v>0</v>
      </c>
      <c r="P10" s="869">
        <v>0</v>
      </c>
      <c r="Q10" s="869">
        <v>0</v>
      </c>
      <c r="R10" s="870">
        <v>0.44629059886591532</v>
      </c>
      <c r="S10" s="869">
        <v>6.2430152245272001</v>
      </c>
      <c r="T10" s="869">
        <v>0</v>
      </c>
      <c r="U10" s="869">
        <v>0</v>
      </c>
      <c r="V10" s="870">
        <v>6.2430152245272001</v>
      </c>
      <c r="W10" s="870">
        <v>6.6893058233931155</v>
      </c>
      <c r="X10" s="869">
        <v>0</v>
      </c>
      <c r="Y10" s="869">
        <v>2.6848084639999995E-2</v>
      </c>
      <c r="Z10" s="869">
        <v>3.6407622674970002</v>
      </c>
      <c r="AA10" s="871">
        <v>0</v>
      </c>
      <c r="AB10" s="871">
        <v>0</v>
      </c>
      <c r="AC10" s="870">
        <v>10.356916175530117</v>
      </c>
    </row>
    <row r="11" spans="1:29">
      <c r="A11" s="3"/>
      <c r="B11" s="6" t="s">
        <v>158</v>
      </c>
      <c r="C11" s="869">
        <v>0</v>
      </c>
      <c r="D11" s="869">
        <v>0</v>
      </c>
      <c r="E11" s="869">
        <v>0</v>
      </c>
      <c r="F11" s="870">
        <v>0</v>
      </c>
      <c r="G11" s="869">
        <v>0</v>
      </c>
      <c r="H11" s="869">
        <v>0</v>
      </c>
      <c r="I11" s="869">
        <v>0</v>
      </c>
      <c r="J11" s="869">
        <v>0</v>
      </c>
      <c r="K11" s="869">
        <v>0</v>
      </c>
      <c r="L11" s="869">
        <v>0.15319107125175926</v>
      </c>
      <c r="M11" s="869">
        <v>0</v>
      </c>
      <c r="N11" s="869">
        <v>0</v>
      </c>
      <c r="O11" s="869">
        <v>0</v>
      </c>
      <c r="P11" s="869">
        <v>0</v>
      </c>
      <c r="Q11" s="869">
        <v>0</v>
      </c>
      <c r="R11" s="870">
        <v>0.15319107125175926</v>
      </c>
      <c r="S11" s="869">
        <v>2.8980976468247999</v>
      </c>
      <c r="T11" s="869">
        <v>0</v>
      </c>
      <c r="U11" s="869">
        <v>0</v>
      </c>
      <c r="V11" s="870">
        <v>2.8980976468247999</v>
      </c>
      <c r="W11" s="870">
        <v>3.0512887180765591</v>
      </c>
      <c r="X11" s="869">
        <v>0</v>
      </c>
      <c r="Y11" s="869">
        <v>3.6896880000000004E-3</v>
      </c>
      <c r="Z11" s="869">
        <v>1.3103119548</v>
      </c>
      <c r="AA11" s="871">
        <v>0</v>
      </c>
      <c r="AB11" s="871">
        <v>0</v>
      </c>
      <c r="AC11" s="870">
        <v>4.3652903608765588</v>
      </c>
    </row>
    <row r="12" spans="1:29">
      <c r="A12" s="3"/>
      <c r="B12" s="6" t="s">
        <v>159</v>
      </c>
      <c r="C12" s="869">
        <v>0</v>
      </c>
      <c r="D12" s="869">
        <v>0</v>
      </c>
      <c r="E12" s="869">
        <v>0</v>
      </c>
      <c r="F12" s="870">
        <v>0</v>
      </c>
      <c r="G12" s="869">
        <v>0</v>
      </c>
      <c r="H12" s="869">
        <v>0</v>
      </c>
      <c r="I12" s="869">
        <v>3.0581327869328516E-3</v>
      </c>
      <c r="J12" s="869">
        <v>0</v>
      </c>
      <c r="K12" s="869">
        <v>0</v>
      </c>
      <c r="L12" s="869">
        <v>1.2104670811907592</v>
      </c>
      <c r="M12" s="869">
        <v>0</v>
      </c>
      <c r="N12" s="869">
        <v>0</v>
      </c>
      <c r="O12" s="869">
        <v>0</v>
      </c>
      <c r="P12" s="869">
        <v>0</v>
      </c>
      <c r="Q12" s="869">
        <v>0</v>
      </c>
      <c r="R12" s="870">
        <v>1.213525213977692</v>
      </c>
      <c r="S12" s="869">
        <v>15.674665774564065</v>
      </c>
      <c r="T12" s="869">
        <v>0</v>
      </c>
      <c r="U12" s="869">
        <v>0</v>
      </c>
      <c r="V12" s="870">
        <v>15.674665774564065</v>
      </c>
      <c r="W12" s="870">
        <v>16.888190988541758</v>
      </c>
      <c r="X12" s="869">
        <v>0</v>
      </c>
      <c r="Y12" s="869">
        <v>6.4838372127390001E-3</v>
      </c>
      <c r="Z12" s="869">
        <v>12.76475876621793</v>
      </c>
      <c r="AA12" s="871">
        <v>0</v>
      </c>
      <c r="AB12" s="871">
        <v>0</v>
      </c>
      <c r="AC12" s="870">
        <v>29.659433591972427</v>
      </c>
    </row>
    <row r="13" spans="1:29">
      <c r="A13" s="3"/>
      <c r="B13" s="6" t="s">
        <v>160</v>
      </c>
      <c r="C13" s="869">
        <v>0</v>
      </c>
      <c r="D13" s="869">
        <v>0</v>
      </c>
      <c r="E13" s="869">
        <v>0</v>
      </c>
      <c r="F13" s="870">
        <v>0</v>
      </c>
      <c r="G13" s="869">
        <v>0</v>
      </c>
      <c r="H13" s="869">
        <v>0</v>
      </c>
      <c r="I13" s="869">
        <v>4.2233099259867957E-2</v>
      </c>
      <c r="J13" s="869">
        <v>8.8016389999999998E-4</v>
      </c>
      <c r="K13" s="869">
        <v>0</v>
      </c>
      <c r="L13" s="869">
        <v>1.099531633324373</v>
      </c>
      <c r="M13" s="869">
        <v>0</v>
      </c>
      <c r="N13" s="869">
        <v>0</v>
      </c>
      <c r="O13" s="869">
        <v>0</v>
      </c>
      <c r="P13" s="869">
        <v>0</v>
      </c>
      <c r="Q13" s="869">
        <v>0</v>
      </c>
      <c r="R13" s="870">
        <v>1.1426448964842408</v>
      </c>
      <c r="S13" s="869">
        <v>9.3033669959999994</v>
      </c>
      <c r="T13" s="869">
        <v>0</v>
      </c>
      <c r="U13" s="869">
        <v>0</v>
      </c>
      <c r="V13" s="870">
        <v>9.3033669959999994</v>
      </c>
      <c r="W13" s="870">
        <v>10.44601189248424</v>
      </c>
      <c r="X13" s="869">
        <v>0</v>
      </c>
      <c r="Y13" s="869">
        <v>4.3520310000000001E-3</v>
      </c>
      <c r="Z13" s="869">
        <v>12.016975014180014</v>
      </c>
      <c r="AA13" s="871">
        <v>0</v>
      </c>
      <c r="AB13" s="871">
        <v>0</v>
      </c>
      <c r="AC13" s="870">
        <v>22.467338937664252</v>
      </c>
    </row>
    <row r="14" spans="1:29">
      <c r="A14" s="218"/>
      <c r="B14" s="219" t="s">
        <v>161</v>
      </c>
      <c r="C14" s="872">
        <v>0</v>
      </c>
      <c r="D14" s="872">
        <v>8.7900000000000009E-5</v>
      </c>
      <c r="E14" s="872">
        <v>0</v>
      </c>
      <c r="F14" s="873">
        <v>8.7900000000000009E-5</v>
      </c>
      <c r="G14" s="869">
        <v>0</v>
      </c>
      <c r="H14" s="869">
        <v>0</v>
      </c>
      <c r="I14" s="869">
        <v>0.12747518753257372</v>
      </c>
      <c r="J14" s="869">
        <v>2.6199000786668218E-3</v>
      </c>
      <c r="K14" s="869">
        <v>0</v>
      </c>
      <c r="L14" s="869">
        <v>5.2987861442733131</v>
      </c>
      <c r="M14" s="869">
        <v>0</v>
      </c>
      <c r="N14" s="869">
        <v>0</v>
      </c>
      <c r="O14" s="869">
        <v>0</v>
      </c>
      <c r="P14" s="869">
        <v>0</v>
      </c>
      <c r="Q14" s="869">
        <v>0</v>
      </c>
      <c r="R14" s="873">
        <v>5.4288812318845538</v>
      </c>
      <c r="S14" s="869">
        <v>7.9931261850551998</v>
      </c>
      <c r="T14" s="872">
        <v>0</v>
      </c>
      <c r="U14" s="872">
        <v>0</v>
      </c>
      <c r="V14" s="873">
        <v>7.9931261850551998</v>
      </c>
      <c r="W14" s="873">
        <v>13.422095316939753</v>
      </c>
      <c r="X14" s="869">
        <v>1.9170590000000001</v>
      </c>
      <c r="Y14" s="869">
        <v>3.1766597755818644</v>
      </c>
      <c r="Z14" s="869">
        <v>8.900526644538969</v>
      </c>
      <c r="AA14" s="874">
        <v>0</v>
      </c>
      <c r="AB14" s="874">
        <v>0</v>
      </c>
      <c r="AC14" s="873">
        <v>27.416340737060587</v>
      </c>
    </row>
    <row r="15" spans="1:29">
      <c r="A15" s="216" t="s">
        <v>162</v>
      </c>
      <c r="B15" s="220"/>
      <c r="C15" s="875">
        <v>0</v>
      </c>
      <c r="D15" s="875">
        <v>6.9920799999900751E-5</v>
      </c>
      <c r="E15" s="875">
        <v>0.196049</v>
      </c>
      <c r="F15" s="876">
        <v>0.1961189207999999</v>
      </c>
      <c r="G15" s="875">
        <v>0</v>
      </c>
      <c r="H15" s="875">
        <v>0</v>
      </c>
      <c r="I15" s="875">
        <v>2.4213508276903504</v>
      </c>
      <c r="J15" s="875">
        <v>0.19164528873380399</v>
      </c>
      <c r="K15" s="875">
        <v>0</v>
      </c>
      <c r="L15" s="875">
        <v>7.5424821131473303</v>
      </c>
      <c r="M15" s="875">
        <v>0</v>
      </c>
      <c r="N15" s="875">
        <v>0.25606284615760555</v>
      </c>
      <c r="O15" s="875">
        <v>0</v>
      </c>
      <c r="P15" s="875">
        <v>3.9502999999999996E-2</v>
      </c>
      <c r="Q15" s="875">
        <v>0</v>
      </c>
      <c r="R15" s="1051">
        <v>10.45104407572909</v>
      </c>
      <c r="S15" s="875">
        <v>36.916002520810338</v>
      </c>
      <c r="T15" s="875">
        <v>0</v>
      </c>
      <c r="U15" s="875">
        <v>0</v>
      </c>
      <c r="V15" s="1051">
        <v>36.916002520810338</v>
      </c>
      <c r="W15" s="1051">
        <v>47.563165517339421</v>
      </c>
      <c r="X15" s="1076">
        <v>2.8825406369840999E-2</v>
      </c>
      <c r="Y15" s="875">
        <v>1.62320630734087</v>
      </c>
      <c r="Z15" s="875">
        <v>96.063294114335548</v>
      </c>
      <c r="AA15" s="877">
        <v>2.2305089274070156E-2</v>
      </c>
      <c r="AB15" s="877">
        <v>0</v>
      </c>
      <c r="AC15" s="876">
        <f>SUM(W15:AB15)</f>
        <v>145.30079643465973</v>
      </c>
    </row>
    <row r="16" spans="1:29">
      <c r="A16" s="5"/>
      <c r="B16" s="6" t="s">
        <v>34</v>
      </c>
      <c r="C16" s="878">
        <v>0</v>
      </c>
      <c r="D16" s="878">
        <v>0</v>
      </c>
      <c r="E16" s="878">
        <v>0</v>
      </c>
      <c r="F16" s="870">
        <v>0</v>
      </c>
      <c r="G16" s="878">
        <v>0</v>
      </c>
      <c r="H16" s="878">
        <v>0</v>
      </c>
      <c r="I16" s="878">
        <v>1.2669999999999999E-3</v>
      </c>
      <c r="J16" s="878">
        <v>0</v>
      </c>
      <c r="K16" s="878">
        <v>0</v>
      </c>
      <c r="L16" s="878">
        <v>1.664100000000001E-2</v>
      </c>
      <c r="M16" s="878">
        <v>0</v>
      </c>
      <c r="N16" s="878">
        <v>0</v>
      </c>
      <c r="O16" s="878">
        <v>0</v>
      </c>
      <c r="P16" s="878">
        <v>0</v>
      </c>
      <c r="Q16" s="878">
        <v>0</v>
      </c>
      <c r="R16" s="870">
        <v>1.7908000000000011E-2</v>
      </c>
      <c r="S16" s="878">
        <v>0.14567471170239799</v>
      </c>
      <c r="T16" s="878">
        <v>0</v>
      </c>
      <c r="U16" s="878">
        <v>0</v>
      </c>
      <c r="V16" s="879">
        <v>0.14567471170239799</v>
      </c>
      <c r="W16" s="870">
        <v>0.16358271170239799</v>
      </c>
      <c r="X16" s="1077">
        <v>0</v>
      </c>
      <c r="Y16" s="878">
        <v>0</v>
      </c>
      <c r="Z16" s="878">
        <v>8.5817037080000009</v>
      </c>
      <c r="AA16" s="871">
        <v>0</v>
      </c>
      <c r="AB16" s="871">
        <v>0</v>
      </c>
      <c r="AC16" s="870">
        <f t="shared" ref="AC16:AC24" si="0">SUM(W16:AB16)</f>
        <v>8.7452864197023992</v>
      </c>
    </row>
    <row r="17" spans="1:31">
      <c r="A17" s="5"/>
      <c r="B17" s="6" t="s">
        <v>37</v>
      </c>
      <c r="C17" s="878">
        <v>0</v>
      </c>
      <c r="D17" s="878">
        <v>0</v>
      </c>
      <c r="E17" s="878">
        <v>0.18961899999999998</v>
      </c>
      <c r="F17" s="870">
        <v>0.18961899999999998</v>
      </c>
      <c r="G17" s="878">
        <v>0</v>
      </c>
      <c r="H17" s="878">
        <v>0</v>
      </c>
      <c r="I17" s="878">
        <v>4.0960000000000007E-3</v>
      </c>
      <c r="J17" s="878">
        <v>0</v>
      </c>
      <c r="K17" s="878">
        <v>0</v>
      </c>
      <c r="L17" s="878">
        <v>5.9191849077390016E-2</v>
      </c>
      <c r="M17" s="878">
        <v>0</v>
      </c>
      <c r="N17" s="878">
        <v>7.4280000000000457E-3</v>
      </c>
      <c r="O17" s="878">
        <v>0</v>
      </c>
      <c r="P17" s="878">
        <v>2.0551E-2</v>
      </c>
      <c r="Q17" s="878">
        <v>0</v>
      </c>
      <c r="R17" s="870">
        <v>9.1266849077390064E-2</v>
      </c>
      <c r="S17" s="878">
        <v>1.5750642421987999</v>
      </c>
      <c r="T17" s="878">
        <v>0</v>
      </c>
      <c r="U17" s="878">
        <v>0</v>
      </c>
      <c r="V17" s="879">
        <v>1.5750642421987999</v>
      </c>
      <c r="W17" s="870">
        <v>1.8559500912761899</v>
      </c>
      <c r="X17" s="1077">
        <v>0</v>
      </c>
      <c r="Y17" s="878">
        <v>0</v>
      </c>
      <c r="Z17" s="878">
        <v>6.990005281474299</v>
      </c>
      <c r="AA17" s="871">
        <v>0</v>
      </c>
      <c r="AB17" s="871">
        <v>0</v>
      </c>
      <c r="AC17" s="870">
        <f t="shared" si="0"/>
        <v>8.8459553727504883</v>
      </c>
    </row>
    <row r="18" spans="1:31">
      <c r="A18" s="5"/>
      <c r="B18" s="6" t="s">
        <v>35</v>
      </c>
      <c r="C18" s="878">
        <v>0</v>
      </c>
      <c r="D18" s="878">
        <v>0</v>
      </c>
      <c r="E18" s="878">
        <v>6.430000000000019E-3</v>
      </c>
      <c r="F18" s="870">
        <v>6.430000000000019E-3</v>
      </c>
      <c r="G18" s="878">
        <v>0</v>
      </c>
      <c r="H18" s="878">
        <v>0</v>
      </c>
      <c r="I18" s="878">
        <v>3.6568598488921703E-2</v>
      </c>
      <c r="J18" s="878">
        <v>8.3759999999999998E-3</v>
      </c>
      <c r="K18" s="878">
        <v>0</v>
      </c>
      <c r="L18" s="878">
        <v>0.49550871060640983</v>
      </c>
      <c r="M18" s="878">
        <v>0</v>
      </c>
      <c r="N18" s="878">
        <v>0</v>
      </c>
      <c r="O18" s="878">
        <v>0</v>
      </c>
      <c r="P18" s="878">
        <v>0</v>
      </c>
      <c r="Q18" s="878">
        <v>0</v>
      </c>
      <c r="R18" s="870">
        <v>0.54045330909533151</v>
      </c>
      <c r="S18" s="878">
        <v>4.8379372793983508</v>
      </c>
      <c r="T18" s="878">
        <v>0</v>
      </c>
      <c r="U18" s="878">
        <v>0</v>
      </c>
      <c r="V18" s="879">
        <v>4.8379372793983508</v>
      </c>
      <c r="W18" s="870">
        <v>5.3848205884936826</v>
      </c>
      <c r="X18" s="1077">
        <v>0</v>
      </c>
      <c r="Y18" s="878">
        <v>9.6386369200000002E-2</v>
      </c>
      <c r="Z18" s="878">
        <v>7.252545233978358</v>
      </c>
      <c r="AA18" s="871">
        <v>0</v>
      </c>
      <c r="AB18" s="871">
        <v>0</v>
      </c>
      <c r="AC18" s="870">
        <f t="shared" si="0"/>
        <v>12.733752191672041</v>
      </c>
    </row>
    <row r="19" spans="1:31">
      <c r="A19" s="5"/>
      <c r="B19" s="6" t="s">
        <v>32</v>
      </c>
      <c r="C19" s="878">
        <v>0</v>
      </c>
      <c r="D19" s="878">
        <v>0</v>
      </c>
      <c r="E19" s="878">
        <v>0</v>
      </c>
      <c r="F19" s="870">
        <v>0</v>
      </c>
      <c r="G19" s="878">
        <v>0</v>
      </c>
      <c r="H19" s="878">
        <v>0</v>
      </c>
      <c r="I19" s="878">
        <v>3.3628960268001246E-2</v>
      </c>
      <c r="J19" s="878">
        <v>0.18326928873380399</v>
      </c>
      <c r="K19" s="878">
        <v>0</v>
      </c>
      <c r="L19" s="878">
        <v>6.3312994240576828</v>
      </c>
      <c r="M19" s="878">
        <v>0</v>
      </c>
      <c r="N19" s="878">
        <v>0.19937684615760548</v>
      </c>
      <c r="O19" s="878">
        <v>0</v>
      </c>
      <c r="P19" s="878">
        <v>0</v>
      </c>
      <c r="Q19" s="878">
        <v>0</v>
      </c>
      <c r="R19" s="870">
        <v>6.7475745192170935</v>
      </c>
      <c r="S19" s="878">
        <v>4.8992868946103867</v>
      </c>
      <c r="T19" s="878">
        <v>0</v>
      </c>
      <c r="U19" s="878">
        <v>0</v>
      </c>
      <c r="V19" s="879">
        <v>4.8992868946103867</v>
      </c>
      <c r="W19" s="870">
        <v>11.64686141382748</v>
      </c>
      <c r="X19" s="1077">
        <v>0</v>
      </c>
      <c r="Y19" s="878">
        <v>0.44733573646400027</v>
      </c>
      <c r="Z19" s="878">
        <v>10.668286449846903</v>
      </c>
      <c r="AA19" s="871">
        <v>0</v>
      </c>
      <c r="AB19" s="871">
        <v>0</v>
      </c>
      <c r="AC19" s="870">
        <f t="shared" si="0"/>
        <v>22.762483600138381</v>
      </c>
    </row>
    <row r="20" spans="1:31">
      <c r="A20" s="5"/>
      <c r="B20" s="6" t="s">
        <v>40</v>
      </c>
      <c r="C20" s="878">
        <v>0</v>
      </c>
      <c r="D20" s="878">
        <v>0</v>
      </c>
      <c r="E20" s="878">
        <v>0</v>
      </c>
      <c r="F20" s="870">
        <v>0</v>
      </c>
      <c r="G20" s="878">
        <v>0</v>
      </c>
      <c r="H20" s="878">
        <v>0</v>
      </c>
      <c r="I20" s="878">
        <v>2.4430729333427374E-2</v>
      </c>
      <c r="J20" s="878">
        <v>0</v>
      </c>
      <c r="K20" s="878">
        <v>0</v>
      </c>
      <c r="L20" s="878">
        <v>0.2445132139098509</v>
      </c>
      <c r="M20" s="878">
        <v>0</v>
      </c>
      <c r="N20" s="878">
        <v>4.5519999999999996E-3</v>
      </c>
      <c r="O20" s="878">
        <v>0</v>
      </c>
      <c r="P20" s="878">
        <v>0</v>
      </c>
      <c r="Q20" s="878">
        <v>0</v>
      </c>
      <c r="R20" s="870">
        <v>0.27349594324327825</v>
      </c>
      <c r="S20" s="878">
        <v>12.781643304943451</v>
      </c>
      <c r="T20" s="878">
        <v>0</v>
      </c>
      <c r="U20" s="878">
        <v>0</v>
      </c>
      <c r="V20" s="879">
        <v>12.781643304943451</v>
      </c>
      <c r="W20" s="870">
        <v>13.055139248186729</v>
      </c>
      <c r="X20" s="1077">
        <v>0</v>
      </c>
      <c r="Y20" s="878">
        <v>0.48417843583582187</v>
      </c>
      <c r="Z20" s="878">
        <v>15.329381735342333</v>
      </c>
      <c r="AA20" s="871">
        <v>0</v>
      </c>
      <c r="AB20" s="871">
        <v>0</v>
      </c>
      <c r="AC20" s="870">
        <f t="shared" si="0"/>
        <v>28.868699419364884</v>
      </c>
    </row>
    <row r="21" spans="1:31">
      <c r="A21" s="5"/>
      <c r="B21" s="6" t="s">
        <v>39</v>
      </c>
      <c r="C21" s="878">
        <v>0</v>
      </c>
      <c r="D21" s="878">
        <v>0</v>
      </c>
      <c r="E21" s="878">
        <v>0</v>
      </c>
      <c r="F21" s="870">
        <v>0</v>
      </c>
      <c r="G21" s="878">
        <v>0</v>
      </c>
      <c r="H21" s="878">
        <v>0</v>
      </c>
      <c r="I21" s="878">
        <v>4.7590000000000002E-3</v>
      </c>
      <c r="J21" s="878">
        <v>0</v>
      </c>
      <c r="K21" s="878">
        <v>0</v>
      </c>
      <c r="L21" s="878">
        <v>6.4196015292866102E-2</v>
      </c>
      <c r="M21" s="878">
        <v>0</v>
      </c>
      <c r="N21" s="878">
        <v>0</v>
      </c>
      <c r="O21" s="878">
        <v>0</v>
      </c>
      <c r="P21" s="878">
        <v>0</v>
      </c>
      <c r="Q21" s="878">
        <v>0</v>
      </c>
      <c r="R21" s="870">
        <v>6.8955015292866101E-2</v>
      </c>
      <c r="S21" s="878">
        <v>2.2515697009294637</v>
      </c>
      <c r="T21" s="878">
        <v>0</v>
      </c>
      <c r="U21" s="878">
        <v>0</v>
      </c>
      <c r="V21" s="879">
        <v>2.2515697009294637</v>
      </c>
      <c r="W21" s="870">
        <v>2.3205247162223297</v>
      </c>
      <c r="X21" s="1077">
        <v>2.8825406369840999E-2</v>
      </c>
      <c r="Y21" s="878">
        <v>0.159804879513048</v>
      </c>
      <c r="Z21" s="878">
        <v>3.280220117278827</v>
      </c>
      <c r="AA21" s="871">
        <v>0</v>
      </c>
      <c r="AB21" s="871">
        <v>0</v>
      </c>
      <c r="AC21" s="870">
        <f t="shared" si="0"/>
        <v>5.7893751193840455</v>
      </c>
    </row>
    <row r="22" spans="1:31">
      <c r="A22" s="5"/>
      <c r="B22" s="6" t="s">
        <v>36</v>
      </c>
      <c r="C22" s="878">
        <v>0</v>
      </c>
      <c r="D22" s="878">
        <v>0</v>
      </c>
      <c r="E22" s="878">
        <v>0</v>
      </c>
      <c r="F22" s="870">
        <v>0</v>
      </c>
      <c r="G22" s="878">
        <v>0</v>
      </c>
      <c r="H22" s="878">
        <v>0</v>
      </c>
      <c r="I22" s="878">
        <v>1.0980539599999999E-2</v>
      </c>
      <c r="J22" s="878">
        <v>0</v>
      </c>
      <c r="K22" s="878">
        <v>0</v>
      </c>
      <c r="L22" s="878">
        <v>8.0978676337739974E-2</v>
      </c>
      <c r="M22" s="878">
        <v>0</v>
      </c>
      <c r="N22" s="878">
        <v>1.5907000000000004E-2</v>
      </c>
      <c r="O22" s="878">
        <v>0</v>
      </c>
      <c r="P22" s="878">
        <v>1.8952E-2</v>
      </c>
      <c r="Q22" s="878">
        <v>0</v>
      </c>
      <c r="R22" s="870">
        <v>0.12681821593773998</v>
      </c>
      <c r="S22" s="878">
        <v>1.3093034646964004</v>
      </c>
      <c r="T22" s="878">
        <v>0</v>
      </c>
      <c r="U22" s="878">
        <v>0</v>
      </c>
      <c r="V22" s="879">
        <v>1.3093034646964004</v>
      </c>
      <c r="W22" s="870">
        <v>1.4361216806341404</v>
      </c>
      <c r="X22" s="1077">
        <v>0</v>
      </c>
      <c r="Y22" s="878">
        <v>0.43284388632799997</v>
      </c>
      <c r="Z22" s="878">
        <v>2.5375207948560004</v>
      </c>
      <c r="AA22" s="871">
        <v>0</v>
      </c>
      <c r="AB22" s="871">
        <v>0</v>
      </c>
      <c r="AC22" s="870">
        <f t="shared" si="0"/>
        <v>4.4064863618181409</v>
      </c>
    </row>
    <row r="23" spans="1:31">
      <c r="A23" s="5"/>
      <c r="B23" s="6" t="s">
        <v>38</v>
      </c>
      <c r="C23" s="878">
        <v>0</v>
      </c>
      <c r="D23" s="878">
        <v>6.9920799999900751E-5</v>
      </c>
      <c r="E23" s="878">
        <v>0</v>
      </c>
      <c r="F23" s="870">
        <v>6.9920799999900751E-5</v>
      </c>
      <c r="G23" s="878">
        <v>0</v>
      </c>
      <c r="H23" s="878">
        <v>0</v>
      </c>
      <c r="I23" s="878">
        <v>0</v>
      </c>
      <c r="J23" s="878">
        <v>0</v>
      </c>
      <c r="K23" s="878">
        <v>0</v>
      </c>
      <c r="L23" s="878">
        <v>1.0993720000000099E-4</v>
      </c>
      <c r="M23" s="878">
        <v>0</v>
      </c>
      <c r="N23" s="878">
        <v>0</v>
      </c>
      <c r="O23" s="878">
        <v>0</v>
      </c>
      <c r="P23" s="878">
        <v>0</v>
      </c>
      <c r="Q23" s="878">
        <v>0</v>
      </c>
      <c r="R23" s="870">
        <v>1.0993720000000099E-4</v>
      </c>
      <c r="S23" s="878">
        <v>0.4581678547468</v>
      </c>
      <c r="T23" s="878">
        <v>0</v>
      </c>
      <c r="U23" s="878">
        <v>0</v>
      </c>
      <c r="V23" s="879">
        <v>0.4581678547468</v>
      </c>
      <c r="W23" s="870">
        <v>0.45834771274679992</v>
      </c>
      <c r="X23" s="1077">
        <v>0</v>
      </c>
      <c r="Y23" s="878">
        <v>0</v>
      </c>
      <c r="Z23" s="878">
        <v>2.0000049961871196</v>
      </c>
      <c r="AA23" s="871">
        <v>0</v>
      </c>
      <c r="AB23" s="871">
        <v>0</v>
      </c>
      <c r="AC23" s="870">
        <f t="shared" si="0"/>
        <v>2.4583527089339197</v>
      </c>
    </row>
    <row r="24" spans="1:31">
      <c r="A24" s="221"/>
      <c r="B24" s="219" t="s">
        <v>33</v>
      </c>
      <c r="C24" s="878">
        <v>0</v>
      </c>
      <c r="D24" s="878">
        <v>0</v>
      </c>
      <c r="E24" s="878">
        <v>0</v>
      </c>
      <c r="F24" s="870">
        <v>0</v>
      </c>
      <c r="G24" s="878">
        <v>0</v>
      </c>
      <c r="H24" s="878">
        <v>0</v>
      </c>
      <c r="I24" s="878">
        <v>2.3056200000000002</v>
      </c>
      <c r="J24" s="878">
        <v>0</v>
      </c>
      <c r="K24" s="878">
        <v>0</v>
      </c>
      <c r="L24" s="878">
        <v>0.25004328666539</v>
      </c>
      <c r="M24" s="878">
        <v>0</v>
      </c>
      <c r="N24" s="878">
        <v>2.8799000000000019E-2</v>
      </c>
      <c r="O24" s="878">
        <v>0</v>
      </c>
      <c r="P24" s="878">
        <v>0</v>
      </c>
      <c r="Q24" s="878">
        <v>0</v>
      </c>
      <c r="R24" s="870">
        <v>2.5844622866653904</v>
      </c>
      <c r="S24" s="878">
        <v>8.6573550675842839</v>
      </c>
      <c r="T24" s="878">
        <v>0</v>
      </c>
      <c r="U24" s="878">
        <v>0</v>
      </c>
      <c r="V24" s="879">
        <v>8.6573550675842839</v>
      </c>
      <c r="W24" s="870">
        <v>11.241817354249674</v>
      </c>
      <c r="X24" s="1077">
        <v>0</v>
      </c>
      <c r="Y24" s="878">
        <v>2.65700000000002E-3</v>
      </c>
      <c r="Z24" s="878">
        <v>39.423625797371713</v>
      </c>
      <c r="AA24" s="871">
        <v>0</v>
      </c>
      <c r="AB24" s="871">
        <v>0</v>
      </c>
      <c r="AC24" s="870">
        <f t="shared" si="0"/>
        <v>50.668100151621388</v>
      </c>
    </row>
    <row r="25" spans="1:31">
      <c r="A25" s="5" t="s">
        <v>645</v>
      </c>
      <c r="B25" s="128"/>
      <c r="C25" s="875">
        <f>SUM(C27:C32)</f>
        <v>0</v>
      </c>
      <c r="D25" s="875">
        <f t="shared" ref="D25:E25" si="1">SUM(D27:D32)</f>
        <v>0.6880493102575298</v>
      </c>
      <c r="E25" s="875">
        <f t="shared" si="1"/>
        <v>0</v>
      </c>
      <c r="F25" s="876">
        <f>SUM(F27:F32)</f>
        <v>0.6880493102575298</v>
      </c>
      <c r="G25" s="866">
        <f>SUM(G27:G32)</f>
        <v>0</v>
      </c>
      <c r="H25" s="866">
        <f t="shared" ref="H25:Q25" si="2">SUM(H27:H32)</f>
        <v>0</v>
      </c>
      <c r="I25" s="866">
        <f t="shared" si="2"/>
        <v>9.7748498274103535E-2</v>
      </c>
      <c r="J25" s="866">
        <f t="shared" si="2"/>
        <v>7.3272550622527619E-2</v>
      </c>
      <c r="K25" s="866">
        <f t="shared" si="2"/>
        <v>0</v>
      </c>
      <c r="L25" s="866">
        <f t="shared" si="2"/>
        <v>8.0964927349496989</v>
      </c>
      <c r="M25" s="866">
        <f t="shared" si="2"/>
        <v>0</v>
      </c>
      <c r="N25" s="866">
        <f t="shared" si="2"/>
        <v>0.4073390843512672</v>
      </c>
      <c r="O25" s="866">
        <f t="shared" si="2"/>
        <v>0</v>
      </c>
      <c r="P25" s="866">
        <f t="shared" si="2"/>
        <v>0</v>
      </c>
      <c r="Q25" s="866">
        <f t="shared" si="2"/>
        <v>0</v>
      </c>
      <c r="R25" s="876">
        <f>SUM(R27:R32)</f>
        <v>8.6748528681975952</v>
      </c>
      <c r="S25" s="866">
        <f>SUM(S27:S32)</f>
        <v>19.322271363931193</v>
      </c>
      <c r="T25" s="866">
        <f t="shared" ref="T25:U25" si="3">SUM(T27:T32)</f>
        <v>0</v>
      </c>
      <c r="U25" s="866">
        <f t="shared" si="3"/>
        <v>0</v>
      </c>
      <c r="V25" s="876">
        <f>SUM(V27:V32)</f>
        <v>19.322271363931193</v>
      </c>
      <c r="W25" s="876">
        <f>SUM(W27:W32)</f>
        <v>28.685173542386323</v>
      </c>
      <c r="X25" s="875">
        <f>SUM(X27:X32)</f>
        <v>0</v>
      </c>
      <c r="Y25" s="866">
        <f>SUM(Y27:Y32)</f>
        <v>2.990542845924014</v>
      </c>
      <c r="Z25" s="868">
        <v>-2.7952862088564001</v>
      </c>
      <c r="AA25" s="877">
        <v>3.7835551353467584E-2</v>
      </c>
      <c r="AB25" s="877">
        <f>SUM(AB27:AB32)</f>
        <v>0</v>
      </c>
      <c r="AC25" s="876">
        <f>SUM(AC27:AC32)</f>
        <v>28.880430179453935</v>
      </c>
      <c r="AE25" s="38"/>
    </row>
    <row r="26" spans="1:31">
      <c r="A26" s="5"/>
      <c r="B26" s="128"/>
      <c r="C26" s="880"/>
      <c r="D26" s="881"/>
      <c r="E26" s="880"/>
      <c r="F26" s="870"/>
      <c r="G26" s="881"/>
      <c r="H26" s="881"/>
      <c r="I26" s="881"/>
      <c r="J26" s="881"/>
      <c r="K26" s="881"/>
      <c r="L26" s="881"/>
      <c r="M26" s="881"/>
      <c r="N26" s="881"/>
      <c r="O26" s="881"/>
      <c r="P26" s="881"/>
      <c r="Q26" s="881"/>
      <c r="R26" s="870"/>
      <c r="S26" s="881"/>
      <c r="T26" s="880"/>
      <c r="U26" s="880"/>
      <c r="V26" s="870"/>
      <c r="W26" s="870"/>
      <c r="X26" s="880"/>
      <c r="Y26" s="884"/>
      <c r="Z26" s="884">
        <v>2.6210909340000001</v>
      </c>
      <c r="AA26" s="885"/>
      <c r="AB26" s="882"/>
      <c r="AC26" s="883"/>
      <c r="AE26" s="38"/>
    </row>
    <row r="27" spans="1:31">
      <c r="A27" s="3"/>
      <c r="B27" s="6" t="s">
        <v>163</v>
      </c>
      <c r="C27" s="869">
        <v>0</v>
      </c>
      <c r="D27" s="869">
        <v>5.6113467351199647E-5</v>
      </c>
      <c r="E27" s="869">
        <v>0</v>
      </c>
      <c r="F27" s="870">
        <v>5.6113467351199647E-5</v>
      </c>
      <c r="G27" s="869">
        <v>0</v>
      </c>
      <c r="H27" s="869">
        <v>0</v>
      </c>
      <c r="I27" s="869">
        <v>7.7383018975675927E-2</v>
      </c>
      <c r="J27" s="869">
        <v>4.1960298986096401E-4</v>
      </c>
      <c r="K27" s="869">
        <v>0</v>
      </c>
      <c r="L27" s="869">
        <v>4.6825868092928449</v>
      </c>
      <c r="M27" s="869">
        <v>0</v>
      </c>
      <c r="N27" s="869">
        <v>0</v>
      </c>
      <c r="O27" s="869">
        <v>0</v>
      </c>
      <c r="P27" s="869">
        <v>0</v>
      </c>
      <c r="Q27" s="869">
        <v>0</v>
      </c>
      <c r="R27" s="870">
        <v>4.7603894312583819</v>
      </c>
      <c r="S27" s="869">
        <v>0.27809404962119999</v>
      </c>
      <c r="T27" s="869">
        <v>0</v>
      </c>
      <c r="U27" s="869">
        <v>0</v>
      </c>
      <c r="V27" s="870">
        <v>0.27809404962119999</v>
      </c>
      <c r="W27" s="870">
        <v>5.0385395943469327</v>
      </c>
      <c r="X27" s="869">
        <v>0</v>
      </c>
      <c r="Y27" s="869">
        <v>0.97439749953816979</v>
      </c>
      <c r="Z27" s="869">
        <v>2.1171411079172864</v>
      </c>
      <c r="AA27" s="871">
        <v>0</v>
      </c>
      <c r="AB27" s="871">
        <v>0</v>
      </c>
      <c r="AC27" s="870">
        <v>8.1300782018023892</v>
      </c>
    </row>
    <row r="28" spans="1:31">
      <c r="A28" s="3"/>
      <c r="B28" s="6" t="s">
        <v>164</v>
      </c>
      <c r="C28" s="869">
        <v>0</v>
      </c>
      <c r="D28" s="869">
        <v>3.7520304520458303E-4</v>
      </c>
      <c r="E28" s="869">
        <v>0</v>
      </c>
      <c r="F28" s="870">
        <v>3.7520304520458303E-4</v>
      </c>
      <c r="G28" s="869">
        <v>0</v>
      </c>
      <c r="H28" s="869">
        <v>0</v>
      </c>
      <c r="I28" s="869">
        <v>1.9801253714009106E-3</v>
      </c>
      <c r="J28" s="869">
        <v>6.4836502860102479E-4</v>
      </c>
      <c r="K28" s="869">
        <v>0</v>
      </c>
      <c r="L28" s="869">
        <v>2.023130189704895</v>
      </c>
      <c r="M28" s="869">
        <v>0</v>
      </c>
      <c r="N28" s="869">
        <v>0</v>
      </c>
      <c r="O28" s="869">
        <v>0</v>
      </c>
      <c r="P28" s="869">
        <v>0</v>
      </c>
      <c r="Q28" s="869">
        <v>0</v>
      </c>
      <c r="R28" s="870">
        <v>2.025758680104897</v>
      </c>
      <c r="S28" s="869">
        <v>0.22361568256440001</v>
      </c>
      <c r="T28" s="869">
        <v>0</v>
      </c>
      <c r="U28" s="869">
        <v>0</v>
      </c>
      <c r="V28" s="870">
        <v>0.22361568256440001</v>
      </c>
      <c r="W28" s="870">
        <v>2.2497495657145015</v>
      </c>
      <c r="X28" s="869">
        <v>0</v>
      </c>
      <c r="Y28" s="869">
        <v>1.7619503527815918</v>
      </c>
      <c r="Z28" s="869">
        <v>2.1941092299203092E-2</v>
      </c>
      <c r="AA28" s="871">
        <v>0</v>
      </c>
      <c r="AB28" s="871">
        <v>0</v>
      </c>
      <c r="AC28" s="870">
        <v>4.0336410107952965</v>
      </c>
    </row>
    <row r="29" spans="1:31">
      <c r="A29" s="3"/>
      <c r="B29" s="6" t="s">
        <v>165</v>
      </c>
      <c r="C29" s="869">
        <v>0</v>
      </c>
      <c r="D29" s="869">
        <v>0.65540918728571407</v>
      </c>
      <c r="E29" s="869">
        <v>0</v>
      </c>
      <c r="F29" s="870">
        <v>0.65540918728571407</v>
      </c>
      <c r="G29" s="869">
        <v>0</v>
      </c>
      <c r="H29" s="869">
        <v>0</v>
      </c>
      <c r="I29" s="869">
        <v>1.3913305271799835E-2</v>
      </c>
      <c r="J29" s="869">
        <v>2.73176933281062E-3</v>
      </c>
      <c r="K29" s="869">
        <v>0</v>
      </c>
      <c r="L29" s="869">
        <v>0.63526814898322737</v>
      </c>
      <c r="M29" s="869">
        <v>0</v>
      </c>
      <c r="N29" s="869">
        <v>0.40251300178102467</v>
      </c>
      <c r="O29" s="869">
        <v>0</v>
      </c>
      <c r="P29" s="869">
        <v>0</v>
      </c>
      <c r="Q29" s="869">
        <v>0</v>
      </c>
      <c r="R29" s="870">
        <v>1.0544262253688625</v>
      </c>
      <c r="S29" s="869">
        <v>18.820561631745594</v>
      </c>
      <c r="T29" s="869">
        <v>0</v>
      </c>
      <c r="U29" s="869">
        <v>0</v>
      </c>
      <c r="V29" s="870">
        <v>18.820561631745594</v>
      </c>
      <c r="W29" s="870">
        <v>20.530397044400171</v>
      </c>
      <c r="X29" s="869">
        <v>0</v>
      </c>
      <c r="Y29" s="869">
        <v>0.25405342560425198</v>
      </c>
      <c r="Z29" s="869">
        <v>-5.786706946570237</v>
      </c>
      <c r="AA29" s="871">
        <v>0</v>
      </c>
      <c r="AB29" s="871">
        <v>0</v>
      </c>
      <c r="AC29" s="870">
        <v>14.997743523434185</v>
      </c>
    </row>
    <row r="30" spans="1:31">
      <c r="A30" s="3"/>
      <c r="B30" s="6" t="s">
        <v>166</v>
      </c>
      <c r="C30" s="869">
        <v>0</v>
      </c>
      <c r="D30" s="869">
        <v>3.2208806459259921E-2</v>
      </c>
      <c r="E30" s="869">
        <v>0</v>
      </c>
      <c r="F30" s="870">
        <v>3.2208806459259921E-2</v>
      </c>
      <c r="G30" s="869">
        <v>0</v>
      </c>
      <c r="H30" s="869">
        <v>0</v>
      </c>
      <c r="I30" s="869">
        <v>4.4702909681298645E-3</v>
      </c>
      <c r="J30" s="869">
        <v>5.3004968754455711E-3</v>
      </c>
      <c r="K30" s="869">
        <v>0</v>
      </c>
      <c r="L30" s="869">
        <v>0.74527739723693076</v>
      </c>
      <c r="M30" s="869">
        <v>0</v>
      </c>
      <c r="N30" s="869">
        <v>4.8260825702425266E-3</v>
      </c>
      <c r="O30" s="869">
        <v>0</v>
      </c>
      <c r="P30" s="869">
        <v>0</v>
      </c>
      <c r="Q30" s="869">
        <v>0</v>
      </c>
      <c r="R30" s="870">
        <v>0.75987426765074872</v>
      </c>
      <c r="S30" s="869">
        <v>0</v>
      </c>
      <c r="T30" s="869">
        <v>0</v>
      </c>
      <c r="U30" s="869">
        <v>0</v>
      </c>
      <c r="V30" s="870">
        <v>0</v>
      </c>
      <c r="W30" s="870">
        <v>0.79208307411000867</v>
      </c>
      <c r="X30" s="869">
        <v>0</v>
      </c>
      <c r="Y30" s="869">
        <v>1.4156800000000001E-4</v>
      </c>
      <c r="Z30" s="869">
        <v>0.8522888410813475</v>
      </c>
      <c r="AA30" s="871">
        <v>0</v>
      </c>
      <c r="AB30" s="871">
        <v>0</v>
      </c>
      <c r="AC30" s="870">
        <v>1.6445134831913562</v>
      </c>
    </row>
    <row r="31" spans="1:31">
      <c r="A31" s="3"/>
      <c r="B31" s="6" t="s">
        <v>167</v>
      </c>
      <c r="C31" s="869">
        <v>0</v>
      </c>
      <c r="D31" s="869">
        <v>0</v>
      </c>
      <c r="E31" s="869">
        <v>0</v>
      </c>
      <c r="F31" s="870">
        <v>0</v>
      </c>
      <c r="G31" s="869">
        <v>0</v>
      </c>
      <c r="H31" s="869">
        <v>0</v>
      </c>
      <c r="I31" s="869">
        <v>1.757687097E-6</v>
      </c>
      <c r="J31" s="869">
        <v>6.1218319599309602E-2</v>
      </c>
      <c r="K31" s="869">
        <v>0</v>
      </c>
      <c r="L31" s="869">
        <v>6.8157765275399899E-3</v>
      </c>
      <c r="M31" s="869">
        <v>0</v>
      </c>
      <c r="N31" s="869">
        <v>0</v>
      </c>
      <c r="O31" s="869">
        <v>0</v>
      </c>
      <c r="P31" s="869">
        <v>0</v>
      </c>
      <c r="Q31" s="869">
        <v>0</v>
      </c>
      <c r="R31" s="870">
        <v>6.8035853813946598E-2</v>
      </c>
      <c r="S31" s="869">
        <v>0</v>
      </c>
      <c r="T31" s="869">
        <v>0</v>
      </c>
      <c r="U31" s="869">
        <v>0</v>
      </c>
      <c r="V31" s="870">
        <v>0</v>
      </c>
      <c r="W31" s="870">
        <v>6.8035853813946598E-2</v>
      </c>
      <c r="X31" s="869">
        <v>0</v>
      </c>
      <c r="Y31" s="869">
        <v>0</v>
      </c>
      <c r="Z31" s="869">
        <v>0</v>
      </c>
      <c r="AA31" s="871">
        <v>0</v>
      </c>
      <c r="AB31" s="871">
        <v>0</v>
      </c>
      <c r="AC31" s="870">
        <v>6.8035853813946598E-2</v>
      </c>
    </row>
    <row r="32" spans="1:31">
      <c r="A32" s="4"/>
      <c r="B32" s="127" t="s">
        <v>168</v>
      </c>
      <c r="C32" s="887">
        <v>0</v>
      </c>
      <c r="D32" s="887">
        <v>0</v>
      </c>
      <c r="E32" s="887">
        <v>0</v>
      </c>
      <c r="F32" s="886">
        <v>0</v>
      </c>
      <c r="G32" s="887">
        <v>0</v>
      </c>
      <c r="H32" s="887">
        <v>0</v>
      </c>
      <c r="I32" s="887">
        <v>0</v>
      </c>
      <c r="J32" s="887">
        <v>2.95399679649984E-3</v>
      </c>
      <c r="K32" s="887">
        <v>0</v>
      </c>
      <c r="L32" s="887">
        <v>3.4144132042593003E-3</v>
      </c>
      <c r="M32" s="887">
        <v>0</v>
      </c>
      <c r="N32" s="887">
        <v>0</v>
      </c>
      <c r="O32" s="887">
        <v>0</v>
      </c>
      <c r="P32" s="887">
        <v>0</v>
      </c>
      <c r="Q32" s="887">
        <v>0</v>
      </c>
      <c r="R32" s="886">
        <v>6.3684100007591407E-3</v>
      </c>
      <c r="S32" s="887">
        <v>0</v>
      </c>
      <c r="T32" s="887">
        <v>0</v>
      </c>
      <c r="U32" s="887">
        <v>0</v>
      </c>
      <c r="V32" s="886">
        <v>0</v>
      </c>
      <c r="W32" s="886">
        <v>6.3684100007591407E-3</v>
      </c>
      <c r="X32" s="887">
        <v>0</v>
      </c>
      <c r="Y32" s="887">
        <v>0</v>
      </c>
      <c r="Z32" s="887">
        <v>4.9696415999999998E-5</v>
      </c>
      <c r="AA32" s="888">
        <v>0</v>
      </c>
      <c r="AB32" s="888">
        <v>0</v>
      </c>
      <c r="AC32" s="886">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2" t="s">
        <v>462</v>
      </c>
      <c r="B2" s="1213"/>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464</v>
      </c>
      <c r="C6" s="161" t="s">
        <v>480</v>
      </c>
    </row>
    <row r="7" spans="1:3" s="11" customFormat="1">
      <c r="A7" s="132"/>
      <c r="B7" s="133"/>
      <c r="C7" s="134"/>
    </row>
    <row r="8" spans="1:3" s="11" customFormat="1" ht="60">
      <c r="A8" s="113" t="s">
        <v>154</v>
      </c>
      <c r="B8" s="130" t="s">
        <v>464</v>
      </c>
      <c r="C8" s="313" t="s">
        <v>481</v>
      </c>
    </row>
    <row r="9" spans="1:3" s="11" customFormat="1">
      <c r="A9" s="132"/>
      <c r="B9" s="133"/>
      <c r="C9" s="134"/>
    </row>
    <row r="10" spans="1:3" s="11" customFormat="1" ht="60">
      <c r="A10" s="113" t="s">
        <v>155</v>
      </c>
      <c r="B10" s="130" t="s">
        <v>464</v>
      </c>
      <c r="C10" s="313" t="s">
        <v>481</v>
      </c>
    </row>
    <row r="11" spans="1:3" s="11" customFormat="1">
      <c r="A11" s="132"/>
      <c r="B11" s="133"/>
      <c r="C11" s="134"/>
    </row>
    <row r="12" spans="1:3" s="11" customFormat="1" ht="60">
      <c r="A12" s="113" t="s">
        <v>385</v>
      </c>
      <c r="B12" s="130" t="s">
        <v>464</v>
      </c>
      <c r="C12" s="313" t="s">
        <v>481</v>
      </c>
    </row>
    <row r="13" spans="1:3" s="11" customFormat="1">
      <c r="A13" s="132"/>
      <c r="B13" s="133"/>
      <c r="C13" s="134"/>
    </row>
    <row r="14" spans="1:3" s="11" customFormat="1" ht="60">
      <c r="A14" s="113" t="s">
        <v>111</v>
      </c>
      <c r="B14" s="130" t="s">
        <v>482</v>
      </c>
      <c r="C14" s="313" t="s">
        <v>481</v>
      </c>
    </row>
    <row r="15" spans="1:3" s="11" customFormat="1" ht="63">
      <c r="A15" s="123"/>
      <c r="B15" s="130" t="s">
        <v>483</v>
      </c>
      <c r="C15" s="313" t="s">
        <v>487</v>
      </c>
    </row>
    <row r="16" spans="1:3" s="11" customFormat="1">
      <c r="A16" s="132"/>
      <c r="B16" s="133"/>
      <c r="C16" s="134"/>
    </row>
    <row r="17" spans="1:3" s="11" customFormat="1" ht="45">
      <c r="A17" s="113" t="s">
        <v>463</v>
      </c>
      <c r="B17" s="130" t="s">
        <v>533</v>
      </c>
      <c r="C17" s="161" t="s">
        <v>534</v>
      </c>
    </row>
    <row r="18" spans="1:3" s="11" customFormat="1">
      <c r="A18" s="132"/>
      <c r="B18" s="133"/>
      <c r="C18" s="134"/>
    </row>
    <row r="19" spans="1:3" s="11" customFormat="1" ht="60">
      <c r="A19" s="113" t="s">
        <v>388</v>
      </c>
      <c r="B19" s="312" t="s">
        <v>531</v>
      </c>
      <c r="C19" s="161" t="s">
        <v>532</v>
      </c>
    </row>
    <row r="20" spans="1:3" s="11" customFormat="1">
      <c r="A20" s="113"/>
      <c r="B20" s="130"/>
      <c r="C20" s="131"/>
    </row>
    <row r="21" spans="1:3" ht="21">
      <c r="A21" s="126" t="s">
        <v>466</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4" t="s">
        <v>193</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528</v>
      </c>
      <c r="B5" s="30">
        <f>SUM(OV_ov_ele_kWh,OV_rest_ele_kWh)/1000</f>
        <v>679.77099999999996</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529</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467</v>
      </c>
      <c r="B8" s="21">
        <f>MAX((B5+B6),0)</f>
        <v>679.77099999999996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0.21280384155040658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144.65788017456143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64" activePane="bottomRight" state="frozen"/>
      <selection activeCell="B35" sqref="B35"/>
      <selection pane="topRight" activeCell="B35" sqref="B35"/>
      <selection pane="bottomLeft" activeCell="B35" sqref="B35"/>
      <selection pane="bottomRight" activeCell="B71" sqref="B71"/>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4" t="s">
        <v>154</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530</v>
      </c>
      <c r="B5" s="30">
        <f>IF(ISERROR(SUM(HH_hh_ele_kWh,HH_rest_kWh)/1000),0,SUM(HH_hh_ele_kWh,HH_rest_kWh)/1000)</f>
        <v>13818.974625598301</v>
      </c>
      <c r="C5" s="17">
        <f>IF(ISERROR('Eigen informatie GS &amp; warmtenet'!B59),0,'Eigen informatie GS &amp; warmtenet'!B59)</f>
        <v>0</v>
      </c>
      <c r="D5" s="30">
        <f>(SUM(HH_hh_gas_kWh,HH_rest_gas_kWh)/1000)*0.903</f>
        <v>33663.168431330152</v>
      </c>
      <c r="E5" s="17">
        <f>B46*B57</f>
        <v>15049.422615118247</v>
      </c>
      <c r="F5" s="17">
        <f>B51*B62</f>
        <v>13132.640142188808</v>
      </c>
      <c r="G5" s="18"/>
      <c r="H5" s="17"/>
      <c r="I5" s="17"/>
      <c r="J5" s="17">
        <f>B50*B61+C50*C61</f>
        <v>502.76027300953217</v>
      </c>
      <c r="K5" s="17"/>
      <c r="L5" s="17"/>
      <c r="M5" s="17"/>
      <c r="N5" s="17">
        <f>B48*B59+C48*C59</f>
        <v>20053.006002877042</v>
      </c>
      <c r="O5" s="17">
        <f>B69*B70*B71</f>
        <v>605.10725691304469</v>
      </c>
      <c r="P5" s="17">
        <f>B77*B78*B79/1000-B77*B78*B79/1000/B80</f>
        <v>358.15461646129074</v>
      </c>
    </row>
    <row r="6" spans="1:16">
      <c r="A6" s="16" t="s">
        <v>612</v>
      </c>
      <c r="B6" s="786">
        <f>kWh_PV_kleiner_dan_10kW</f>
        <v>5466.9473426856111</v>
      </c>
      <c r="C6" s="787"/>
      <c r="D6" s="787"/>
      <c r="E6" s="788"/>
      <c r="F6" s="788"/>
      <c r="G6" s="788"/>
      <c r="H6" s="788"/>
      <c r="I6" s="788"/>
      <c r="J6" s="788"/>
      <c r="K6" s="788"/>
      <c r="L6" s="788"/>
      <c r="M6" s="788"/>
      <c r="N6" s="788"/>
      <c r="O6" s="788"/>
      <c r="P6" s="788"/>
    </row>
    <row r="7" spans="1:16">
      <c r="B7" s="19"/>
      <c r="C7" s="19"/>
      <c r="D7" s="19"/>
      <c r="E7" s="19"/>
      <c r="F7" s="19"/>
      <c r="G7" s="19"/>
      <c r="H7" s="19"/>
      <c r="I7" s="19"/>
      <c r="J7" s="19"/>
      <c r="K7" s="19"/>
      <c r="L7" s="19"/>
      <c r="M7" s="19"/>
      <c r="N7" s="19"/>
      <c r="O7" s="19"/>
      <c r="P7" s="19"/>
    </row>
    <row r="8" spans="1:16" s="8" customFormat="1">
      <c r="A8" s="20" t="s">
        <v>211</v>
      </c>
      <c r="B8" s="21">
        <f>B5+B6</f>
        <v>19285.92196828391</v>
      </c>
      <c r="C8" s="21">
        <f>C5</f>
        <v>0</v>
      </c>
      <c r="D8" s="21">
        <f>D5</f>
        <v>33663.168431330152</v>
      </c>
      <c r="E8" s="21">
        <f>E5</f>
        <v>15049.422615118247</v>
      </c>
      <c r="F8" s="21">
        <f>F5</f>
        <v>13132.640142188808</v>
      </c>
      <c r="G8" s="21"/>
      <c r="H8" s="21"/>
      <c r="I8" s="21"/>
      <c r="J8" s="21">
        <f>J5</f>
        <v>502.76027300953217</v>
      </c>
      <c r="K8" s="21"/>
      <c r="L8" s="21">
        <f>L5</f>
        <v>0</v>
      </c>
      <c r="M8" s="21">
        <f>M5</f>
        <v>0</v>
      </c>
      <c r="N8" s="21">
        <f>N5</f>
        <v>20053.006002877042</v>
      </c>
      <c r="O8" s="21">
        <f>O5</f>
        <v>605.10725691304469</v>
      </c>
      <c r="P8" s="21">
        <f>P5</f>
        <v>358.15461646129074</v>
      </c>
    </row>
    <row r="9" spans="1:16">
      <c r="B9" s="19"/>
      <c r="C9" s="19"/>
      <c r="D9" s="258"/>
      <c r="E9" s="19"/>
      <c r="F9" s="19"/>
      <c r="G9" s="19"/>
      <c r="H9" s="19"/>
      <c r="I9" s="19"/>
      <c r="J9" s="19"/>
      <c r="K9" s="19"/>
      <c r="L9" s="19"/>
      <c r="M9" s="19"/>
      <c r="N9" s="19"/>
      <c r="O9" s="19"/>
      <c r="P9" s="19"/>
    </row>
    <row r="10" spans="1:16">
      <c r="A10" s="24" t="s">
        <v>213</v>
      </c>
      <c r="B10" s="25">
        <f ca="1">'EF ele_warmte'!B12</f>
        <v>0.21280384155040658</v>
      </c>
      <c r="C10" s="25">
        <f ca="1">'EF ele_warmte'!B22</f>
        <v>0.23148073745771164</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4104.118282692195</v>
      </c>
      <c r="C12" s="23">
        <f ca="1">C10*C8</f>
        <v>0</v>
      </c>
      <c r="D12" s="23">
        <f>D8*D10</f>
        <v>6799.9600231286913</v>
      </c>
      <c r="E12" s="23">
        <f>E10*E8</f>
        <v>3416.218933631842</v>
      </c>
      <c r="F12" s="23">
        <f>F10*F8</f>
        <v>3506.4149179644119</v>
      </c>
      <c r="G12" s="23"/>
      <c r="H12" s="23"/>
      <c r="I12" s="23"/>
      <c r="J12" s="23">
        <f>J10*J8</f>
        <v>177.97713664537437</v>
      </c>
      <c r="K12" s="23"/>
      <c r="L12" s="23">
        <f>L10*L8</f>
        <v>0</v>
      </c>
      <c r="M12" s="23">
        <f>M10*M8</f>
        <v>0</v>
      </c>
      <c r="N12" s="23">
        <f>N10*N8</f>
        <v>0</v>
      </c>
      <c r="O12" s="23">
        <f>O10*O8</f>
        <v>0</v>
      </c>
      <c r="P12" s="23">
        <f>P10*P8</f>
        <v>0</v>
      </c>
    </row>
    <row r="15" spans="1:16">
      <c r="A15" s="193" t="s">
        <v>478</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1342</v>
      </c>
      <c r="C18" s="166" t="s">
        <v>110</v>
      </c>
      <c r="D18" s="228"/>
      <c r="E18" s="15"/>
    </row>
    <row r="19" spans="1:7">
      <c r="A19" s="171" t="s">
        <v>71</v>
      </c>
      <c r="B19" s="37">
        <f>aantalw2001_ander</f>
        <v>2</v>
      </c>
      <c r="C19" s="166" t="s">
        <v>110</v>
      </c>
      <c r="D19" s="229"/>
      <c r="E19" s="15"/>
    </row>
    <row r="20" spans="1:7">
      <c r="A20" s="171" t="s">
        <v>72</v>
      </c>
      <c r="B20" s="37">
        <f>aantalw2001_propaan</f>
        <v>211</v>
      </c>
      <c r="C20" s="167">
        <f>IF(ISERROR(B20/SUM($B$20,$B$21,$B$22)*100),0,B20/SUM($B$20,$B$21,$B$22)*100)</f>
        <v>31.873111782477341</v>
      </c>
      <c r="D20" s="229"/>
      <c r="E20" s="15"/>
    </row>
    <row r="21" spans="1:7">
      <c r="A21" s="171" t="s">
        <v>73</v>
      </c>
      <c r="B21" s="37">
        <f>aantalw2001_elektriciteit</f>
        <v>301</v>
      </c>
      <c r="C21" s="167">
        <f>IF(ISERROR(B21/SUM($B$20,$B$21,$B$22)*100),0,B21/SUM($B$20,$B$21,$B$22)*100)</f>
        <v>45.468277945619334</v>
      </c>
      <c r="D21" s="229"/>
      <c r="E21" s="15"/>
    </row>
    <row r="22" spans="1:7">
      <c r="A22" s="171" t="s">
        <v>74</v>
      </c>
      <c r="B22" s="37">
        <f>aantalw2001_hout</f>
        <v>150</v>
      </c>
      <c r="C22" s="167">
        <f>IF(ISERROR(B22/SUM($B$20,$B$21,$B$22)*100),0,B22/SUM($B$20,$B$21,$B$22)*100)</f>
        <v>22.658610271903324</v>
      </c>
      <c r="D22" s="229"/>
      <c r="E22" s="15"/>
    </row>
    <row r="23" spans="1:7">
      <c r="A23" s="171" t="s">
        <v>75</v>
      </c>
      <c r="B23" s="37">
        <f>aantalw2001_niet_gespec</f>
        <v>64</v>
      </c>
      <c r="C23" s="166" t="s">
        <v>110</v>
      </c>
      <c r="D23" s="228"/>
      <c r="E23" s="15"/>
    </row>
    <row r="24" spans="1:7">
      <c r="A24" s="171" t="s">
        <v>76</v>
      </c>
      <c r="B24" s="37">
        <f>aantalw2001_steenkool</f>
        <v>162</v>
      </c>
      <c r="C24" s="166" t="s">
        <v>110</v>
      </c>
      <c r="D24" s="229"/>
      <c r="E24" s="15"/>
    </row>
    <row r="25" spans="1:7">
      <c r="A25" s="171" t="s">
        <v>77</v>
      </c>
      <c r="B25" s="37">
        <f>aantalw2001_stookolie</f>
        <v>1769</v>
      </c>
      <c r="C25" s="166" t="s">
        <v>110</v>
      </c>
      <c r="D25" s="228"/>
      <c r="E25" s="52"/>
    </row>
    <row r="26" spans="1:7">
      <c r="A26" s="171" t="s">
        <v>78</v>
      </c>
      <c r="B26" s="37">
        <f>aantalw2001_WP</f>
        <v>0</v>
      </c>
      <c r="C26" s="166" t="s">
        <v>110</v>
      </c>
      <c r="D26" s="228"/>
      <c r="E26" s="15"/>
    </row>
    <row r="27" spans="1:7" s="15" customFormat="1">
      <c r="A27" s="171"/>
      <c r="B27" s="29"/>
      <c r="C27" s="36"/>
      <c r="D27" s="228"/>
    </row>
    <row r="28" spans="1:7" s="15" customFormat="1">
      <c r="A28" s="230" t="s">
        <v>838</v>
      </c>
      <c r="B28" s="37">
        <f>aantalHuishoudens</f>
        <v>4620</v>
      </c>
      <c r="C28" s="36"/>
      <c r="D28" s="228"/>
    </row>
    <row r="29" spans="1:7" s="15" customFormat="1">
      <c r="A29" s="230" t="s">
        <v>839</v>
      </c>
      <c r="B29" s="37">
        <f>SUM(HH_hh_gas_aantal,HH_rest_gas_aantal)</f>
        <v>2604</v>
      </c>
      <c r="C29" s="36"/>
      <c r="D29" s="228"/>
    </row>
    <row r="30" spans="1:7" s="15" customFormat="1">
      <c r="A30" s="231"/>
      <c r="B30" s="29"/>
      <c r="C30" s="36"/>
      <c r="D30" s="232"/>
    </row>
    <row r="31" spans="1:7">
      <c r="A31" s="172" t="s">
        <v>840</v>
      </c>
      <c r="B31" s="168" t="s">
        <v>215</v>
      </c>
      <c r="C31" s="165" t="s">
        <v>216</v>
      </c>
      <c r="D31" s="174"/>
      <c r="G31" s="15"/>
    </row>
    <row r="32" spans="1:7">
      <c r="A32" s="171" t="s">
        <v>70</v>
      </c>
      <c r="B32" s="37">
        <f>B29</f>
        <v>2604</v>
      </c>
      <c r="C32" s="167">
        <f>IF(ISERROR(B32/SUM($B$32,$B$34,$B$35,$B$36,$B$38,$B$39)*100),0,B32/SUM($B$32,$B$34,$B$35,$B$36,$B$38,$B$39)*100)</f>
        <v>56.781508940252948</v>
      </c>
      <c r="D32" s="233"/>
      <c r="G32" s="15"/>
    </row>
    <row r="33" spans="1:7">
      <c r="A33" s="171" t="s">
        <v>71</v>
      </c>
      <c r="B33" s="34" t="s">
        <v>110</v>
      </c>
      <c r="C33" s="167"/>
      <c r="D33" s="233"/>
      <c r="G33" s="15"/>
    </row>
    <row r="34" spans="1:7">
      <c r="A34" s="171" t="s">
        <v>72</v>
      </c>
      <c r="B34" s="33">
        <f>IF((($B$28-$B$32-$B$39-$B$77-$B$38)*C20/100)&lt;0,0,($B$28-$B$32-$B$39-$B$77-$B$38)*C20/100)</f>
        <v>418.49395770392749</v>
      </c>
      <c r="C34" s="167">
        <f>IF(ISERROR(B34/SUM($B$32,$B$34,$B$35,$B$36,$B$38,$B$39)*100),0,B34/SUM($B$32,$B$34,$B$35,$B$36,$B$38,$B$39)*100)</f>
        <v>9.1254678958553743</v>
      </c>
      <c r="D34" s="233"/>
      <c r="G34" s="15"/>
    </row>
    <row r="35" spans="1:7">
      <c r="A35" s="171" t="s">
        <v>73</v>
      </c>
      <c r="B35" s="33">
        <f>IF((($B$28-$B$32-$B$39-$B$77-$B$38)*C21/100)&lt;0,0,($B$28-$B$32-$B$39-$B$77-$B$38)*C21/100)</f>
        <v>596.99848942598192</v>
      </c>
      <c r="C35" s="167">
        <f>IF(ISERROR(B35/SUM($B$32,$B$34,$B$35,$B$36,$B$38,$B$39)*100),0,B35/SUM($B$32,$B$34,$B$35,$B$36,$B$38,$B$39)*100)</f>
        <v>13.017847567073309</v>
      </c>
      <c r="D35" s="233"/>
      <c r="G35" s="15"/>
    </row>
    <row r="36" spans="1:7">
      <c r="A36" s="171" t="s">
        <v>74</v>
      </c>
      <c r="B36" s="33">
        <f>IF((($B$28-$B$32-$B$39-$B$77-$B$38)*C22/100)&lt;0,0,($B$28-$B$32-$B$39-$B$77-$B$38)*C22/100)</f>
        <v>297.50755287009065</v>
      </c>
      <c r="C36" s="167">
        <f>IF(ISERROR(B36/SUM($B$32,$B$34,$B$35,$B$36,$B$38,$B$39)*100),0,B36/SUM($B$32,$B$34,$B$35,$B$36,$B$38,$B$39)*100)</f>
        <v>6.4872994520298874</v>
      </c>
      <c r="D36" s="233"/>
      <c r="G36" s="15"/>
    </row>
    <row r="37" spans="1:7">
      <c r="A37" s="171" t="s">
        <v>75</v>
      </c>
      <c r="B37" s="34" t="s">
        <v>110</v>
      </c>
      <c r="C37" s="167"/>
      <c r="D37" s="173"/>
      <c r="G37" s="15"/>
    </row>
    <row r="38" spans="1:7">
      <c r="A38" s="171" t="s">
        <v>76</v>
      </c>
      <c r="B38" s="33">
        <f>IF((B24-(B29-B18)*0.1)&lt;0,0,B24-(B29-B18)*0.1)</f>
        <v>35.799999999999997</v>
      </c>
      <c r="C38" s="167">
        <f>IF(ISERROR(B38/SUM($B$32,$B$34,$B$35,$B$36,$B$38,$B$39)*100),0,B38/SUM($B$32,$B$34,$B$35,$B$36,$B$38,$B$39)*100)</f>
        <v>0.78063672045355414</v>
      </c>
      <c r="D38" s="234"/>
      <c r="G38" s="15"/>
    </row>
    <row r="39" spans="1:7">
      <c r="A39" s="171" t="s">
        <v>77</v>
      </c>
      <c r="B39" s="33">
        <f>IF((B25-(B29-B18))&lt;0,0,B25-(B29-B18)*0.9)</f>
        <v>633.20000000000005</v>
      </c>
      <c r="C39" s="167">
        <f>IF(ISERROR(B39/SUM($B$32,$B$34,$B$35,$B$36,$B$38,$B$39)*100),0,B39/SUM($B$32,$B$34,$B$35,$B$36,$B$38,$B$39)*100)</f>
        <v>13.807239424334933</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470</v>
      </c>
      <c r="B43" s="169" t="s">
        <v>842</v>
      </c>
      <c r="C43" s="169" t="s">
        <v>841</v>
      </c>
      <c r="D43" s="174"/>
    </row>
    <row r="44" spans="1:7">
      <c r="A44" s="171" t="s">
        <v>70</v>
      </c>
      <c r="B44" s="33">
        <f t="shared" ref="B44:B52" si="0">B32</f>
        <v>2604</v>
      </c>
      <c r="C44" s="34" t="s">
        <v>110</v>
      </c>
      <c r="D44" s="174"/>
    </row>
    <row r="45" spans="1:7">
      <c r="A45" s="171" t="s">
        <v>71</v>
      </c>
      <c r="B45" s="33" t="str">
        <f t="shared" si="0"/>
        <v>-</v>
      </c>
      <c r="C45" s="34" t="s">
        <v>110</v>
      </c>
      <c r="D45" s="174"/>
    </row>
    <row r="46" spans="1:7">
      <c r="A46" s="171" t="s">
        <v>72</v>
      </c>
      <c r="B46" s="33">
        <f t="shared" si="0"/>
        <v>418.49395770392749</v>
      </c>
      <c r="C46" s="34" t="s">
        <v>110</v>
      </c>
      <c r="D46" s="174"/>
    </row>
    <row r="47" spans="1:7">
      <c r="A47" s="171" t="s">
        <v>73</v>
      </c>
      <c r="B47" s="33">
        <f t="shared" si="0"/>
        <v>596.99848942598192</v>
      </c>
      <c r="C47" s="34" t="s">
        <v>110</v>
      </c>
      <c r="D47" s="174"/>
    </row>
    <row r="48" spans="1:7">
      <c r="A48" s="171" t="s">
        <v>74</v>
      </c>
      <c r="B48" s="33">
        <f t="shared" si="0"/>
        <v>297.50755287009065</v>
      </c>
      <c r="C48" s="33">
        <f>B48*10</f>
        <v>2975.0755287009065</v>
      </c>
      <c r="D48" s="234"/>
    </row>
    <row r="49" spans="1:6">
      <c r="A49" s="171" t="s">
        <v>75</v>
      </c>
      <c r="B49" s="33" t="str">
        <f t="shared" si="0"/>
        <v>-</v>
      </c>
      <c r="C49" s="34" t="s">
        <v>110</v>
      </c>
      <c r="D49" s="234"/>
    </row>
    <row r="50" spans="1:6">
      <c r="A50" s="171" t="s">
        <v>76</v>
      </c>
      <c r="B50" s="33">
        <f t="shared" si="0"/>
        <v>35.799999999999997</v>
      </c>
      <c r="C50" s="33">
        <f>B50*2</f>
        <v>71.599999999999994</v>
      </c>
      <c r="D50" s="234"/>
    </row>
    <row r="51" spans="1:6">
      <c r="A51" s="171" t="s">
        <v>77</v>
      </c>
      <c r="B51" s="33">
        <f t="shared" si="0"/>
        <v>633.20000000000005</v>
      </c>
      <c r="C51" s="34" t="s">
        <v>110</v>
      </c>
      <c r="D51" s="174"/>
    </row>
    <row r="52" spans="1:6">
      <c r="A52" s="171" t="s">
        <v>78</v>
      </c>
      <c r="B52" s="33" t="str">
        <f t="shared" si="0"/>
        <v>zie verder</v>
      </c>
      <c r="C52" s="34" t="s">
        <v>110</v>
      </c>
      <c r="D52" s="174"/>
    </row>
    <row r="53" spans="1:6">
      <c r="A53" s="3"/>
      <c r="B53" s="43"/>
      <c r="C53" s="43"/>
      <c r="D53" s="174"/>
    </row>
    <row r="54" spans="1:6">
      <c r="A54" s="172" t="s">
        <v>473</v>
      </c>
      <c r="B54" s="165" t="s">
        <v>843</v>
      </c>
      <c r="C54" s="165" t="s">
        <v>837</v>
      </c>
      <c r="D54" s="301" t="s">
        <v>844</v>
      </c>
      <c r="E54" s="162"/>
      <c r="F54" s="162"/>
    </row>
    <row r="55" spans="1:6">
      <c r="A55" s="171" t="s">
        <v>70</v>
      </c>
      <c r="B55" s="163">
        <v>13.782156638811401</v>
      </c>
      <c r="C55" s="170" t="s">
        <v>110</v>
      </c>
      <c r="D55" s="173"/>
      <c r="E55" s="163"/>
      <c r="F55" s="163"/>
    </row>
    <row r="56" spans="1:6">
      <c r="A56" s="171" t="s">
        <v>71</v>
      </c>
      <c r="B56" s="170" t="s">
        <v>110</v>
      </c>
      <c r="C56" s="170" t="s">
        <v>110</v>
      </c>
      <c r="D56" s="173"/>
      <c r="E56" s="163"/>
      <c r="F56" s="163"/>
    </row>
    <row r="57" spans="1:6">
      <c r="A57" s="171" t="s">
        <v>72</v>
      </c>
      <c r="B57" s="163">
        <v>35.960907769581901</v>
      </c>
      <c r="C57" s="170" t="s">
        <v>110</v>
      </c>
      <c r="D57" s="173"/>
      <c r="E57" s="163"/>
      <c r="F57" s="163"/>
    </row>
    <row r="58" spans="1:6">
      <c r="A58" s="171" t="s">
        <v>73</v>
      </c>
      <c r="B58" s="163">
        <v>8.5751686931796893</v>
      </c>
      <c r="C58" s="170" t="s">
        <v>110</v>
      </c>
      <c r="D58" s="173"/>
      <c r="E58" s="163"/>
      <c r="F58" s="163"/>
    </row>
    <row r="59" spans="1:6">
      <c r="A59" s="171" t="s">
        <v>74</v>
      </c>
      <c r="B59" s="170">
        <v>9.7117069399446194</v>
      </c>
      <c r="C59" s="170">
        <v>5.7691644031899001</v>
      </c>
      <c r="D59" s="173"/>
      <c r="E59" s="163"/>
      <c r="F59" s="163"/>
    </row>
    <row r="60" spans="1:6">
      <c r="A60" s="171" t="s">
        <v>75</v>
      </c>
      <c r="B60" s="170" t="s">
        <v>110</v>
      </c>
      <c r="C60" s="170" t="s">
        <v>110</v>
      </c>
      <c r="D60" s="173"/>
      <c r="E60" s="163"/>
      <c r="F60" s="163"/>
    </row>
    <row r="61" spans="1:6">
      <c r="A61" s="171" t="s">
        <v>76</v>
      </c>
      <c r="B61" s="163">
        <v>9.3821026698666401</v>
      </c>
      <c r="C61" s="170">
        <v>2.33074018754618</v>
      </c>
      <c r="D61" s="173"/>
      <c r="E61" s="163"/>
      <c r="F61" s="163"/>
    </row>
    <row r="62" spans="1:6">
      <c r="A62" s="171" t="s">
        <v>77</v>
      </c>
      <c r="B62" s="170">
        <v>20.740113932705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471</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305</v>
      </c>
      <c r="C69" s="43"/>
      <c r="D69" s="173"/>
    </row>
    <row r="70" spans="1:6">
      <c r="A70" s="171" t="s">
        <v>468</v>
      </c>
      <c r="B70" s="315">
        <v>5.3300370073084435</v>
      </c>
      <c r="C70" s="43"/>
      <c r="D70" s="309" t="s">
        <v>790</v>
      </c>
    </row>
    <row r="71" spans="1:6">
      <c r="A71" s="245" t="s">
        <v>469</v>
      </c>
      <c r="B71" s="320">
        <f>1.34/3.6</f>
        <v>0.37222222222222223</v>
      </c>
      <c r="C71" s="43" t="s">
        <v>217</v>
      </c>
      <c r="D71" s="309" t="s">
        <v>791</v>
      </c>
    </row>
    <row r="72" spans="1:6">
      <c r="A72" s="175"/>
      <c r="B72" s="246"/>
      <c r="C72" s="178"/>
      <c r="D72" s="179"/>
    </row>
    <row r="73" spans="1:6">
      <c r="D73" s="164"/>
    </row>
    <row r="74" spans="1:6">
      <c r="A74" s="194" t="s">
        <v>472</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34</v>
      </c>
      <c r="C77" s="32"/>
      <c r="D77" s="177"/>
    </row>
    <row r="78" spans="1:6">
      <c r="A78" s="171" t="s">
        <v>438</v>
      </c>
      <c r="B78" s="315">
        <v>8.5956185892968069</v>
      </c>
      <c r="C78" s="32" t="s">
        <v>262</v>
      </c>
      <c r="D78" s="309" t="s">
        <v>790</v>
      </c>
    </row>
    <row r="79" spans="1:6">
      <c r="A79" s="171" t="s">
        <v>439</v>
      </c>
      <c r="B79" s="315">
        <v>1671.14092090028</v>
      </c>
      <c r="C79" s="32" t="s">
        <v>264</v>
      </c>
      <c r="D79" s="309" t="s">
        <v>790</v>
      </c>
    </row>
    <row r="80" spans="1:6">
      <c r="A80" s="171" t="s">
        <v>401</v>
      </c>
      <c r="B80" s="315">
        <v>3.75</v>
      </c>
      <c r="C80" s="43"/>
      <c r="D80" s="309" t="s">
        <v>791</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155</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251"/>
      <c r="G4" s="14"/>
      <c r="H4" s="14"/>
      <c r="I4" s="14"/>
      <c r="J4" s="14"/>
      <c r="K4" s="14"/>
      <c r="L4" s="14"/>
      <c r="M4" s="14"/>
      <c r="N4" s="14"/>
      <c r="O4" s="14"/>
      <c r="P4" s="14"/>
      <c r="R4" s="6"/>
    </row>
    <row r="5" spans="1:18">
      <c r="A5" s="16" t="s">
        <v>258</v>
      </c>
      <c r="B5" s="30">
        <f>SUM(B6:B12)</f>
        <v>9393.338738599703</v>
      </c>
      <c r="C5" s="17">
        <f>IF(ISERROR('Eigen informatie GS &amp; warmtenet'!B60),0,'Eigen informatie GS &amp; warmtenet'!B60)</f>
        <v>0</v>
      </c>
      <c r="D5" s="30">
        <f>SUM(D6:D12)</f>
        <v>35214.378773880788</v>
      </c>
      <c r="E5" s="17">
        <f>SUM(E6:E12)</f>
        <v>45.7350449275743</v>
      </c>
      <c r="F5" s="17">
        <f>SUM(F6:F12)</f>
        <v>1978.1221481392477</v>
      </c>
      <c r="G5" s="18"/>
      <c r="H5" s="17"/>
      <c r="I5" s="17"/>
      <c r="J5" s="17">
        <f>SUM(J6:J12)</f>
        <v>2.1452797109736434E-2</v>
      </c>
      <c r="K5" s="17"/>
      <c r="L5" s="17"/>
      <c r="M5" s="17"/>
      <c r="N5" s="17">
        <f>SUM(N6:N12)</f>
        <v>783.472771771368</v>
      </c>
      <c r="O5" s="17">
        <f>B38*B39*B40</f>
        <v>24.486303829205774</v>
      </c>
      <c r="P5" s="17">
        <f>B46*B47*B48/1000-B46*B47*B48/1000/B49</f>
        <v>105.07827661299004</v>
      </c>
      <c r="R5" s="32"/>
    </row>
    <row r="6" spans="1:18">
      <c r="A6" s="32" t="s">
        <v>53</v>
      </c>
      <c r="B6" s="37">
        <f>B26</f>
        <v>1644.76466850068</v>
      </c>
      <c r="C6" s="33"/>
      <c r="D6" s="37">
        <f>IF(ISERROR(TER_kantoor_gas_kWh/1000),0,TER_kantoor_gas_kWh/1000)*0.903</f>
        <v>1631.1486483947133</v>
      </c>
      <c r="E6" s="33">
        <f>$C$26*'E Balans VL '!I12/100/3.6*1000000</f>
        <v>0.39404651914318811</v>
      </c>
      <c r="F6" s="33">
        <f>$C$26*('E Balans VL '!L12+'E Balans VL '!N12)/100/3.6*1000000</f>
        <v>155.97110168620901</v>
      </c>
      <c r="G6" s="34"/>
      <c r="H6" s="33"/>
      <c r="I6" s="33"/>
      <c r="J6" s="33">
        <f>$C$26*('E Balans VL '!D12+'E Balans VL '!E12)/100/3.6*1000000</f>
        <v>0</v>
      </c>
      <c r="K6" s="33"/>
      <c r="L6" s="33"/>
      <c r="M6" s="33"/>
      <c r="N6" s="33">
        <f>$C$26*'E Balans VL '!Y12/100/3.6*1000000</f>
        <v>0.83545537829092742</v>
      </c>
      <c r="O6" s="33"/>
      <c r="P6" s="33"/>
      <c r="R6" s="32"/>
    </row>
    <row r="7" spans="1:18">
      <c r="A7" s="32" t="s">
        <v>52</v>
      </c>
      <c r="B7" s="37">
        <f t="shared" ref="B7:B12" si="0">B27</f>
        <v>694.15158588065901</v>
      </c>
      <c r="C7" s="33"/>
      <c r="D7" s="37">
        <f>IF(ISERROR(TER_horeca_gas_kWh/1000),0,TER_horeca_gas_kWh/1000)*0.903</f>
        <v>1007.2924496891278</v>
      </c>
      <c r="E7" s="33">
        <f>$C$27*'E Balans VL '!I9/100/3.6*1000000</f>
        <v>0</v>
      </c>
      <c r="F7" s="33">
        <f>$C$27*('E Balans VL '!L9+'E Balans VL '!N9)/100/3.6*1000000</f>
        <v>56.918798307509661</v>
      </c>
      <c r="G7" s="34"/>
      <c r="H7" s="33"/>
      <c r="I7" s="33"/>
      <c r="J7" s="33">
        <f>$C$27*('E Balans VL '!D9+'E Balans VL '!E9)/100/3.6*1000000</f>
        <v>0</v>
      </c>
      <c r="K7" s="33"/>
      <c r="L7" s="33"/>
      <c r="M7" s="33"/>
      <c r="N7" s="33">
        <f>$C$27*'E Balans VL '!Y9/100/3.6*1000000</f>
        <v>0.21278535003794216</v>
      </c>
      <c r="O7" s="33"/>
      <c r="P7" s="33"/>
      <c r="R7" s="32"/>
    </row>
    <row r="8" spans="1:18">
      <c r="A8" s="6" t="s">
        <v>51</v>
      </c>
      <c r="B8" s="37">
        <f t="shared" si="0"/>
        <v>4048.8559210631402</v>
      </c>
      <c r="C8" s="33"/>
      <c r="D8" s="37">
        <f>IF(ISERROR(TER_handel_gas_kWh/1000),0,TER_handel_gas_kWh/1000)*0.903</f>
        <v>27031.817958057101</v>
      </c>
      <c r="E8" s="33">
        <f>$C$28*'E Balans VL '!I13/100/3.6*1000000</f>
        <v>14.229515647772333</v>
      </c>
      <c r="F8" s="33">
        <f>$C$28*('E Balans VL '!L13+'E Balans VL '!N13)/100/3.6*1000000</f>
        <v>370.46304571062529</v>
      </c>
      <c r="G8" s="34"/>
      <c r="H8" s="33"/>
      <c r="I8" s="33"/>
      <c r="J8" s="33">
        <f>$C$28*('E Balans VL '!D13+'E Balans VL '!E13)/100/3.6*1000000</f>
        <v>0</v>
      </c>
      <c r="K8" s="33"/>
      <c r="L8" s="33"/>
      <c r="M8" s="33"/>
      <c r="N8" s="33">
        <f>$C$28*'E Balans VL '!Y13/100/3.6*1000000</f>
        <v>1.4663213048381876</v>
      </c>
      <c r="O8" s="33"/>
      <c r="P8" s="33"/>
      <c r="R8" s="32"/>
    </row>
    <row r="9" spans="1:18">
      <c r="A9" s="32" t="s">
        <v>50</v>
      </c>
      <c r="B9" s="37">
        <f t="shared" si="0"/>
        <v>728.08007447686202</v>
      </c>
      <c r="C9" s="33"/>
      <c r="D9" s="37">
        <f>IF(ISERROR(TER_gezond_gas_kWh/1000),0,TER_gezond_gas_kWh/1000)*0.903</f>
        <v>1749.1204404666778</v>
      </c>
      <c r="E9" s="33">
        <f>$C$29*'E Balans VL '!I10/100/3.6*1000000</f>
        <v>0</v>
      </c>
      <c r="F9" s="33">
        <f>$C$29*('E Balans VL '!L10+'E Balans VL '!N10)/100/3.6*1000000</f>
        <v>89.249247434112135</v>
      </c>
      <c r="G9" s="34"/>
      <c r="H9" s="33"/>
      <c r="I9" s="33"/>
      <c r="J9" s="33">
        <f>$C$29*('E Balans VL '!D10+'E Balans VL '!E10)/100/3.6*1000000</f>
        <v>0</v>
      </c>
      <c r="K9" s="33"/>
      <c r="L9" s="33"/>
      <c r="M9" s="33"/>
      <c r="N9" s="33">
        <f>$C$29*'E Balans VL '!Y10/100/3.6*1000000</f>
        <v>5.3690831831464534</v>
      </c>
      <c r="O9" s="33"/>
      <c r="P9" s="33"/>
      <c r="R9" s="32"/>
    </row>
    <row r="10" spans="1:18">
      <c r="A10" s="32" t="s">
        <v>49</v>
      </c>
      <c r="B10" s="37">
        <f t="shared" si="0"/>
        <v>2172.2547471569701</v>
      </c>
      <c r="C10" s="33"/>
      <c r="D10" s="37">
        <f>IF(ISERROR(TER_ander_gas_kWh/1000),0,TER_ander_gas_kWh/1000)*0.903</f>
        <v>3246.2930808022224</v>
      </c>
      <c r="E10" s="33">
        <f>$C$30*'E Balans VL '!I14/100/3.6*1000000</f>
        <v>31.111482760658781</v>
      </c>
      <c r="F10" s="33">
        <f>$C$30*('E Balans VL '!L14+'E Balans VL '!N14)/100/3.6*1000000</f>
        <v>1293.2171112739245</v>
      </c>
      <c r="G10" s="34"/>
      <c r="H10" s="33"/>
      <c r="I10" s="33"/>
      <c r="J10" s="33">
        <f>$C$30*('E Balans VL '!D14+'E Balans VL '!E14)/100/3.6*1000000</f>
        <v>2.1452797109736434E-2</v>
      </c>
      <c r="K10" s="33"/>
      <c r="L10" s="33"/>
      <c r="M10" s="33"/>
      <c r="N10" s="33">
        <f>$C$30*'E Balans VL '!Y14/100/3.6*1000000</f>
        <v>775.29280605481915</v>
      </c>
      <c r="O10" s="33"/>
      <c r="P10" s="33"/>
      <c r="R10" s="32"/>
    </row>
    <row r="11" spans="1:18">
      <c r="A11" s="32" t="s">
        <v>54</v>
      </c>
      <c r="B11" s="37">
        <f t="shared" si="0"/>
        <v>105.231741521391</v>
      </c>
      <c r="C11" s="33"/>
      <c r="D11" s="37">
        <f>IF(ISERROR(TER_onderwijs_gas_kWh/1000),0,TER_onderwijs_gas_kWh/1000)*0.903</f>
        <v>548.70619647094247</v>
      </c>
      <c r="E11" s="33">
        <f>$C$31*'E Balans VL '!I11/100/3.6*1000000</f>
        <v>0</v>
      </c>
      <c r="F11" s="33">
        <f>$C$31*('E Balans VL '!L11+'E Balans VL '!N11)/100/3.6*1000000</f>
        <v>12.302843726867083</v>
      </c>
      <c r="G11" s="34"/>
      <c r="H11" s="33"/>
      <c r="I11" s="33"/>
      <c r="J11" s="33">
        <f>$C$31*('E Balans VL '!D11+'E Balans VL '!E11)/100/3.6*1000000</f>
        <v>0</v>
      </c>
      <c r="K11" s="33"/>
      <c r="L11" s="33"/>
      <c r="M11" s="33"/>
      <c r="N11" s="33">
        <f>$C$31*'E Balans VL '!Y11/100/3.6*1000000</f>
        <v>0.29632050023526063</v>
      </c>
      <c r="O11" s="33"/>
      <c r="P11" s="33"/>
      <c r="R11" s="32"/>
    </row>
    <row r="12" spans="1:18">
      <c r="A12" s="32" t="s">
        <v>259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479</v>
      </c>
      <c r="B13" s="247">
        <f ca="1">'lokale energieproductie'!N43+'lokale energieproductie'!N36</f>
        <v>0</v>
      </c>
      <c r="C13" s="247">
        <f ca="1">'lokale energieproductie'!O43+'lokale energieproductie'!O36</f>
        <v>0</v>
      </c>
      <c r="D13" s="310">
        <f ca="1">('lokale energieproductie'!P36+'lokale energieproductie'!P43)*(-1)</f>
        <v>0</v>
      </c>
      <c r="E13" s="248"/>
      <c r="F13" s="310">
        <f ca="1">('lokale energieproductie'!S36+'lokale energieproductie'!S43)*(-1)</f>
        <v>0</v>
      </c>
      <c r="G13" s="249"/>
      <c r="H13" s="248"/>
      <c r="I13" s="248"/>
      <c r="J13" s="248"/>
      <c r="K13" s="248"/>
      <c r="L13" s="310">
        <f ca="1">('lokale energieproductie'!U36+'lokale energieproductie'!T36+'lokale energieproductie'!U43+'lokale energieproductie'!T43)*(-1)</f>
        <v>0</v>
      </c>
      <c r="M13" s="248"/>
      <c r="N13" s="310">
        <f ca="1">('lokale energieproductie'!Q36+'lokale energieproductie'!R36+'lokale energieproductie'!V36+'lokale energieproductie'!Q43+'lokale energieproductie'!R43+'lokale energieproductie'!V43)*(-1)</f>
        <v>0</v>
      </c>
      <c r="O13" s="248"/>
      <c r="P13" s="248"/>
      <c r="R13" s="32"/>
    </row>
    <row r="14" spans="1:18">
      <c r="A14" s="16" t="s">
        <v>493</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9393.338738599703</v>
      </c>
      <c r="C16" s="21">
        <f t="shared" ca="1" si="1"/>
        <v>0</v>
      </c>
      <c r="D16" s="21">
        <f t="shared" ca="1" si="1"/>
        <v>35214.378773880788</v>
      </c>
      <c r="E16" s="21">
        <f t="shared" si="1"/>
        <v>45.7350449275743</v>
      </c>
      <c r="F16" s="21">
        <f t="shared" ca="1" si="1"/>
        <v>1978.1221481392477</v>
      </c>
      <c r="G16" s="21">
        <f t="shared" si="1"/>
        <v>0</v>
      </c>
      <c r="H16" s="21">
        <f t="shared" si="1"/>
        <v>0</v>
      </c>
      <c r="I16" s="21">
        <f t="shared" si="1"/>
        <v>0</v>
      </c>
      <c r="J16" s="21">
        <f t="shared" si="1"/>
        <v>2.1452797109736434E-2</v>
      </c>
      <c r="K16" s="21">
        <f t="shared" si="1"/>
        <v>0</v>
      </c>
      <c r="L16" s="21">
        <f t="shared" ca="1" si="1"/>
        <v>0</v>
      </c>
      <c r="M16" s="21">
        <f t="shared" si="1"/>
        <v>0</v>
      </c>
      <c r="N16" s="21">
        <f t="shared" ca="1" si="1"/>
        <v>783.472771771368</v>
      </c>
      <c r="O16" s="21">
        <f>O5</f>
        <v>24.486303829205774</v>
      </c>
      <c r="P16" s="21">
        <f>P5</f>
        <v>105.07827661299004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0.21280384155040658</v>
      </c>
      <c r="C18" s="25">
        <f ca="1">'EF ele_warmte'!B22</f>
        <v>0.23148073745771164</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1998.9385685582672</v>
      </c>
      <c r="C20" s="23">
        <f t="shared" ref="C20:P20" ca="1" si="2">C16*C18</f>
        <v>0</v>
      </c>
      <c r="D20" s="23">
        <f t="shared" ca="1" si="2"/>
        <v>7113.3045123239199</v>
      </c>
      <c r="E20" s="23">
        <f t="shared" si="2"/>
        <v>10.381855198559366</v>
      </c>
      <c r="F20" s="23">
        <f t="shared" ca="1" si="2"/>
        <v>528.15861355317918</v>
      </c>
      <c r="G20" s="23">
        <f t="shared" si="2"/>
        <v>0</v>
      </c>
      <c r="H20" s="23">
        <f t="shared" si="2"/>
        <v>0</v>
      </c>
      <c r="I20" s="23">
        <f t="shared" si="2"/>
        <v>0</v>
      </c>
      <c r="J20" s="23">
        <f t="shared" si="2"/>
        <v>7.5942901768466971E-3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478</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1644.76466850068</v>
      </c>
      <c r="C26" s="39">
        <f>IF(ISERROR(B26*3.6/1000000/'E Balans VL '!Z12*100),0,B26*3.6/1000000/'E Balans VL '!Z12*100)</f>
        <v>4.6386719209084014E-2</v>
      </c>
      <c r="D26" s="237" t="s">
        <v>702</v>
      </c>
      <c r="F26" s="6"/>
    </row>
    <row r="27" spans="1:18">
      <c r="A27" s="231" t="s">
        <v>52</v>
      </c>
      <c r="B27" s="33">
        <f>IF(ISERROR(TER_horeca_ele_kWh/1000),0,TER_horeca_ele_kWh/1000)</f>
        <v>694.15158588065901</v>
      </c>
      <c r="C27" s="39">
        <f>IF(ISERROR(B27*3.6/1000000/'E Balans VL '!Z9*100),0,B27*3.6/1000000/'E Balans VL '!Z9*100)</f>
        <v>5.1462812664869406E-2</v>
      </c>
      <c r="D27" s="237" t="s">
        <v>702</v>
      </c>
      <c r="F27" s="6"/>
    </row>
    <row r="28" spans="1:18">
      <c r="A28" s="171" t="s">
        <v>51</v>
      </c>
      <c r="B28" s="33">
        <f>IF(ISERROR(TER_handel_ele_kWh/1000),0,TER_handel_ele_kWh/1000)</f>
        <v>4048.8559210631402</v>
      </c>
      <c r="C28" s="39">
        <f>IF(ISERROR(B28*3.6/1000000/'E Balans VL '!Z13*100),0,B28*3.6/1000000/'E Balans VL '!Z13*100)</f>
        <v>0.12129409688068572</v>
      </c>
      <c r="D28" s="237" t="s">
        <v>702</v>
      </c>
      <c r="F28" s="6"/>
    </row>
    <row r="29" spans="1:18">
      <c r="A29" s="231" t="s">
        <v>50</v>
      </c>
      <c r="B29" s="33">
        <f>IF(ISERROR(TER_gezond_ele_kWh/1000),0,TER_gezond_ele_kWh/1000)</f>
        <v>728.08007447686202</v>
      </c>
      <c r="C29" s="39">
        <f>IF(ISERROR(B29*3.6/1000000/'E Balans VL '!Z10*100),0,B29*3.6/1000000/'E Balans VL '!Z10*100)</f>
        <v>7.1992843133882614E-2</v>
      </c>
      <c r="D29" s="237" t="s">
        <v>702</v>
      </c>
      <c r="F29" s="6"/>
    </row>
    <row r="30" spans="1:18">
      <c r="A30" s="231" t="s">
        <v>49</v>
      </c>
      <c r="B30" s="33">
        <f>IF(ISERROR(TER_ander_ele_kWh/1000),0,TER_ander_ele_kWh/1000)</f>
        <v>2172.2547471569701</v>
      </c>
      <c r="C30" s="39">
        <f>IF(ISERROR(B30*3.6/1000000/'E Balans VL '!Z14*100),0,B30*3.6/1000000/'E Balans VL '!Z14*100)</f>
        <v>8.7861285091070704E-2</v>
      </c>
      <c r="D30" s="237" t="s">
        <v>702</v>
      </c>
      <c r="F30" s="6"/>
    </row>
    <row r="31" spans="1:18">
      <c r="A31" s="231" t="s">
        <v>54</v>
      </c>
      <c r="B31" s="33">
        <f>IF(ISERROR(TER_onderwijs_ele_kWh/1000),0,TER_onderwijs_ele_kWh/1000)</f>
        <v>105.231741521391</v>
      </c>
      <c r="C31" s="39">
        <f>IF(ISERROR(B31*3.6/1000000/'E Balans VL '!Z11*100),0,B31*3.6/1000000/'E Balans VL '!Z11*100)</f>
        <v>2.8911761667841242E-2</v>
      </c>
      <c r="D31" s="237" t="s">
        <v>702</v>
      </c>
    </row>
    <row r="32" spans="1:18">
      <c r="A32" s="231" t="s">
        <v>259</v>
      </c>
      <c r="B32" s="33">
        <f>IF(ISERROR(TER_rest_ele_kWh/1000),0,TER_rest_ele_kWh/1000)</f>
        <v>0</v>
      </c>
      <c r="C32" s="39">
        <f>IF(ISERROR(B32*3.6/1000000/'E Balans VL '!Z8*100),0,B32*3.6/1000000/'E Balans VL '!Z8*100)</f>
        <v>0</v>
      </c>
      <c r="D32" s="237" t="s">
        <v>702</v>
      </c>
    </row>
    <row r="33" spans="1:4">
      <c r="A33" s="240"/>
      <c r="B33" s="180"/>
      <c r="C33" s="180"/>
      <c r="D33" s="241"/>
    </row>
    <row r="34" spans="1:4">
      <c r="A34" s="32"/>
      <c r="B34" s="32"/>
      <c r="C34" s="32"/>
    </row>
    <row r="35" spans="1:4">
      <c r="A35" s="193" t="s">
        <v>471</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aantalZB_NB_ander+aantalZB_NB_ander_met_kantoor+aantalZB_NB_kantoor+aantalZB_NB_school+ZB_NHH_bestaande_bouw+aantalZB_NB_NIET_RESIDENTIEEL_EPN</f>
        <v>5</v>
      </c>
      <c r="C38" s="43"/>
      <c r="D38" s="232"/>
    </row>
    <row r="39" spans="1:4">
      <c r="A39" s="171" t="s">
        <v>468</v>
      </c>
      <c r="B39" s="315">
        <v>13.15681996793146</v>
      </c>
      <c r="C39" s="43"/>
      <c r="D39" s="309" t="s">
        <v>790</v>
      </c>
    </row>
    <row r="40" spans="1:4">
      <c r="A40" s="6" t="s">
        <v>469</v>
      </c>
      <c r="B40" s="320">
        <f>1.34/3.6</f>
        <v>0.37222222222222223</v>
      </c>
      <c r="C40" s="43" t="s">
        <v>217</v>
      </c>
      <c r="D40" s="309" t="s">
        <v>791</v>
      </c>
    </row>
    <row r="41" spans="1:4">
      <c r="A41" s="240"/>
      <c r="B41" s="180"/>
      <c r="C41" s="180"/>
      <c r="D41" s="241"/>
    </row>
    <row r="43" spans="1:4">
      <c r="A43" s="194" t="s">
        <v>472</v>
      </c>
      <c r="B43" s="203"/>
      <c r="C43" s="203"/>
      <c r="D43" s="225"/>
    </row>
    <row r="44" spans="1:4">
      <c r="A44" s="230"/>
      <c r="B44" s="32"/>
      <c r="C44" s="32"/>
      <c r="D44" s="232"/>
    </row>
    <row r="45" spans="1:4">
      <c r="A45" s="242"/>
      <c r="B45" s="243"/>
      <c r="C45" s="224" t="s">
        <v>376</v>
      </c>
      <c r="D45" s="244" t="s">
        <v>181</v>
      </c>
    </row>
    <row r="46" spans="1:4">
      <c r="A46" s="171" t="s">
        <v>265</v>
      </c>
      <c r="B46" s="535">
        <f>aantalWP_NB_ander+antalWP_NB_ander_met_kantoor+aantalWP_NB_kantoor+aantalWP_NB_school+WP_NHH_bestaande_bouw+aantalWP_NB_NIET_RESIDENTIEEL_EPN</f>
        <v>2</v>
      </c>
      <c r="C46" s="32"/>
      <c r="D46" s="232"/>
    </row>
    <row r="47" spans="1:4">
      <c r="A47" s="171" t="s">
        <v>438</v>
      </c>
      <c r="B47" s="536">
        <v>37.963784638354454</v>
      </c>
      <c r="C47" s="32" t="s">
        <v>262</v>
      </c>
      <c r="D47" s="309" t="s">
        <v>790</v>
      </c>
    </row>
    <row r="48" spans="1:4">
      <c r="A48" s="171" t="s">
        <v>439</v>
      </c>
      <c r="B48" s="536">
        <v>1887.1743212997605</v>
      </c>
      <c r="C48" s="32" t="s">
        <v>264</v>
      </c>
      <c r="D48" s="309" t="s">
        <v>790</v>
      </c>
    </row>
    <row r="49" spans="1:4">
      <c r="A49" s="171" t="s">
        <v>401</v>
      </c>
      <c r="B49" s="536">
        <v>3.75</v>
      </c>
      <c r="C49" s="32"/>
      <c r="D49" s="309" t="s">
        <v>791</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8" zoomScale="80" zoomScaleNormal="80" workbookViewId="0">
      <selection activeCell="B53" sqref="B5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162</v>
      </c>
      <c r="B1" s="1215" t="s">
        <v>194</v>
      </c>
      <c r="C1" s="1216"/>
      <c r="D1" s="1216"/>
      <c r="E1" s="1216"/>
      <c r="F1" s="1216"/>
      <c r="G1" s="1216"/>
      <c r="H1" s="1216"/>
      <c r="I1" s="1216"/>
      <c r="J1" s="1216"/>
      <c r="K1" s="1216"/>
      <c r="L1" s="1216"/>
      <c r="M1" s="1216"/>
      <c r="N1" s="1216"/>
      <c r="O1" s="1216"/>
      <c r="P1" s="1216"/>
      <c r="R1" s="771"/>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c r="R2" s="77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c r="R3" s="771"/>
    </row>
    <row r="4" spans="1:18" ht="15.75">
      <c r="A4" s="13"/>
      <c r="B4" s="14"/>
      <c r="C4" s="14"/>
      <c r="D4" s="14"/>
      <c r="E4" s="14"/>
      <c r="F4" s="14"/>
      <c r="G4" s="14"/>
      <c r="H4" s="14"/>
      <c r="I4" s="14"/>
      <c r="J4" s="14"/>
      <c r="K4" s="14"/>
      <c r="L4" s="14"/>
      <c r="M4" s="14"/>
      <c r="N4" s="14"/>
      <c r="O4" s="14"/>
      <c r="P4" s="14"/>
      <c r="R4" s="6"/>
    </row>
    <row r="5" spans="1:18">
      <c r="A5" s="16" t="s">
        <v>268</v>
      </c>
      <c r="B5" s="30">
        <f>SUM(B6:B15)</f>
        <v>160839.97269378952</v>
      </c>
      <c r="C5" s="17">
        <f>IF(ISERROR('Eigen informatie GS &amp; warmtenet'!B61),0,'Eigen informatie GS &amp; warmtenet'!B61)</f>
        <v>0</v>
      </c>
      <c r="D5" s="30">
        <f>SUM(D6:D15)</f>
        <v>82407.115559332335</v>
      </c>
      <c r="E5" s="17">
        <f>SUM(E6:E15)</f>
        <v>284.1008109029612</v>
      </c>
      <c r="F5" s="17">
        <f>SUM(F6:F15)</f>
        <v>4700.2198581289067</v>
      </c>
      <c r="G5" s="18"/>
      <c r="H5" s="17"/>
      <c r="I5" s="17"/>
      <c r="J5" s="17">
        <f>SUM(J6:J15)</f>
        <v>4.7812365066007372</v>
      </c>
      <c r="K5" s="17"/>
      <c r="L5" s="17"/>
      <c r="M5" s="17"/>
      <c r="N5" s="17">
        <f>SUM(N6:N15)</f>
        <v>5022.0908455923181</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4743.8343958437899</v>
      </c>
      <c r="C8" s="33"/>
      <c r="D8" s="37">
        <f>IF( ISERROR(IND_metaal_Gas_kWH/1000),0,IND_metaal_Gas_kWH/1000)*0.903</f>
        <v>7499.4364624433729</v>
      </c>
      <c r="E8" s="33">
        <f>C30*'E Balans VL '!I18/100/3.6*1000000</f>
        <v>23.919240724871521</v>
      </c>
      <c r="F8" s="33">
        <f>C30*'E Balans VL '!L18/100/3.6*1000000+C30*'E Balans VL '!N18/100/3.6*1000000</f>
        <v>324.10845971731698</v>
      </c>
      <c r="G8" s="34"/>
      <c r="H8" s="33"/>
      <c r="I8" s="33"/>
      <c r="J8" s="40">
        <f>C30*'E Balans VL '!D18/100/3.6*1000000+C30*'E Balans VL '!E18/100/3.6*1000000</f>
        <v>4.2058138462024361</v>
      </c>
      <c r="K8" s="33"/>
      <c r="L8" s="33"/>
      <c r="M8" s="33"/>
      <c r="N8" s="33">
        <f>C30*'E Balans VL '!Y18/100/3.6*1000000</f>
        <v>63.045587273178661</v>
      </c>
      <c r="O8" s="33"/>
      <c r="P8" s="33"/>
      <c r="R8" s="32"/>
    </row>
    <row r="9" spans="1:18">
      <c r="A9" s="6" t="s">
        <v>32</v>
      </c>
      <c r="B9" s="37">
        <f t="shared" si="0"/>
        <v>3056.46789063079</v>
      </c>
      <c r="C9" s="33"/>
      <c r="D9" s="37">
        <f>IF( ISERROR(IND_andere_gas_kWh/1000),0,IND_andere_gas_kWh/1000)*0.903</f>
        <v>2335.444028283448</v>
      </c>
      <c r="E9" s="33">
        <f>C31*'E Balans VL '!I19/100/3.6*1000000</f>
        <v>9.6347091669927423</v>
      </c>
      <c r="F9" s="33">
        <f>C31*'E Balans VL '!L19/100/3.6*1000000+C31*'E Balans VL '!N19/100/3.6*1000000</f>
        <v>1871.0410915432371</v>
      </c>
      <c r="G9" s="34"/>
      <c r="H9" s="33"/>
      <c r="I9" s="33"/>
      <c r="J9" s="40">
        <f>C31*'E Balans VL '!D19/100/3.6*1000000+C31*'E Balans VL '!E19/100/3.6*1000000</f>
        <v>0</v>
      </c>
      <c r="K9" s="33"/>
      <c r="L9" s="33"/>
      <c r="M9" s="33"/>
      <c r="N9" s="33">
        <f>C31*'E Balans VL '!Y19/100/3.6*1000000</f>
        <v>128.1618487900196</v>
      </c>
      <c r="O9" s="33"/>
      <c r="P9" s="33"/>
      <c r="R9" s="32"/>
    </row>
    <row r="10" spans="1:18">
      <c r="A10" s="6" t="s">
        <v>40</v>
      </c>
      <c r="B10" s="37">
        <f t="shared" si="0"/>
        <v>152683.917329216</v>
      </c>
      <c r="C10" s="33"/>
      <c r="D10" s="37">
        <f>IF( ISERROR(IND_voed_gas_kWh/1000),0,IND_voed_gas_kWh/1000)*0.903</f>
        <v>72302.414661849354</v>
      </c>
      <c r="E10" s="33">
        <f>C32*'E Balans VL '!I20/100/3.6*1000000</f>
        <v>243.33528398196523</v>
      </c>
      <c r="F10" s="33">
        <f>C32*'E Balans VL '!L20/100/3.6*1000000+C32*'E Balans VL '!N20/100/3.6*1000000</f>
        <v>2480.7427453202458</v>
      </c>
      <c r="G10" s="34"/>
      <c r="H10" s="33"/>
      <c r="I10" s="33"/>
      <c r="J10" s="40">
        <f>C32*'E Balans VL '!D20/100/3.6*1000000+C32*'E Balans VL '!E20/100/3.6*1000000</f>
        <v>0</v>
      </c>
      <c r="K10" s="33"/>
      <c r="L10" s="33"/>
      <c r="M10" s="33"/>
      <c r="N10" s="33">
        <f>C32*'E Balans VL '!Y20/100/3.6*1000000</f>
        <v>4822.5206695261959</v>
      </c>
      <c r="O10" s="33"/>
      <c r="P10" s="33"/>
      <c r="R10" s="32"/>
    </row>
    <row r="11" spans="1:18">
      <c r="A11" s="6" t="s">
        <v>39</v>
      </c>
      <c r="B11" s="37">
        <f t="shared" si="0"/>
        <v>73.898598987937007</v>
      </c>
      <c r="C11" s="33"/>
      <c r="D11" s="37">
        <f>IF( ISERROR(IND_textiel_gas_kWh/1000),0,IND_textiel_gas_kWh/1000)*0.903</f>
        <v>245.53753882128345</v>
      </c>
      <c r="E11" s="33">
        <f>C33*'E Balans VL '!I21/100/3.6*1000000</f>
        <v>0.10721336374076577</v>
      </c>
      <c r="F11" s="33">
        <f>C33*'E Balans VL '!L21/100/3.6*1000000+C33*'E Balans VL '!N21/100/3.6*1000000</f>
        <v>1.4462430633120014</v>
      </c>
      <c r="G11" s="34"/>
      <c r="H11" s="33"/>
      <c r="I11" s="33"/>
      <c r="J11" s="40">
        <f>C33*'E Balans VL '!D21/100/3.6*1000000+C33*'E Balans VL '!E21/100/3.6*1000000</f>
        <v>0</v>
      </c>
      <c r="K11" s="33"/>
      <c r="L11" s="33"/>
      <c r="M11" s="33"/>
      <c r="N11" s="33">
        <f>C33*'E Balans VL '!Y21/100/3.6*1000000</f>
        <v>3.6001720266403994</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ISERROR(IND_papier_gas_kWh/1000),0,IND_papier_gas_kWh/1000)*0.903</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281.85447911100005</v>
      </c>
      <c r="C15" s="33"/>
      <c r="D15" s="37">
        <f>IF( ISERROR(IND_rest_gas_kWh/1000),0,IND_rest_gas_kWh/1000)*0.903</f>
        <v>24.282867934874321</v>
      </c>
      <c r="E15" s="33">
        <f>C37*'E Balans VL '!I15/100/3.6*1000000</f>
        <v>7.1043636653909781</v>
      </c>
      <c r="F15" s="33">
        <f>C37*'E Balans VL '!L15/100/3.6*1000000+C37*'E Balans VL '!N15/100/3.6*1000000</f>
        <v>22.881318484794619</v>
      </c>
      <c r="G15" s="34"/>
      <c r="H15" s="33"/>
      <c r="I15" s="33"/>
      <c r="J15" s="40">
        <f>C37*'E Balans VL '!D15/100/3.6*1000000+C37*'E Balans VL '!E15/100/3.6*1000000</f>
        <v>0.57542266039830137</v>
      </c>
      <c r="K15" s="33"/>
      <c r="L15" s="33"/>
      <c r="M15" s="33"/>
      <c r="N15" s="33">
        <f>C37*'E Balans VL '!Y15/100/3.6*1000000</f>
        <v>4.7625679762836368</v>
      </c>
      <c r="O15" s="33"/>
      <c r="P15" s="33"/>
      <c r="R15" s="32"/>
    </row>
    <row r="16" spans="1:18">
      <c r="A16" s="16" t="s">
        <v>479</v>
      </c>
      <c r="B16" s="247">
        <f>'lokale energieproductie'!N42+'lokale energieproductie'!N35</f>
        <v>5805</v>
      </c>
      <c r="C16" s="247">
        <f>'lokale energieproductie'!O42+'lokale energieproductie'!O35</f>
        <v>8292.8571428571431</v>
      </c>
      <c r="D16" s="310">
        <f>('lokale energieproductie'!P35+'lokale energieproductie'!P42)*(-1)</f>
        <v>-12844.285714285716</v>
      </c>
      <c r="E16" s="248"/>
      <c r="F16" s="310">
        <f>('lokale energieproductie'!S35+'lokale energieproductie'!S42)*(-1)</f>
        <v>0</v>
      </c>
      <c r="G16" s="249"/>
      <c r="H16" s="248"/>
      <c r="I16" s="248"/>
      <c r="J16" s="248"/>
      <c r="K16" s="248"/>
      <c r="L16" s="310">
        <f>('lokale energieproductie'!T35+'lokale energieproductie'!U35+'lokale energieproductie'!T42+'lokale energieproductie'!U42)*(-1)</f>
        <v>0</v>
      </c>
      <c r="M16" s="248"/>
      <c r="N16" s="310">
        <f>('lokale energieproductie'!Q35+'lokale energieproductie'!R35+'lokale energieproductie'!V35+'lokale energieproductie'!Q42+'lokale energieproductie'!R42+'lokale energieproductie'!V42)*(-1)</f>
        <v>-3741.4285714285716</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166644.97269378952</v>
      </c>
      <c r="C18" s="21">
        <f>C5+C16</f>
        <v>8292.8571428571431</v>
      </c>
      <c r="D18" s="21">
        <f>MAX((D5+D16),0)</f>
        <v>69562.829845046625</v>
      </c>
      <c r="E18" s="21">
        <f>MAX((E5+E16),0)</f>
        <v>284.1008109029612</v>
      </c>
      <c r="F18" s="21">
        <f>MAX((F5+F16),0)</f>
        <v>4700.2198581289067</v>
      </c>
      <c r="G18" s="21"/>
      <c r="H18" s="21"/>
      <c r="I18" s="21"/>
      <c r="J18" s="21">
        <f>MAX((J5+J16),0)</f>
        <v>4.7812365066007372</v>
      </c>
      <c r="K18" s="21"/>
      <c r="L18" s="21">
        <f>MAX((L5+L16),0)</f>
        <v>0</v>
      </c>
      <c r="M18" s="21"/>
      <c r="N18" s="21">
        <f>MAX((N5+N16),0)</f>
        <v>1280.6622741637466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0.21280384155040658</v>
      </c>
      <c r="C20" s="25">
        <f ca="1">'EF ele_warmte'!B22</f>
        <v>0.23148073745771164</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35462.690364301016</v>
      </c>
      <c r="C22" s="23">
        <f ca="1">C18*C20</f>
        <v>1919.636687060023</v>
      </c>
      <c r="D22" s="23">
        <f>D18*D20</f>
        <v>14051.691628699418</v>
      </c>
      <c r="E22" s="23">
        <f>E18*E20</f>
        <v>64.4908840749722</v>
      </c>
      <c r="F22" s="23">
        <f>F18*F20</f>
        <v>1254.9587021204181</v>
      </c>
      <c r="G22" s="23"/>
      <c r="H22" s="23"/>
      <c r="I22" s="23"/>
      <c r="J22" s="23">
        <f>J18*J20</f>
        <v>1.6925577233366609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478</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702</v>
      </c>
    </row>
    <row r="29" spans="1:18">
      <c r="A29" s="171" t="s">
        <v>37</v>
      </c>
      <c r="B29" s="37">
        <f>IF( ISERROR(IND_nonf_ele_kWh/1000),0,IND_nonf_ele_kWh/1000)</f>
        <v>0</v>
      </c>
      <c r="C29" s="39">
        <f>IF(ISERROR(B29*3.6/1000000/'E Balans VL '!Z17*100),0,B29*3.6/1000000/'E Balans VL '!Z17*100)</f>
        <v>0</v>
      </c>
      <c r="D29" s="237" t="s">
        <v>702</v>
      </c>
    </row>
    <row r="30" spans="1:18">
      <c r="A30" s="171" t="s">
        <v>35</v>
      </c>
      <c r="B30" s="37">
        <f>IF( ISERROR(IND_metaal_ele_kWh/1000),0,IND_metaal_ele_kWh/1000)</f>
        <v>4743.8343958437899</v>
      </c>
      <c r="C30" s="39">
        <f>IF(ISERROR(B30*3.6/1000000/'E Balans VL '!Z18*100),0,B30*3.6/1000000/'E Balans VL '!Z18*100)</f>
        <v>0.23547324799889149</v>
      </c>
      <c r="D30" s="237" t="s">
        <v>702</v>
      </c>
    </row>
    <row r="31" spans="1:18">
      <c r="A31" s="6" t="s">
        <v>32</v>
      </c>
      <c r="B31" s="37">
        <f>IF( ISERROR(IND_ander_ele_kWh/1000),0,IND_ander_ele_kWh/1000)</f>
        <v>3056.46789063079</v>
      </c>
      <c r="C31" s="39">
        <f>IF(ISERROR(B31*3.6/1000000/'E Balans VL '!Z19*100),0,B31*3.6/1000000/'E Balans VL '!Z19*100)</f>
        <v>0.10314012899821179</v>
      </c>
      <c r="D31" s="237" t="s">
        <v>702</v>
      </c>
    </row>
    <row r="32" spans="1:18">
      <c r="A32" s="171" t="s">
        <v>40</v>
      </c>
      <c r="B32" s="37">
        <f>IF( ISERROR(IND_voed_ele_kWh/1000),0,IND_voed_ele_kWh/1000)</f>
        <v>152683.917329216</v>
      </c>
      <c r="C32" s="39">
        <f>IF(ISERROR(B32*3.6/1000000/'E Balans VL '!Z20*100),0,B32*3.6/1000000/'E Balans VL '!Z20*100)</f>
        <v>3.5856769168838412</v>
      </c>
      <c r="D32" s="237" t="s">
        <v>702</v>
      </c>
    </row>
    <row r="33" spans="1:5">
      <c r="A33" s="171" t="s">
        <v>39</v>
      </c>
      <c r="B33" s="37">
        <f>IF( ISERROR(IND_textiel_ele_kWh/1000),0,IND_textiel_ele_kWh/1000)</f>
        <v>73.898598987937007</v>
      </c>
      <c r="C33" s="39">
        <f>IF(ISERROR(B33*3.6/1000000/'E Balans VL '!Z21*100),0,B33*3.6/1000000/'E Balans VL '!Z21*100)</f>
        <v>8.1102775681184437E-3</v>
      </c>
      <c r="D33" s="237" t="s">
        <v>702</v>
      </c>
    </row>
    <row r="34" spans="1:5">
      <c r="A34" s="171" t="s">
        <v>36</v>
      </c>
      <c r="B34" s="37">
        <f>IF( ISERROR(IND_min_ele_kWh/1000),0,IND_min_ele_kWh/1000)</f>
        <v>0</v>
      </c>
      <c r="C34" s="39">
        <f>IF(ISERROR(B34*3.6/1000000/'E Balans VL '!Z22*100),0,B34*3.6/1000000/'E Balans VL '!Z22*100)</f>
        <v>0</v>
      </c>
      <c r="D34" s="237" t="s">
        <v>702</v>
      </c>
    </row>
    <row r="35" spans="1:5">
      <c r="A35" s="171" t="s">
        <v>38</v>
      </c>
      <c r="B35" s="37">
        <f>IF( ISERROR(IND_papier_ele_kWh/1000),0,IND_papier_ele_kWh/1000)</f>
        <v>0</v>
      </c>
      <c r="C35" s="39">
        <f>IF(ISERROR(B35*3.6/1000000/'E Balans VL '!Z22*100),0,B35*3.6/1000000/'E Balans VL '!Z22*100)</f>
        <v>0</v>
      </c>
      <c r="D35" s="237" t="s">
        <v>702</v>
      </c>
    </row>
    <row r="36" spans="1:5">
      <c r="A36" s="171" t="s">
        <v>33</v>
      </c>
      <c r="B36" s="37">
        <f>IF( ISERROR(IND_chemie_ele_kWh/1000),0,IND_chemie_ele_kWh/1000)</f>
        <v>0</v>
      </c>
      <c r="C36" s="39">
        <f>IF(ISERROR(B36*3.6/1000000/'E Balans VL '!Z24*100),0,B36*3.6/1000000/'E Balans VL '!Z24*100)</f>
        <v>0</v>
      </c>
      <c r="D36" s="237" t="s">
        <v>702</v>
      </c>
    </row>
    <row r="37" spans="1:5">
      <c r="A37" s="171" t="s">
        <v>269</v>
      </c>
      <c r="B37" s="37">
        <f>IF( ISERROR(IND_rest_ele_kWh/1000),0,IND_rest_ele_kWh/1000)</f>
        <v>281.85447911100005</v>
      </c>
      <c r="C37" s="39">
        <f>IF(ISERROR(B37*3.6/1000000/'E Balans VL '!Z15*100),0,B37*3.6/1000000/'E Balans VL '!Z15*100)</f>
        <v>1.0562578913772434E-3</v>
      </c>
      <c r="D37" s="237" t="s">
        <v>702</v>
      </c>
    </row>
    <row r="38" spans="1:5">
      <c r="A38" s="240"/>
      <c r="B38" s="180"/>
      <c r="C38" s="180"/>
      <c r="D38" s="241"/>
    </row>
    <row r="39" spans="1:5">
      <c r="A39" s="231"/>
      <c r="B39" s="32"/>
      <c r="C39" s="32"/>
      <c r="D39" s="32"/>
      <c r="E39" s="32"/>
    </row>
    <row r="40" spans="1:5">
      <c r="A40" s="193" t="s">
        <v>471</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468</v>
      </c>
      <c r="B44" s="315">
        <v>13.15681996793146</v>
      </c>
      <c r="C44" s="43"/>
      <c r="D44" s="309" t="s">
        <v>790</v>
      </c>
    </row>
    <row r="45" spans="1:5">
      <c r="A45" s="6" t="s">
        <v>469</v>
      </c>
      <c r="B45" s="320">
        <f>1.34/3.6</f>
        <v>0.37222222222222223</v>
      </c>
      <c r="C45" s="43" t="s">
        <v>217</v>
      </c>
      <c r="D45" s="309" t="s">
        <v>791</v>
      </c>
    </row>
    <row r="46" spans="1:5" s="32" customFormat="1">
      <c r="A46" s="175"/>
      <c r="B46" s="246"/>
      <c r="C46" s="180"/>
      <c r="D46" s="241"/>
    </row>
    <row r="48" spans="1:5">
      <c r="A48" s="194" t="s">
        <v>472</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790</v>
      </c>
    </row>
    <row r="53" spans="1:4">
      <c r="A53" s="171" t="s">
        <v>263</v>
      </c>
      <c r="B53" s="315">
        <v>1870.3471198212708</v>
      </c>
      <c r="C53" s="32" t="s">
        <v>264</v>
      </c>
      <c r="D53" s="309" t="s">
        <v>790</v>
      </c>
    </row>
    <row r="54" spans="1:4">
      <c r="A54" s="171" t="s">
        <v>401</v>
      </c>
      <c r="B54" s="315">
        <v>3.75</v>
      </c>
      <c r="C54" s="32"/>
      <c r="D54" s="309" t="s">
        <v>791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270</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9409.4257685534012</v>
      </c>
      <c r="C5" s="17">
        <f>'Eigen informatie GS &amp; warmtenet'!B62</f>
        <v>0</v>
      </c>
      <c r="D5" s="30">
        <f>IF(ISERROR(SUM(LB_lb_gas_kWh,LB_rest_gas_kWh)/1000),0,SUM(LB_lb_gas_kWh,LB_rest_gas_kWh)/1000)*0.903</f>
        <v>125960.5466354536</v>
      </c>
      <c r="E5" s="17">
        <f>B17*'E Balans VL '!I25/3.6*1000000/100</f>
        <v>350.90626828964008</v>
      </c>
      <c r="F5" s="17">
        <f>B17*('E Balans VL '!L25/3.6*1000000+'E Balans VL '!N25/3.6*1000000)/100</f>
        <v>30527.813138426143</v>
      </c>
      <c r="G5" s="18"/>
      <c r="H5" s="17"/>
      <c r="I5" s="17"/>
      <c r="J5" s="17">
        <f>('E Balans VL '!D25+'E Balans VL '!E25)/3.6*1000000*landbouw!B17/100</f>
        <v>2470.0207177064676</v>
      </c>
      <c r="K5" s="17"/>
      <c r="L5" s="17">
        <f>L6*(-1)</f>
        <v>0</v>
      </c>
      <c r="M5" s="17"/>
      <c r="N5" s="17">
        <f>N6*(-1)</f>
        <v>0</v>
      </c>
      <c r="O5" s="17"/>
      <c r="P5" s="17"/>
      <c r="R5" s="32"/>
    </row>
    <row r="6" spans="1:18">
      <c r="A6" s="16" t="s">
        <v>479</v>
      </c>
      <c r="B6" s="17" t="s">
        <v>210</v>
      </c>
      <c r="C6" s="17">
        <f>'lokale energieproductie'!O44+'lokale energieproductie'!O37</f>
        <v>63803.571428571428</v>
      </c>
      <c r="D6" s="310">
        <f>('lokale energieproductie'!P37+'lokale energieproductie'!P44)*(-1)</f>
        <v>-127607.14285714286</v>
      </c>
      <c r="E6" s="248"/>
      <c r="F6" s="310">
        <f>('lokale energieproductie'!S37+'lokale energieproductie'!S44)*(-1)</f>
        <v>0</v>
      </c>
      <c r="G6" s="249"/>
      <c r="H6" s="248"/>
      <c r="I6" s="248"/>
      <c r="J6" s="248"/>
      <c r="K6" s="248"/>
      <c r="L6" s="310">
        <f>('lokale energieproductie'!T37+'lokale energieproductie'!U37+'lokale energieproductie'!T44+'lokale energieproductie'!U44)*(-1)</f>
        <v>0</v>
      </c>
      <c r="M6" s="248"/>
      <c r="N6" s="310">
        <f>('lokale energieproductie'!V37+'lokale energieproductie'!R37+'lokale energieproductie'!Q37+'lokale energieproductie'!Q44+'lokale energieproductie'!R44+'lokale energieproductie'!V44)*(-1)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9409.4257685534012</v>
      </c>
      <c r="C8" s="21">
        <f>C5+C6</f>
        <v>63803.571428571428</v>
      </c>
      <c r="D8" s="21">
        <f>MAX((D5+D6),0)</f>
        <v>0</v>
      </c>
      <c r="E8" s="21">
        <f>MAX((E5+E6),0)</f>
        <v>350.90626828964008</v>
      </c>
      <c r="F8" s="21">
        <f>MAX((F5+F6),0)</f>
        <v>30527.813138426143</v>
      </c>
      <c r="G8" s="21"/>
      <c r="H8" s="21"/>
      <c r="I8" s="21"/>
      <c r="J8" s="21">
        <f>MAX((J5+J6),0)</f>
        <v>2470.0207177064676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0.21280384155040658</v>
      </c>
      <c r="C10" s="31">
        <f ca="1">'EF ele_warmte'!B22</f>
        <v>0.23148073745771164</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2002.3619503315506</v>
      </c>
      <c r="C12" s="23">
        <f ca="1">C8*C10</f>
        <v>14769.297766721495</v>
      </c>
      <c r="D12" s="23">
        <f>D8*D10</f>
        <v>0</v>
      </c>
      <c r="E12" s="23">
        <f>E8*E10</f>
        <v>79.655722901748305</v>
      </c>
      <c r="F12" s="23">
        <f>F8*F10</f>
        <v>8150.9261079597809</v>
      </c>
      <c r="G12" s="23"/>
      <c r="H12" s="23"/>
      <c r="I12" s="23"/>
      <c r="J12" s="23">
        <f>J8*J10</f>
        <v>874.38733406808944</v>
      </c>
      <c r="K12" s="23"/>
      <c r="L12" s="23">
        <f>L8*L10</f>
        <v>0</v>
      </c>
      <c r="M12" s="23">
        <f>M8*M10</f>
        <v>0</v>
      </c>
      <c r="N12" s="23">
        <f>N8*N10</f>
        <v>0</v>
      </c>
      <c r="O12" s="23"/>
      <c r="P12" s="23"/>
    </row>
    <row r="14" spans="1:18">
      <c r="A14" s="193" t="s">
        <v>485</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1.2923600752415652</v>
      </c>
      <c r="C17" s="237" t="s">
        <v>701</v>
      </c>
      <c r="D17" s="252"/>
    </row>
    <row r="18" spans="1:4">
      <c r="A18" s="240"/>
      <c r="B18" s="253"/>
      <c r="C18" s="241"/>
    </row>
    <row r="19" spans="1:4">
      <c r="A19" s="32"/>
      <c r="B19" s="48"/>
      <c r="C19" s="32"/>
    </row>
    <row r="20" spans="1:4">
      <c r="A20" s="32"/>
      <c r="B20" s="48"/>
      <c r="C20" s="32"/>
    </row>
    <row r="21" spans="1:4" ht="15.75" thickBot="1">
      <c r="B21" s="32"/>
    </row>
    <row r="22" spans="1:4" ht="15.75" customHeight="1">
      <c r="A22" s="1222" t="s">
        <v>302</v>
      </c>
      <c r="B22" s="1225" t="s">
        <v>303</v>
      </c>
      <c r="C22" s="1225" t="s">
        <v>484</v>
      </c>
    </row>
    <row r="23" spans="1:4">
      <c r="A23" s="1223"/>
      <c r="B23" s="1226"/>
      <c r="C23" s="1226"/>
    </row>
    <row r="24" spans="1:4" ht="15.75" thickBot="1">
      <c r="A24" s="1224"/>
      <c r="B24" s="1227"/>
      <c r="C24" s="1227"/>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457.99983194846556</v>
      </c>
      <c r="C26" s="247">
        <f>B26*'GWP N2O_CH4'!B5</f>
        <v>9617.9964709177766</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745.0825209519038</v>
      </c>
      <c r="C27" s="247">
        <f>B27*'GWP N2O_CH4'!B5</f>
        <v>15646.732939989979</v>
      </c>
      <c r="D27" s="50"/>
    </row>
    <row r="28" spans="1:4">
      <c r="A28" s="41" t="s">
        <v>275</v>
      </c>
      <c r="B28" s="247">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8.1825316546633857</v>
      </c>
      <c r="C28" s="247">
        <f>B28*'GWP N2O_CH4'!B4</f>
        <v>2536.5848129456494</v>
      </c>
      <c r="D28" s="50"/>
    </row>
    <row r="29" spans="1:4">
      <c r="A29" s="41" t="s">
        <v>276</v>
      </c>
      <c r="B29" s="247">
        <f>B34*'ha_N2O bodem landbouw'!B4</f>
        <v>21.215686355837036</v>
      </c>
      <c r="C29" s="247">
        <f>B29*'GWP N2O_CH4'!B4</f>
        <v>6576.8627703094808</v>
      </c>
      <c r="D29" s="50"/>
    </row>
    <row r="31" spans="1:4">
      <c r="A31" s="193" t="s">
        <v>486</v>
      </c>
      <c r="B31" s="203"/>
      <c r="C31" s="225"/>
    </row>
    <row r="32" spans="1:4">
      <c r="A32" s="236"/>
      <c r="B32" s="32"/>
      <c r="C32" s="237"/>
    </row>
    <row r="33" spans="1:5">
      <c r="A33" s="238"/>
      <c r="B33" s="224" t="s">
        <v>615</v>
      </c>
      <c r="C33" s="239" t="s">
        <v>181</v>
      </c>
    </row>
    <row r="34" spans="1:5">
      <c r="A34" s="257" t="s">
        <v>111</v>
      </c>
      <c r="B34" s="35">
        <f>IF(ISERROR(aantalCultuurgronden/'ha_N2O bodem landbouw'!B5),0,aantalCultuurgronden/'ha_N2O bodem landbouw'!B5)</f>
        <v>4.8351155085043169E-3</v>
      </c>
      <c r="C34" s="933" t="s">
        <v>712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43" zoomScale="70" zoomScaleNormal="70" workbookViewId="0">
      <selection activeCell="M25" sqref="M2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4" t="s">
        <v>488</v>
      </c>
      <c r="B1" s="1215" t="s">
        <v>537</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c r="C4" s="15"/>
    </row>
    <row r="5" spans="1:18" s="8" customFormat="1">
      <c r="A5" s="287" t="s">
        <v>328</v>
      </c>
      <c r="B5" s="425">
        <f>SUM(B6:B11)</f>
        <v>1.4277915762714408E-4</v>
      </c>
      <c r="C5" s="440" t="s">
        <v>210</v>
      </c>
      <c r="D5" s="425">
        <f>SUM(D6:D11)</f>
        <v>6.6184758983681711E-4</v>
      </c>
      <c r="E5" s="425">
        <f>SUM(E6:E11)</f>
        <v>3.500622238820983E-4</v>
      </c>
      <c r="F5" s="438" t="s">
        <v>210</v>
      </c>
      <c r="G5" s="425">
        <f>SUM(G6:G11)</f>
        <v>0.16495563107789027</v>
      </c>
      <c r="H5" s="425">
        <f>SUM(H6:H11)</f>
        <v>4.2016470233102593E-2</v>
      </c>
      <c r="I5" s="440" t="s">
        <v>210</v>
      </c>
      <c r="J5" s="440" t="s">
        <v>210</v>
      </c>
      <c r="K5" s="440" t="s">
        <v>210</v>
      </c>
      <c r="L5" s="440" t="s">
        <v>210</v>
      </c>
      <c r="M5" s="425">
        <f>SUM(M6:M11)</f>
        <v>1.2208070767197834E-2</v>
      </c>
      <c r="N5" s="440" t="s">
        <v>210</v>
      </c>
      <c r="O5" s="440" t="s">
        <v>210</v>
      </c>
      <c r="P5" s="441" t="s">
        <v>210</v>
      </c>
    </row>
    <row r="6" spans="1:18">
      <c r="A6" s="261" t="s">
        <v>649</v>
      </c>
      <c r="B6" s="89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8.4551393811783542E-5</v>
      </c>
      <c r="C6" s="426"/>
      <c r="D6" s="893">
        <f>vkm_GW_PW*SUMIFS(TableVerdeelsleutelVkm[CNG],TableVerdeelsleutelVkm[Voertuigtype],"Lichte voertuigen")*SUMIFS(TableECFTransport[EnergieConsumptieFactor (PJ per km)],TableECFTransport[Index],CONCATENATE($A6,"_CNG_CNG"))</f>
        <v>3.053738319099628E-4</v>
      </c>
      <c r="E6" s="893">
        <f>vkm_GW_PW*SUMIFS(TableVerdeelsleutelVkm[LPG],TableVerdeelsleutelVkm[Voertuigtype],"Lichte voertuigen")*SUMIFS(TableECFTransport[EnergieConsumptieFactor (PJ per km)],TableECFTransport[Index],CONCATENATE($A6,"_LPG_LPG"))</f>
        <v>1.6596283910045282E-4</v>
      </c>
      <c r="F6" s="428"/>
      <c r="G6" s="89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5.1646612974198466E-2</v>
      </c>
      <c r="H6" s="89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1.9546169297472361E-2</v>
      </c>
      <c r="I6" s="426"/>
      <c r="J6" s="426"/>
      <c r="K6" s="426"/>
      <c r="L6" s="426"/>
      <c r="M6" s="4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4.2665720119596734E-3</v>
      </c>
      <c r="N6" s="426"/>
      <c r="O6" s="426"/>
      <c r="P6" s="427"/>
    </row>
    <row r="7" spans="1:18">
      <c r="A7" s="261" t="s">
        <v>650</v>
      </c>
      <c r="B7" s="89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6"/>
      <c r="D7" s="893">
        <f>vkm_GW_ZV*SUMIFS(TableVerdeelsleutelVkm[CNG],TableVerdeelsleutelVkm[Voertuigtype],"Zware voertuigen")*SUMIFS(TableECFTransport[EnergieConsumptieFactor (PJ per km)],TableECFTransport[Index],CONCATENATE($A7,"_CNG_CNG"))</f>
        <v>0</v>
      </c>
      <c r="E7" s="893">
        <f>vkm_GW_ZV*SUMIFS(TableVerdeelsleutelVkm[LPG],TableVerdeelsleutelVkm[Voertuigtype],"Zware voertuigen")*SUMIFS(TableECFTransport[EnergieConsumptieFactor (PJ per km)],TableECFTransport[Index],CONCATENATE($A7,"_LPG_LPG"))</f>
        <v>0</v>
      </c>
      <c r="F7" s="428"/>
      <c r="G7" s="89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3.8348204076281499E-2</v>
      </c>
      <c r="H7" s="89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4.0371236938080687E-7</v>
      </c>
      <c r="I7" s="426"/>
      <c r="J7" s="426"/>
      <c r="K7" s="426"/>
      <c r="L7" s="426"/>
      <c r="M7" s="4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2.1590639557800078E-3</v>
      </c>
      <c r="N7" s="426"/>
      <c r="O7" s="426"/>
      <c r="P7" s="427"/>
      <c r="R7" s="890"/>
    </row>
    <row r="8" spans="1:18">
      <c r="A8" s="261" t="s">
        <v>651</v>
      </c>
      <c r="B8" s="4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5.8227763815360546E-5</v>
      </c>
      <c r="C8" s="426"/>
      <c r="D8" s="428">
        <f>vkm_NGW_PW*SUMIFS(TableVerdeelsleutelVkm[CNG],TableVerdeelsleutelVkm[Voertuigtype],"Lichte voertuigen")*SUMIFS(TableECFTransport[EnergieConsumptieFactor (PJ per km)],TableECFTransport[Index],CONCATENATE($A8,"_CNG_CNG"))</f>
        <v>3.5647375792685425E-4</v>
      </c>
      <c r="E8" s="428">
        <f>vkm_NGW_PW*SUMIFS(TableVerdeelsleutelVkm[LPG],TableVerdeelsleutelVkm[Voertuigtype],"Lichte voertuigen")*SUMIFS(TableECFTransport[EnergieConsumptieFactor (PJ per km)],TableECFTransport[Index],CONCATENATE($A8,"_LPG_LPG"))</f>
        <v>1.8409938478164547E-4</v>
      </c>
      <c r="F8" s="428"/>
      <c r="G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5.3315227270310198E-2</v>
      </c>
      <c r="H8" s="89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2.2469566245129257E-2</v>
      </c>
      <c r="I8" s="426"/>
      <c r="J8" s="426"/>
      <c r="K8" s="426"/>
      <c r="L8" s="426"/>
      <c r="M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4.5637471930999214E-3</v>
      </c>
      <c r="N8" s="426"/>
      <c r="O8" s="426"/>
      <c r="P8" s="427"/>
      <c r="R8" s="890"/>
    </row>
    <row r="9" spans="1:18">
      <c r="A9" s="261" t="s">
        <v>652</v>
      </c>
      <c r="B9" s="4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6"/>
      <c r="D9" s="428">
        <f>vkm_NGW_ZV*SUMIFS(TableVerdeelsleutelVkm[CNG],TableVerdeelsleutelVkm[Voertuigtype],"Zware voertuigen")*SUMIFS(TableECFTransport[EnergieConsumptieFactor (PJ per km)],TableECFTransport[Index],CONCATENATE($A9,"_CNG_CNG"))</f>
        <v>0</v>
      </c>
      <c r="E9" s="428">
        <f>vkm_NGW_ZV*SUMIFS(TableVerdeelsleutelVkm[LPG],TableVerdeelsleutelVkm[Voertuigtype],"Zware voertuigen")*SUMIFS(TableECFTransport[EnergieConsumptieFactor (PJ per km)],TableECFTransport[Index],CONCATENATE($A9,"_LPG_LPG"))</f>
        <v>0</v>
      </c>
      <c r="F9" s="428"/>
      <c r="G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2.1645586757100134E-2</v>
      </c>
      <c r="H9" s="89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3.3097813159650576E-7</v>
      </c>
      <c r="I9" s="426"/>
      <c r="J9" s="426"/>
      <c r="K9" s="426"/>
      <c r="L9" s="426"/>
      <c r="M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1.2186876063582314E-3</v>
      </c>
      <c r="N9" s="426"/>
      <c r="O9" s="426"/>
      <c r="P9" s="427"/>
      <c r="R9" s="890"/>
    </row>
    <row r="10" spans="1:18">
      <c r="A10" s="261" t="s">
        <v>653</v>
      </c>
      <c r="B10" s="4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6"/>
      <c r="D10" s="428">
        <f>vkm_SW_PW*SUMIFS(TableVerdeelsleutelVkm[CNG],TableVerdeelsleutelVkm[Voertuigtype],"Lichte voertuigen")*SUMIFS(TableECFTransport[EnergieConsumptieFactor (PJ per km)],TableECFTransport[Index],CONCATENATE($A10,"_CNG_CNG"))</f>
        <v>0</v>
      </c>
      <c r="E10" s="428">
        <f>vkm_SW_PW*SUMIFS(TableVerdeelsleutelVkm[LPG],TableVerdeelsleutelVkm[Voertuigtype],"Lichte voertuigen")*SUMIFS(TableECFTransport[EnergieConsumptieFactor (PJ per km)],TableECFTransport[Index],CONCATENATE($A10,"_LPG_LPG"))</f>
        <v>0</v>
      </c>
      <c r="F10" s="428"/>
      <c r="G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9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6"/>
      <c r="J10" s="426"/>
      <c r="K10" s="426"/>
      <c r="L10" s="426"/>
      <c r="M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6"/>
      <c r="O10" s="426"/>
      <c r="P10" s="427"/>
      <c r="R10" s="890"/>
    </row>
    <row r="11" spans="1:18">
      <c r="A11" s="4" t="s">
        <v>654</v>
      </c>
      <c r="B11" s="4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9"/>
      <c r="D11" s="430">
        <f>vkm_SW_ZV*SUMIFS(TableVerdeelsleutelVkm[CNG],TableVerdeelsleutelVkm[Voertuigtype],"Zware voertuigen")*SUMIFS(TableECFTransport[EnergieConsumptieFactor (PJ per km)],TableECFTransport[Index],CONCATENATE($A11,"_CNG_CNG"))</f>
        <v>0</v>
      </c>
      <c r="E11" s="430">
        <f>vkm_SW_ZV*SUMIFS(TableVerdeelsleutelVkm[LPG],TableVerdeelsleutelVkm[Voertuigtype],"Zware voertuigen")*SUMIFS(TableECFTransport[EnergieConsumptieFactor (PJ per km)],TableECFTransport[Index],CONCATENATE($A11,"_LPG_LPG"))</f>
        <v>0</v>
      </c>
      <c r="F11" s="430"/>
      <c r="G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9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9"/>
      <c r="J11" s="429"/>
      <c r="K11" s="429"/>
      <c r="L11" s="429"/>
      <c r="M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9"/>
      <c r="O11" s="429"/>
      <c r="P11" s="431"/>
      <c r="R11" s="890"/>
    </row>
    <row r="12" spans="1:18">
      <c r="A12" s="331" t="s">
        <v>535</v>
      </c>
      <c r="B12" s="439">
        <f>('Eigen vloot'!B27)*(-1)</f>
        <v>0</v>
      </c>
      <c r="C12" s="439"/>
      <c r="D12" s="439">
        <f>('Eigen vloot'!D27)*(-1)</f>
        <v>0</v>
      </c>
      <c r="E12" s="439">
        <f>('Eigen vloot'!E27)*(-1)</f>
        <v>0</v>
      </c>
      <c r="F12" s="432"/>
      <c r="G12" s="439">
        <f>('Eigen vloot'!G27)*(-1)</f>
        <v>0</v>
      </c>
      <c r="H12" s="439">
        <f>('Eigen vloot'!H27)*(-1)</f>
        <v>0</v>
      </c>
      <c r="I12" s="439"/>
      <c r="J12" s="439"/>
      <c r="K12" s="439"/>
      <c r="L12" s="439"/>
      <c r="M12" s="439">
        <f>('Eigen vloot'!M27)*(-1)</f>
        <v>0</v>
      </c>
      <c r="N12" s="439"/>
      <c r="O12" s="439"/>
      <c r="P12" s="442"/>
    </row>
    <row r="13" spans="1:18">
      <c r="B13" s="11"/>
      <c r="C13" s="55"/>
      <c r="D13" s="55"/>
      <c r="E13" s="55"/>
      <c r="F13" s="55"/>
      <c r="G13" s="11"/>
      <c r="H13" s="11"/>
      <c r="I13" s="10"/>
      <c r="J13" s="11"/>
      <c r="K13" s="11"/>
      <c r="L13" s="11"/>
      <c r="M13" s="11"/>
      <c r="N13" s="11"/>
      <c r="O13" s="11"/>
      <c r="P13" s="11"/>
    </row>
    <row r="14" spans="1:18" s="15" customFormat="1">
      <c r="A14" s="20" t="s">
        <v>337</v>
      </c>
      <c r="B14" s="21">
        <f>((B5)*10^9/3600)+B12</f>
        <v>39.660877118651129</v>
      </c>
      <c r="C14" s="21"/>
      <c r="D14" s="21">
        <f t="shared" ref="D14:M14" si="0">((D5)*10^9/3600)+D12</f>
        <v>183.8465527324492</v>
      </c>
      <c r="E14" s="21">
        <f t="shared" si="0"/>
        <v>97.239506633916193</v>
      </c>
      <c r="F14" s="21"/>
      <c r="G14" s="21">
        <f t="shared" si="0"/>
        <v>45821.008632747296</v>
      </c>
      <c r="H14" s="21">
        <f t="shared" si="0"/>
        <v>11671.241731417385</v>
      </c>
      <c r="I14" s="21"/>
      <c r="J14" s="21"/>
      <c r="K14" s="21"/>
      <c r="L14" s="21"/>
      <c r="M14" s="21">
        <f t="shared" si="0"/>
        <v>3391.1307686660653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0.21280384155040658</v>
      </c>
      <c r="C16" s="56">
        <f ca="1">'EF ele_warmte'!B22</f>
        <v>0.23148073745771164</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8.4399870101075809</v>
      </c>
      <c r="C18" s="23"/>
      <c r="D18" s="23">
        <f t="shared" ref="D18:M18" si="1">D14*D16</f>
        <v>37.137003651954743</v>
      </c>
      <c r="E18" s="23">
        <f t="shared" si="1"/>
        <v>22.073368005898978</v>
      </c>
      <c r="F18" s="23"/>
      <c r="G18" s="23">
        <f t="shared" si="1"/>
        <v>12234.209304943528</v>
      </c>
      <c r="H18" s="23">
        <f t="shared" si="1"/>
        <v>2906.1391911229289</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7"/>
    </row>
    <row r="21" spans="1:18">
      <c r="A21" s="262" t="s">
        <v>490</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655</v>
      </c>
      <c r="D23" s="922" t="s">
        <v>656</v>
      </c>
      <c r="E23" s="922" t="s">
        <v>657</v>
      </c>
      <c r="F23" s="922" t="s">
        <v>639</v>
      </c>
      <c r="G23" s="922" t="s">
        <v>658</v>
      </c>
      <c r="H23" s="922" t="s">
        <v>659</v>
      </c>
      <c r="I23" s="922" t="s">
        <v>118</v>
      </c>
      <c r="J23" s="922" t="s">
        <v>660</v>
      </c>
      <c r="K23" s="922" t="s">
        <v>661</v>
      </c>
      <c r="L23" s="923" t="s">
        <v>662</v>
      </c>
      <c r="M23" s="129" t="s">
        <v>181</v>
      </c>
      <c r="N23" s="268" t="s">
        <v>315</v>
      </c>
    </row>
    <row r="24" spans="1:18">
      <c r="A24" s="32" t="s">
        <v>647</v>
      </c>
      <c r="B24" s="1054">
        <v>3.473266E-3</v>
      </c>
      <c r="C24" s="1054">
        <v>0.70898671899999999</v>
      </c>
      <c r="D24" s="1055"/>
      <c r="E24" s="1054"/>
      <c r="F24" s="1054"/>
      <c r="G24" s="1054">
        <v>2.8609970000000001E-3</v>
      </c>
      <c r="H24" s="1055"/>
      <c r="I24" s="1055">
        <v>2.138891E-3</v>
      </c>
      <c r="J24" s="1055">
        <v>0.27216516200000002</v>
      </c>
      <c r="K24" s="1055">
        <v>1.3235962E-2</v>
      </c>
      <c r="L24" s="890"/>
      <c r="M24" s="1065" t="s">
        <v>807</v>
      </c>
      <c r="N24" s="892">
        <f>SUM(B24:K24)</f>
        <v>1.002860997</v>
      </c>
      <c r="O24" s="890" t="s">
        <v>640</v>
      </c>
    </row>
    <row r="25" spans="1:18">
      <c r="A25" s="32" t="s">
        <v>648</v>
      </c>
      <c r="B25" s="1055"/>
      <c r="C25" s="1054">
        <v>0.99998367200000005</v>
      </c>
      <c r="D25" s="1055"/>
      <c r="E25" s="1055"/>
      <c r="F25" s="1054"/>
      <c r="G25" s="1055"/>
      <c r="H25" s="1055"/>
      <c r="I25" s="1055"/>
      <c r="J25" s="1055">
        <v>1.63277E-5</v>
      </c>
      <c r="K25" s="1055"/>
      <c r="L25" s="890"/>
      <c r="M25" s="1065" t="s">
        <v>807</v>
      </c>
      <c r="N25" s="270">
        <f>SUM(B25:K25)</f>
        <v>0.99999999970000009</v>
      </c>
    </row>
    <row r="26" spans="1:18">
      <c r="A26" s="240"/>
      <c r="B26" s="180"/>
      <c r="C26" s="180"/>
      <c r="D26" s="180"/>
      <c r="E26" s="180"/>
      <c r="F26" s="180"/>
      <c r="G26" s="180"/>
      <c r="H26" s="180"/>
      <c r="I26" s="180"/>
      <c r="J26" s="180"/>
      <c r="K26" s="180"/>
      <c r="L26" s="178"/>
      <c r="M26" s="178"/>
      <c r="N26" s="176"/>
    </row>
    <row r="27" spans="1:18" s="43" customFormat="1"/>
    <row r="28" spans="1:18">
      <c r="A28" s="262" t="s">
        <v>491</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4" t="s">
        <v>201</v>
      </c>
      <c r="B30" s="274" t="s">
        <v>317</v>
      </c>
      <c r="C30" s="889">
        <v>2018</v>
      </c>
      <c r="D30" s="274" t="s">
        <v>318</v>
      </c>
      <c r="E30" s="243" t="s">
        <v>181</v>
      </c>
      <c r="F30" s="271"/>
      <c r="G30" s="243"/>
      <c r="H30" s="243"/>
      <c r="I30" s="243"/>
      <c r="J30" s="243"/>
      <c r="K30" s="243"/>
      <c r="L30" s="272"/>
    </row>
    <row r="31" spans="1:18">
      <c r="A31" s="275" t="s">
        <v>319</v>
      </c>
      <c r="B31" s="276"/>
      <c r="C31" s="277"/>
      <c r="D31" s="276"/>
      <c r="E31" s="920"/>
      <c r="F31" s="53"/>
      <c r="G31" s="43"/>
      <c r="H31" s="43"/>
      <c r="I31" s="43"/>
      <c r="J31" s="43"/>
      <c r="K31" s="43"/>
      <c r="L31" s="174"/>
    </row>
    <row r="32" spans="1:18">
      <c r="A32" s="278" t="s">
        <v>320</v>
      </c>
      <c r="B32" s="279"/>
      <c r="C32" s="280"/>
      <c r="D32" s="279"/>
      <c r="E32" s="920"/>
      <c r="F32" s="53"/>
      <c r="G32" s="43"/>
      <c r="H32" s="43"/>
      <c r="I32" s="43"/>
      <c r="J32" s="43"/>
      <c r="K32" s="43"/>
      <c r="L32" s="174"/>
    </row>
    <row r="33" spans="1:16">
      <c r="A33" s="278" t="s">
        <v>321</v>
      </c>
      <c r="B33" s="281"/>
      <c r="C33" s="282"/>
      <c r="D33" s="58"/>
      <c r="E33" s="919"/>
      <c r="F33" s="53"/>
      <c r="G33" s="43"/>
      <c r="H33" s="43"/>
      <c r="I33" s="43"/>
      <c r="J33" s="43"/>
      <c r="K33" s="43"/>
      <c r="L33" s="174"/>
    </row>
    <row r="34" spans="1:16">
      <c r="A34" s="278" t="s">
        <v>322</v>
      </c>
      <c r="B34" s="281"/>
      <c r="D34" s="58"/>
      <c r="E34" s="920"/>
      <c r="F34" s="53"/>
      <c r="G34" s="43"/>
      <c r="H34" s="43"/>
      <c r="I34" s="43"/>
      <c r="J34" s="43"/>
      <c r="K34" s="43"/>
      <c r="L34" s="174"/>
    </row>
    <row r="35" spans="1:16">
      <c r="A35" s="278" t="s">
        <v>323</v>
      </c>
      <c r="B35" s="281"/>
      <c r="C35" s="283">
        <v>5.33E-2</v>
      </c>
      <c r="D35" s="58"/>
      <c r="E35" s="920" t="s">
        <v>800</v>
      </c>
      <c r="F35" s="53"/>
      <c r="G35" s="43"/>
      <c r="H35" s="43"/>
      <c r="I35" s="43"/>
      <c r="J35" s="43"/>
      <c r="K35" s="43"/>
      <c r="L35" s="174"/>
    </row>
    <row r="36" spans="1:16">
      <c r="A36" s="261"/>
      <c r="B36" s="43"/>
      <c r="C36" s="43"/>
      <c r="D36" s="43"/>
      <c r="E36" s="154"/>
      <c r="F36" s="53"/>
      <c r="G36" s="43"/>
      <c r="H36" s="43"/>
      <c r="I36" s="43"/>
      <c r="J36" s="43"/>
      <c r="K36" s="43"/>
      <c r="L36" s="174"/>
    </row>
    <row r="37" spans="1:16">
      <c r="A37" s="424" t="s">
        <v>119</v>
      </c>
      <c r="B37" s="274" t="s">
        <v>317</v>
      </c>
      <c r="C37" s="889">
        <f>C30</f>
        <v>2018</v>
      </c>
      <c r="D37" s="274" t="s">
        <v>318</v>
      </c>
      <c r="E37" s="921" t="s">
        <v>181</v>
      </c>
      <c r="F37" s="286"/>
      <c r="G37" s="267"/>
      <c r="H37" s="267"/>
      <c r="I37" s="267"/>
      <c r="J37" s="267"/>
      <c r="K37" s="267"/>
      <c r="L37" s="268"/>
    </row>
    <row r="38" spans="1:16">
      <c r="A38" s="278" t="s">
        <v>324</v>
      </c>
      <c r="B38" s="279"/>
      <c r="C38" s="280"/>
      <c r="D38" s="279"/>
      <c r="E38" s="920"/>
      <c r="F38" s="282"/>
      <c r="G38" s="58"/>
      <c r="H38" s="58"/>
      <c r="I38" s="58"/>
      <c r="J38" s="58"/>
      <c r="K38" s="58"/>
      <c r="L38" s="284"/>
    </row>
    <row r="39" spans="1:16">
      <c r="A39" s="278" t="s">
        <v>325</v>
      </c>
      <c r="B39" s="279"/>
      <c r="C39" s="280"/>
      <c r="D39" s="279"/>
      <c r="E39" s="920"/>
      <c r="F39" s="282"/>
      <c r="G39" s="58"/>
      <c r="H39" s="58"/>
      <c r="I39" s="58"/>
      <c r="J39" s="58"/>
      <c r="K39" s="58"/>
      <c r="L39" s="284"/>
    </row>
    <row r="40" spans="1:16">
      <c r="A40" s="278" t="s">
        <v>321</v>
      </c>
      <c r="B40" s="281"/>
      <c r="C40" s="282"/>
      <c r="D40" s="282"/>
      <c r="E40" s="920"/>
      <c r="F40" s="58"/>
      <c r="G40" s="58"/>
      <c r="H40" s="58"/>
      <c r="I40" s="58"/>
      <c r="J40" s="58"/>
      <c r="K40" s="58"/>
      <c r="L40" s="284"/>
    </row>
    <row r="41" spans="1:16" ht="15" customHeight="1">
      <c r="A41" s="278" t="s">
        <v>326</v>
      </c>
      <c r="B41" s="281"/>
      <c r="D41" s="282"/>
      <c r="E41" s="920"/>
      <c r="F41" s="58"/>
      <c r="G41" s="58"/>
      <c r="H41" s="58"/>
      <c r="I41" s="58"/>
      <c r="J41" s="58"/>
      <c r="K41" s="58"/>
      <c r="L41" s="284"/>
    </row>
    <row r="42" spans="1:16">
      <c r="A42" s="278" t="s">
        <v>323</v>
      </c>
      <c r="B42" s="281"/>
      <c r="C42" s="283">
        <v>6.5000000000000002E-2</v>
      </c>
      <c r="D42" s="282"/>
      <c r="E42" s="920" t="str">
        <f>E35</f>
        <v>Data VMM maart 2020</v>
      </c>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8" t="s">
        <v>489</v>
      </c>
      <c r="B46" s="1229" t="s">
        <v>536</v>
      </c>
      <c r="C46" s="1230"/>
      <c r="D46" s="1230"/>
      <c r="E46" s="1230"/>
      <c r="F46" s="1230"/>
      <c r="G46" s="1230"/>
      <c r="H46" s="1230"/>
      <c r="I46" s="1230"/>
      <c r="J46" s="1230"/>
      <c r="K46" s="1230"/>
      <c r="L46" s="1230"/>
      <c r="M46" s="1230"/>
      <c r="N46" s="1230"/>
      <c r="O46" s="1230"/>
      <c r="P46" s="1230"/>
    </row>
    <row r="47" spans="1:16" s="15" customFormat="1" ht="15.75" thickTop="1">
      <c r="A47" s="1228"/>
      <c r="B47" s="1231" t="s">
        <v>20</v>
      </c>
      <c r="C47" s="1231" t="s">
        <v>195</v>
      </c>
      <c r="D47" s="1233" t="s">
        <v>196</v>
      </c>
      <c r="E47" s="1234"/>
      <c r="F47" s="1234"/>
      <c r="G47" s="1234"/>
      <c r="H47" s="1234"/>
      <c r="I47" s="1234"/>
      <c r="J47" s="1234"/>
      <c r="K47" s="1235"/>
      <c r="L47" s="1233" t="s">
        <v>197</v>
      </c>
      <c r="M47" s="1234"/>
      <c r="N47" s="1234"/>
      <c r="O47" s="1234"/>
      <c r="P47" s="1235"/>
    </row>
    <row r="48" spans="1:16" s="15" customFormat="1" ht="45">
      <c r="A48" s="1228"/>
      <c r="B48" s="1232"/>
      <c r="C48" s="1232"/>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3.9051392860075512E-3</v>
      </c>
      <c r="H50" s="321">
        <f t="shared" si="2"/>
        <v>0</v>
      </c>
      <c r="I50" s="321">
        <f t="shared" si="2"/>
        <v>0</v>
      </c>
      <c r="J50" s="321">
        <f t="shared" si="2"/>
        <v>0</v>
      </c>
      <c r="K50" s="321">
        <f t="shared" si="2"/>
        <v>0</v>
      </c>
      <c r="L50" s="321">
        <f t="shared" si="2"/>
        <v>0</v>
      </c>
      <c r="M50" s="321">
        <f t="shared" si="2"/>
        <v>2.1191509972459408E-4</v>
      </c>
      <c r="N50" s="321">
        <f t="shared" si="2"/>
        <v>0</v>
      </c>
      <c r="O50" s="321">
        <f t="shared" si="2"/>
        <v>0</v>
      </c>
      <c r="P50" s="322">
        <f t="shared" si="2"/>
        <v>0</v>
      </c>
    </row>
    <row r="51" spans="1:18">
      <c r="A51" s="261"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3.9051392860075512E-3</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2.1191509972459408E-4</v>
      </c>
      <c r="N51" s="323"/>
      <c r="O51" s="323"/>
      <c r="P51" s="326"/>
    </row>
    <row r="52" spans="1:18">
      <c r="A52" s="4" t="s">
        <v>329</v>
      </c>
      <c r="B52" s="894">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1084.7609127798753</v>
      </c>
      <c r="H54" s="21">
        <f t="shared" si="3"/>
        <v>0</v>
      </c>
      <c r="I54" s="21">
        <f t="shared" si="3"/>
        <v>0</v>
      </c>
      <c r="J54" s="21">
        <f t="shared" si="3"/>
        <v>0</v>
      </c>
      <c r="K54" s="21">
        <f t="shared" si="3"/>
        <v>0</v>
      </c>
      <c r="L54" s="21">
        <f t="shared" si="3"/>
        <v>0</v>
      </c>
      <c r="M54" s="21">
        <f t="shared" si="3"/>
        <v>58.865305479053909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0.21280384155040658</v>
      </c>
      <c r="C56" s="56">
        <f ca="1">'EF ele_warmte'!B22</f>
        <v>0.23148073745771164</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289.63116371222674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550</v>
      </c>
      <c r="B61" s="264"/>
      <c r="C61" s="265"/>
    </row>
    <row r="62" spans="1:18" s="15" customFormat="1">
      <c r="A62" s="294"/>
      <c r="B62" s="290"/>
      <c r="C62" s="295"/>
    </row>
    <row r="63" spans="1:18">
      <c r="A63" s="296"/>
      <c r="B63" s="133"/>
      <c r="C63" s="297" t="s">
        <v>181</v>
      </c>
    </row>
    <row r="64" spans="1:18">
      <c r="A64" s="288" t="s">
        <v>201</v>
      </c>
      <c r="B64" s="291">
        <f>100%-B65</f>
        <v>0.94359999999999999</v>
      </c>
      <c r="C64" s="174"/>
    </row>
    <row r="65" spans="1:12">
      <c r="A65" s="288" t="s">
        <v>332</v>
      </c>
      <c r="B65" s="300">
        <v>5.6399999999999999E-2</v>
      </c>
      <c r="C65" s="174" t="s">
        <v>799</v>
      </c>
    </row>
    <row r="66" spans="1:12" s="15" customFormat="1">
      <c r="A66" s="289"/>
      <c r="B66" s="269"/>
      <c r="C66" s="232"/>
    </row>
    <row r="67" spans="1:12">
      <c r="A67" s="292" t="s">
        <v>315</v>
      </c>
      <c r="B67" s="293">
        <f>SUM(B64:B65)</f>
        <v>1</v>
      </c>
      <c r="C67" s="176"/>
    </row>
    <row r="70" spans="1:12">
      <c r="A70" s="262" t="s">
        <v>491</v>
      </c>
      <c r="B70" s="264"/>
      <c r="C70" s="264"/>
      <c r="D70" s="264"/>
      <c r="E70" s="264"/>
      <c r="F70" s="264"/>
      <c r="G70" s="264"/>
      <c r="H70" s="264"/>
      <c r="I70" s="264"/>
      <c r="J70" s="264"/>
      <c r="K70" s="264"/>
      <c r="L70" s="265"/>
    </row>
    <row r="71" spans="1:12">
      <c r="A71" s="422" t="s">
        <v>551</v>
      </c>
    </row>
    <row r="72" spans="1:12">
      <c r="A72" s="261"/>
      <c r="B72" s="266"/>
      <c r="C72" s="266"/>
      <c r="D72" s="266"/>
      <c r="E72" s="266"/>
    </row>
    <row r="73" spans="1:12">
      <c r="A73" s="273"/>
      <c r="B73" s="274" t="s">
        <v>317</v>
      </c>
      <c r="C73" s="889">
        <f>C30</f>
        <v>2018</v>
      </c>
      <c r="D73" s="274" t="s">
        <v>318</v>
      </c>
      <c r="E73" s="243" t="s">
        <v>181</v>
      </c>
    </row>
    <row r="74" spans="1:12">
      <c r="A74" t="str">
        <f t="shared" ref="A74:A75" si="5">A31</f>
        <v>diesel</v>
      </c>
      <c r="B74" s="420"/>
      <c r="C74" s="420"/>
      <c r="D74" s="420"/>
      <c r="E74" s="11"/>
    </row>
    <row r="75" spans="1:12">
      <c r="A75" t="str">
        <f t="shared" si="5"/>
        <v>biodiesel</v>
      </c>
      <c r="B75" s="420"/>
      <c r="C75" s="420"/>
      <c r="D75" s="420"/>
      <c r="E75" s="11"/>
    </row>
    <row r="76" spans="1:12">
      <c r="A76" t="str">
        <f>A33</f>
        <v>vol% liter</v>
      </c>
      <c r="B76" s="420"/>
      <c r="C76" s="421"/>
      <c r="D76" s="420"/>
      <c r="E76" s="11"/>
    </row>
    <row r="77" spans="1:12">
      <c r="A77" t="str">
        <f>A34</f>
        <v>gew% kg</v>
      </c>
      <c r="B77" s="420"/>
      <c r="D77" s="420"/>
      <c r="E77" s="11"/>
    </row>
    <row r="78" spans="1:12">
      <c r="A78" t="str">
        <f>A35</f>
        <v>J%</v>
      </c>
      <c r="B78" s="420"/>
      <c r="C78" s="423">
        <f>C35</f>
        <v>5.33E-2</v>
      </c>
      <c r="D78" s="420"/>
      <c r="E78" t="str">
        <f>E35</f>
        <v>Data VMM maart 2020</v>
      </c>
    </row>
    <row r="79" spans="1:12">
      <c r="B79" s="420"/>
      <c r="C79" s="420"/>
      <c r="D79" s="420"/>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6"/>
  <sheetViews>
    <sheetView showGridLines="0" topLeftCell="A85" zoomScale="65" zoomScaleNormal="65" workbookViewId="0">
      <selection activeCell="M33" sqref="M33"/>
    </sheetView>
  </sheetViews>
  <sheetFormatPr defaultColWidth="9.140625" defaultRowHeight="15"/>
  <cols>
    <col min="1" max="1" width="38" style="618" customWidth="1"/>
    <col min="2" max="2" width="27" style="618" customWidth="1"/>
    <col min="3" max="3" width="25.42578125" style="618" customWidth="1"/>
    <col min="4" max="4" width="41.28515625" style="618" customWidth="1"/>
    <col min="5" max="5" width="27.5703125" style="618" customWidth="1"/>
    <col min="6" max="7" width="18" style="618" customWidth="1"/>
    <col min="8" max="8" width="23.42578125" style="618" customWidth="1"/>
    <col min="9" max="9" width="28.5703125" style="618" customWidth="1"/>
    <col min="10" max="10" width="35.28515625" style="618" customWidth="1"/>
    <col min="11" max="11" width="32.7109375" style="618" customWidth="1"/>
    <col min="12" max="14" width="23.85546875" style="618" customWidth="1"/>
    <col min="15" max="15" width="21.140625" style="618" customWidth="1"/>
    <col min="16" max="16" width="17.5703125" style="618" customWidth="1"/>
    <col min="17" max="17" width="22.85546875" style="618" customWidth="1"/>
    <col min="18" max="18" width="19.140625" style="618" customWidth="1"/>
    <col min="19" max="19" width="24.7109375" style="618" customWidth="1"/>
    <col min="20" max="20" width="9.140625" style="618"/>
    <col min="21" max="21" width="21.140625" style="618" customWidth="1"/>
    <col min="22" max="22" width="14.85546875" style="618" customWidth="1"/>
    <col min="23" max="23" width="16.140625" style="618" customWidth="1"/>
    <col min="24" max="24" width="14.7109375" style="618" customWidth="1"/>
    <col min="25" max="26" width="16.140625" style="618" customWidth="1"/>
    <col min="27" max="27" width="17.28515625" style="618" customWidth="1"/>
    <col min="28" max="28" width="16.85546875" style="618" customWidth="1"/>
    <col min="29" max="16384" width="9.140625" style="618"/>
  </cols>
  <sheetData>
    <row r="1" spans="1:21" s="537" customFormat="1" ht="17.45" customHeight="1" thickTop="1" thickBot="1">
      <c r="A1" s="1260" t="s">
        <v>240</v>
      </c>
      <c r="B1" s="1248" t="s">
        <v>241</v>
      </c>
      <c r="C1" s="1282" t="s">
        <v>242</v>
      </c>
      <c r="D1" s="1283"/>
      <c r="E1" s="1283"/>
      <c r="F1" s="1283"/>
      <c r="G1" s="1283"/>
      <c r="H1" s="1283"/>
      <c r="I1" s="1283"/>
      <c r="J1" s="1283"/>
      <c r="K1" s="1283"/>
      <c r="L1" s="1283"/>
      <c r="M1" s="1283"/>
      <c r="N1" s="1284"/>
      <c r="O1" s="1249" t="s">
        <v>243</v>
      </c>
      <c r="P1" s="1248" t="s">
        <v>538</v>
      </c>
      <c r="Q1" s="1249"/>
      <c r="S1" s="1247"/>
      <c r="T1" s="1247"/>
      <c r="U1" s="1247"/>
    </row>
    <row r="2" spans="1:21" s="537" customFormat="1" ht="15.75" thickBot="1">
      <c r="A2" s="1261"/>
      <c r="B2" s="1261"/>
      <c r="C2" s="1278" t="s">
        <v>196</v>
      </c>
      <c r="D2" s="1279"/>
      <c r="E2" s="1279"/>
      <c r="F2" s="1279"/>
      <c r="G2" s="1280"/>
      <c r="H2" s="1281" t="s">
        <v>244</v>
      </c>
      <c r="I2" s="1276" t="s">
        <v>245</v>
      </c>
      <c r="J2" s="1276" t="s">
        <v>233</v>
      </c>
      <c r="K2" s="1276" t="s">
        <v>246</v>
      </c>
      <c r="L2" s="1276" t="s">
        <v>126</v>
      </c>
      <c r="M2" s="1276" t="s">
        <v>719</v>
      </c>
      <c r="N2" s="1271" t="s">
        <v>720</v>
      </c>
      <c r="O2" s="1251"/>
      <c r="P2" s="1250"/>
      <c r="Q2" s="1251"/>
      <c r="S2" s="1247"/>
      <c r="T2" s="1247"/>
      <c r="U2" s="1247"/>
    </row>
    <row r="3" spans="1:21" s="537" customFormat="1" ht="53.45" customHeight="1" thickBot="1">
      <c r="A3" s="1262"/>
      <c r="B3" s="1252"/>
      <c r="C3" s="538" t="s">
        <v>198</v>
      </c>
      <c r="D3" s="539" t="s">
        <v>199</v>
      </c>
      <c r="E3" s="540" t="s">
        <v>200</v>
      </c>
      <c r="F3" s="541" t="s">
        <v>202</v>
      </c>
      <c r="G3" s="542" t="s">
        <v>203</v>
      </c>
      <c r="H3" s="1267"/>
      <c r="I3" s="1277"/>
      <c r="J3" s="1277"/>
      <c r="K3" s="1277"/>
      <c r="L3" s="1277"/>
      <c r="M3" s="1277"/>
      <c r="N3" s="1272"/>
      <c r="O3" s="1253"/>
      <c r="P3" s="1252"/>
      <c r="Q3" s="1253"/>
      <c r="S3" s="1247"/>
      <c r="T3" s="1247"/>
      <c r="U3" s="1247"/>
    </row>
    <row r="4" spans="1:21" s="537" customFormat="1" ht="15.75" thickTop="1">
      <c r="A4" s="543" t="s">
        <v>248</v>
      </c>
      <c r="B4" s="544">
        <f>IF(ISERROR(kWh_wind_land),0,kWh_wind_land)</f>
        <v>0</v>
      </c>
      <c r="C4" s="1288"/>
      <c r="D4" s="1273"/>
      <c r="E4" s="1273"/>
      <c r="F4" s="1291"/>
      <c r="G4" s="1294"/>
      <c r="H4" s="1285"/>
      <c r="I4" s="1273"/>
      <c r="J4" s="1273"/>
      <c r="K4" s="1273"/>
      <c r="L4" s="1273"/>
      <c r="M4" s="1273"/>
      <c r="N4" s="959"/>
      <c r="O4" s="545"/>
      <c r="P4" s="1254"/>
      <c r="Q4" s="1255"/>
      <c r="S4" s="546"/>
      <c r="T4" s="1244"/>
      <c r="U4" s="1244"/>
    </row>
    <row r="5" spans="1:21" s="537" customFormat="1">
      <c r="A5" s="547" t="s">
        <v>249</v>
      </c>
      <c r="B5" s="544">
        <f>IF(ISERROR(kWh_waterkracht),0,kWh_waterkracht)</f>
        <v>0</v>
      </c>
      <c r="C5" s="1289"/>
      <c r="D5" s="1274"/>
      <c r="E5" s="1274"/>
      <c r="F5" s="1292"/>
      <c r="G5" s="1295"/>
      <c r="H5" s="1286"/>
      <c r="I5" s="1274"/>
      <c r="J5" s="1274"/>
      <c r="K5" s="1274"/>
      <c r="L5" s="1274"/>
      <c r="M5" s="1274"/>
      <c r="N5" s="959"/>
      <c r="O5" s="548"/>
      <c r="P5" s="1256"/>
      <c r="Q5" s="1257"/>
      <c r="S5" s="546"/>
      <c r="T5" s="1244"/>
      <c r="U5" s="1244"/>
    </row>
    <row r="6" spans="1:21" s="537" customFormat="1">
      <c r="A6" s="547" t="s">
        <v>250</v>
      </c>
      <c r="B6" s="544">
        <f>IF(ISERROR((kWh_PV_kleiner_dan_10kW+kWh_PV_groter_dan_10kW)),0,(kWh_PV_kleiner_dan_10kW+kWh_PV_groter_dan_10kW))</f>
        <v>10027.356303736373</v>
      </c>
      <c r="C6" s="1289"/>
      <c r="D6" s="1274"/>
      <c r="E6" s="1274"/>
      <c r="F6" s="1292"/>
      <c r="G6" s="1295"/>
      <c r="H6" s="1286"/>
      <c r="I6" s="1274"/>
      <c r="J6" s="1274"/>
      <c r="K6" s="1274"/>
      <c r="L6" s="1274"/>
      <c r="M6" s="1274"/>
      <c r="N6" s="959"/>
      <c r="O6" s="548"/>
      <c r="P6" s="1256"/>
      <c r="Q6" s="1257"/>
      <c r="S6" s="546"/>
      <c r="T6" s="1244"/>
      <c r="U6" s="1244"/>
    </row>
    <row r="7" spans="1:21" s="537" customFormat="1">
      <c r="A7" s="547" t="s">
        <v>717</v>
      </c>
      <c r="B7" s="544"/>
      <c r="C7" s="1290"/>
      <c r="D7" s="1275"/>
      <c r="E7" s="1275"/>
      <c r="F7" s="1293"/>
      <c r="G7" s="1296"/>
      <c r="H7" s="1287"/>
      <c r="I7" s="1275"/>
      <c r="J7" s="1275"/>
      <c r="K7" s="1275"/>
      <c r="L7" s="1275"/>
      <c r="M7" s="1275"/>
      <c r="N7" s="960"/>
      <c r="O7" s="548"/>
      <c r="P7" s="944"/>
      <c r="Q7" s="945"/>
      <c r="S7" s="943"/>
      <c r="T7" s="943"/>
      <c r="U7" s="943"/>
    </row>
    <row r="8" spans="1:21" s="537" customFormat="1">
      <c r="A8" s="549" t="s">
        <v>251</v>
      </c>
      <c r="B8" s="550">
        <f>N34</f>
        <v>50467.5</v>
      </c>
      <c r="C8" s="551">
        <f>B53</f>
        <v>57832.941176470595</v>
      </c>
      <c r="D8" s="552"/>
      <c r="E8" s="552">
        <f>E53</f>
        <v>0</v>
      </c>
      <c r="F8" s="553"/>
      <c r="G8" s="554"/>
      <c r="H8" s="552">
        <f>I53</f>
        <v>0</v>
      </c>
      <c r="I8" s="552">
        <f>G53+F53</f>
        <v>0</v>
      </c>
      <c r="J8" s="552">
        <f>H53+D53+C53</f>
        <v>1540.5882352941178</v>
      </c>
      <c r="K8" s="552"/>
      <c r="L8" s="552"/>
      <c r="M8" s="552"/>
      <c r="N8" s="555"/>
      <c r="O8" s="556">
        <f>C8*$C$12+D8*$D$12+E8*$E$12+F8*$F$12+G8*$G$12+H8*$H$12+I8*$I$12+J8*$J$12</f>
        <v>11682.25411764706</v>
      </c>
      <c r="P8" s="1256"/>
      <c r="Q8" s="1257"/>
      <c r="S8" s="546"/>
      <c r="T8" s="1244"/>
      <c r="U8" s="1244"/>
    </row>
    <row r="9" spans="1:21" s="537" customFormat="1" ht="17.45" customHeight="1" thickBot="1">
      <c r="A9" s="557" t="s">
        <v>247</v>
      </c>
      <c r="B9" s="558">
        <f>N41+'Eigen informatie GS &amp; warmtenet'!B12</f>
        <v>0</v>
      </c>
      <c r="C9" s="559">
        <f>P41+IF(ISERROR(('Eigen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0">
        <f>S41+IF(ISERROR('Eigen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0">
        <f>W41+IF(ISERROR('Eigen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0">
        <f>(T41+U41)+IF(ISERROR('Eigen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0">
        <f>V41+Q41+R41+IF(ISERROR('Eigen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2"/>
      <c r="N9" s="968"/>
      <c r="O9" s="556">
        <f>C9*$C$12+D9*$D$12+E9*$E$12+F9*$F$12+G9*$G$12+H9*$H$12+I9*$I$12+J9*$J$12</f>
        <v>0</v>
      </c>
      <c r="P9" s="1258"/>
      <c r="Q9" s="1259"/>
      <c r="R9" s="563"/>
      <c r="S9" s="546"/>
      <c r="T9" s="1244"/>
      <c r="U9" s="1244"/>
    </row>
    <row r="10" spans="1:21" s="537" customFormat="1" ht="16.5" thickTop="1" thickBot="1">
      <c r="A10" s="564" t="s">
        <v>115</v>
      </c>
      <c r="B10" s="565">
        <f>SUM(B4:B9)</f>
        <v>60494.856303736371</v>
      </c>
      <c r="C10" s="566">
        <f t="shared" ref="C10:L10" si="0">SUM(C8:C9)</f>
        <v>57832.941176470595</v>
      </c>
      <c r="D10" s="566">
        <f t="shared" si="0"/>
        <v>0</v>
      </c>
      <c r="E10" s="566">
        <f t="shared" si="0"/>
        <v>0</v>
      </c>
      <c r="F10" s="566">
        <f t="shared" si="0"/>
        <v>0</v>
      </c>
      <c r="G10" s="566">
        <f t="shared" si="0"/>
        <v>0</v>
      </c>
      <c r="H10" s="566">
        <f t="shared" si="0"/>
        <v>0</v>
      </c>
      <c r="I10" s="566">
        <f t="shared" si="0"/>
        <v>0</v>
      </c>
      <c r="J10" s="566">
        <f t="shared" si="0"/>
        <v>1540.5882352941178</v>
      </c>
      <c r="K10" s="566">
        <f t="shared" si="0"/>
        <v>0</v>
      </c>
      <c r="L10" s="566">
        <f t="shared" si="0"/>
        <v>0</v>
      </c>
      <c r="M10" s="969"/>
      <c r="N10" s="969"/>
      <c r="O10" s="567">
        <f>SUM(O4:O9)</f>
        <v>11682.25411764706</v>
      </c>
      <c r="P10" s="568"/>
      <c r="R10" s="569"/>
      <c r="S10" s="546"/>
      <c r="T10" s="569"/>
      <c r="U10" s="569"/>
    </row>
    <row r="11" spans="1:21" s="572" customFormat="1" ht="15.75" thickTop="1">
      <c r="A11" s="570"/>
      <c r="B11" s="571"/>
      <c r="C11" s="571"/>
      <c r="D11" s="571"/>
      <c r="E11" s="571"/>
      <c r="F11" s="571"/>
      <c r="G11" s="571"/>
      <c r="H11" s="571"/>
      <c r="I11" s="571"/>
      <c r="J11" s="571"/>
      <c r="K11" s="571"/>
      <c r="L11" s="571"/>
      <c r="M11" s="571"/>
      <c r="N11" s="571"/>
      <c r="P11" s="571"/>
      <c r="R11" s="571"/>
    </row>
    <row r="12" spans="1:21" s="572" customFormat="1">
      <c r="A12" s="573" t="s">
        <v>289</v>
      </c>
      <c r="B12" s="574"/>
      <c r="C12" s="574">
        <f>EF_CO2_aardgas</f>
        <v>0.20200000000000001</v>
      </c>
      <c r="D12" s="574">
        <f>EF_VLgas_CO2</f>
        <v>0.22700000000000001</v>
      </c>
      <c r="E12" s="574">
        <f>EF_stookolie_CO2</f>
        <v>0.26700000000000002</v>
      </c>
      <c r="F12" s="574">
        <f>EF_bruinkool_CO2</f>
        <v>0.35099999999999998</v>
      </c>
      <c r="G12" s="574">
        <f>EF_steenkool_CO2</f>
        <v>0.35399999999999998</v>
      </c>
      <c r="H12" s="574">
        <f>'EF brandstof'!M4</f>
        <v>0.33</v>
      </c>
      <c r="I12" s="574">
        <f>'EF brandstof'!J4</f>
        <v>0</v>
      </c>
      <c r="J12" s="574">
        <f>'EF brandstof'!L4</f>
        <v>0</v>
      </c>
      <c r="K12" s="574">
        <f>'EF brandstof'!L4</f>
        <v>0</v>
      </c>
      <c r="L12" s="574"/>
      <c r="M12" s="574"/>
      <c r="N12" s="574"/>
      <c r="P12" s="575"/>
      <c r="Q12" s="575"/>
      <c r="R12" s="575"/>
    </row>
    <row r="13" spans="1:21" s="537" customFormat="1" ht="15.75" thickBot="1">
      <c r="A13" s="576"/>
      <c r="B13" s="575"/>
      <c r="C13" s="575"/>
      <c r="D13" s="575"/>
      <c r="E13" s="575"/>
      <c r="F13" s="575"/>
      <c r="G13" s="575"/>
      <c r="H13" s="575"/>
      <c r="I13" s="575"/>
      <c r="J13" s="575"/>
      <c r="K13" s="575"/>
      <c r="L13" s="575"/>
      <c r="M13" s="575"/>
      <c r="N13" s="575"/>
      <c r="O13" s="575"/>
      <c r="P13" s="575"/>
      <c r="Q13" s="575"/>
      <c r="R13" s="575"/>
    </row>
    <row r="14" spans="1:21" s="537" customFormat="1" ht="17.25" thickTop="1" thickBot="1">
      <c r="A14" s="1260" t="s">
        <v>252</v>
      </c>
      <c r="B14" s="1260" t="s">
        <v>253</v>
      </c>
      <c r="C14" s="1268" t="s">
        <v>254</v>
      </c>
      <c r="D14" s="1269"/>
      <c r="E14" s="1269"/>
      <c r="F14" s="1269"/>
      <c r="G14" s="1269"/>
      <c r="H14" s="1269"/>
      <c r="I14" s="1269"/>
      <c r="J14" s="1269"/>
      <c r="K14" s="1269"/>
      <c r="L14" s="1269"/>
      <c r="M14" s="1269"/>
      <c r="N14" s="1270"/>
      <c r="O14" s="1249" t="s">
        <v>243</v>
      </c>
      <c r="P14" s="1248" t="s">
        <v>255</v>
      </c>
      <c r="Q14" s="1249"/>
      <c r="R14" s="1247"/>
      <c r="S14" s="1247"/>
      <c r="T14" s="1247"/>
    </row>
    <row r="15" spans="1:21" s="537" customFormat="1" ht="15.75" customHeight="1" thickBot="1">
      <c r="A15" s="1261"/>
      <c r="B15" s="1261"/>
      <c r="C15" s="1263" t="s">
        <v>196</v>
      </c>
      <c r="D15" s="1264"/>
      <c r="E15" s="1264"/>
      <c r="F15" s="1264"/>
      <c r="G15" s="1265"/>
      <c r="H15" s="1266" t="s">
        <v>244</v>
      </c>
      <c r="I15" s="1266" t="s">
        <v>245</v>
      </c>
      <c r="J15" s="1266" t="s">
        <v>233</v>
      </c>
      <c r="K15" s="1266" t="s">
        <v>256</v>
      </c>
      <c r="L15" s="1266" t="s">
        <v>126</v>
      </c>
      <c r="M15" s="1266" t="s">
        <v>719</v>
      </c>
      <c r="N15" s="1271" t="s">
        <v>720</v>
      </c>
      <c r="O15" s="1251"/>
      <c r="P15" s="1250"/>
      <c r="Q15" s="1251"/>
      <c r="R15" s="1247"/>
      <c r="S15" s="1247"/>
      <c r="T15" s="1247"/>
    </row>
    <row r="16" spans="1:21" s="537" customFormat="1" ht="40.700000000000003" customHeight="1" thickBot="1">
      <c r="A16" s="1262"/>
      <c r="B16" s="1262"/>
      <c r="C16" s="577" t="s">
        <v>198</v>
      </c>
      <c r="D16" s="539" t="s">
        <v>199</v>
      </c>
      <c r="E16" s="578" t="s">
        <v>200</v>
      </c>
      <c r="F16" s="539" t="s">
        <v>202</v>
      </c>
      <c r="G16" s="579" t="s">
        <v>203</v>
      </c>
      <c r="H16" s="1267"/>
      <c r="I16" s="1267"/>
      <c r="J16" s="1267"/>
      <c r="K16" s="1267"/>
      <c r="L16" s="1267"/>
      <c r="M16" s="1267"/>
      <c r="N16" s="1272"/>
      <c r="O16" s="1253"/>
      <c r="P16" s="1252"/>
      <c r="Q16" s="1253"/>
      <c r="R16" s="1247"/>
      <c r="S16" s="1247"/>
      <c r="T16" s="1247"/>
    </row>
    <row r="17" spans="1:26" s="537" customFormat="1" ht="15.75" thickTop="1">
      <c r="A17" s="580" t="s">
        <v>251</v>
      </c>
      <c r="B17" s="581">
        <f>O34</f>
        <v>72096.428571428565</v>
      </c>
      <c r="C17" s="582">
        <f>B54</f>
        <v>82618.487394957992</v>
      </c>
      <c r="D17" s="583"/>
      <c r="E17" s="583">
        <f>E54</f>
        <v>0</v>
      </c>
      <c r="F17" s="584"/>
      <c r="G17" s="585"/>
      <c r="H17" s="582">
        <f>I54</f>
        <v>0</v>
      </c>
      <c r="I17" s="583">
        <f>G54+F54</f>
        <v>0</v>
      </c>
      <c r="J17" s="583">
        <f>H54+D54+C54</f>
        <v>2200.840336134454</v>
      </c>
      <c r="K17" s="583"/>
      <c r="L17" s="583"/>
      <c r="M17" s="583"/>
      <c r="N17" s="970"/>
      <c r="O17" s="586">
        <f>C17*$C$22+E17*$E$22+H17*$H$22+I17*$I$22+J17*$J$22+D17*$D$22+F17*$F$22+G17*$G$22+K17*$K$22+L17*$L$22</f>
        <v>16688.934453781516</v>
      </c>
      <c r="P17" s="1239"/>
      <c r="Q17" s="1240"/>
      <c r="R17" s="587"/>
      <c r="S17" s="1241"/>
      <c r="T17" s="1241"/>
    </row>
    <row r="18" spans="1:26" s="537" customFormat="1">
      <c r="A18" s="588" t="s">
        <v>257</v>
      </c>
      <c r="B18" s="589">
        <f>'Eigen informatie GS &amp; warmtenet'!B32</f>
        <v>0</v>
      </c>
      <c r="C18" s="552">
        <f>'Eigen informatie GS &amp; warmtenet'!B35</f>
        <v>0</v>
      </c>
      <c r="D18" s="552">
        <f>'Eigen informatie GS &amp; warmtenet'!B36</f>
        <v>0</v>
      </c>
      <c r="E18" s="552">
        <f>'Eigen informatie GS &amp; warmtenet'!B37</f>
        <v>0</v>
      </c>
      <c r="F18" s="552">
        <f>'Eigen informatie GS &amp; warmtenet'!B38</f>
        <v>0</v>
      </c>
      <c r="G18" s="552">
        <f>'Eigen informatie GS &amp; warmtenet'!B39</f>
        <v>0</v>
      </c>
      <c r="H18" s="552">
        <f>'Eigen informatie GS &amp; warmtenet'!B40</f>
        <v>0</v>
      </c>
      <c r="I18" s="552">
        <f>'Eigen informatie GS &amp; warmtenet'!B41</f>
        <v>0</v>
      </c>
      <c r="J18" s="552">
        <f>'Eigen informatie GS &amp; warmtenet'!B42</f>
        <v>0</v>
      </c>
      <c r="K18" s="552">
        <f>'Eigen informatie GS &amp; warmtenet'!B43</f>
        <v>0</v>
      </c>
      <c r="L18" s="552">
        <f>'Eigen informatie GS &amp; warmtenet'!B44</f>
        <v>0</v>
      </c>
      <c r="M18" s="552">
        <f>'Eigen informatie GS &amp; warmtenet'!B45</f>
        <v>0</v>
      </c>
      <c r="N18" s="552">
        <f>'Eigen informatie GS &amp; warmtenet'!B46</f>
        <v>0</v>
      </c>
      <c r="O18" s="586">
        <f>C18*$C$22+E18*$E$22+H18*$H$22+I18*$I$22+J18*$J$22+D18*$D$22+F18*$F$22+G18*$G$22+K18*$K$22+L18*$L$22</f>
        <v>0</v>
      </c>
      <c r="P18" s="1242"/>
      <c r="Q18" s="1243"/>
      <c r="R18" s="546"/>
      <c r="S18" s="1244"/>
      <c r="T18" s="1244"/>
    </row>
    <row r="19" spans="1:26" s="537" customFormat="1" ht="15.75" thickBot="1">
      <c r="A19" s="557" t="s">
        <v>247</v>
      </c>
      <c r="B19" s="589">
        <f>'Eigen informatie GS &amp; warmtenet'!B11</f>
        <v>0</v>
      </c>
      <c r="C19" s="59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5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52"/>
      <c r="N19" s="971"/>
      <c r="O19" s="586">
        <f>C19*$C$22+E19*$E$22+H19*$H$22+I19*$I$22+J19*$J$22+D19*$D$22+F19*$F$22+G19*$G$22+K19*$K$22+L19*$L$22</f>
        <v>0</v>
      </c>
      <c r="P19" s="1245"/>
      <c r="Q19" s="1246"/>
      <c r="R19" s="546"/>
      <c r="S19" s="1244"/>
      <c r="T19" s="1244"/>
    </row>
    <row r="20" spans="1:26" s="537" customFormat="1" ht="16.5" thickTop="1" thickBot="1">
      <c r="A20" s="564" t="s">
        <v>115</v>
      </c>
      <c r="B20" s="565">
        <f>SUM(B17:B19)</f>
        <v>72096.428571428565</v>
      </c>
      <c r="C20" s="565">
        <f>SUM(C17:C19)</f>
        <v>82618.487394957992</v>
      </c>
      <c r="D20" s="565">
        <f t="shared" ref="D20:L20" si="1">SUM(D17:D19)</f>
        <v>0</v>
      </c>
      <c r="E20" s="565">
        <f t="shared" si="1"/>
        <v>0</v>
      </c>
      <c r="F20" s="565">
        <f t="shared" si="1"/>
        <v>0</v>
      </c>
      <c r="G20" s="565">
        <f t="shared" si="1"/>
        <v>0</v>
      </c>
      <c r="H20" s="565">
        <f t="shared" si="1"/>
        <v>0</v>
      </c>
      <c r="I20" s="565">
        <f t="shared" si="1"/>
        <v>0</v>
      </c>
      <c r="J20" s="565">
        <f t="shared" si="1"/>
        <v>2200.840336134454</v>
      </c>
      <c r="K20" s="565">
        <f t="shared" si="1"/>
        <v>0</v>
      </c>
      <c r="L20" s="565">
        <f t="shared" si="1"/>
        <v>0</v>
      </c>
      <c r="M20" s="565"/>
      <c r="N20" s="565"/>
      <c r="O20" s="591">
        <f>SUM(O17:O19)</f>
        <v>16688.934453781516</v>
      </c>
      <c r="P20" s="1236"/>
      <c r="Q20" s="1237"/>
      <c r="R20" s="546"/>
      <c r="S20" s="1238"/>
      <c r="T20" s="1238"/>
    </row>
    <row r="21" spans="1:26" s="537" customFormat="1" ht="15.75" thickTop="1">
      <c r="A21" s="587"/>
      <c r="B21" s="546"/>
      <c r="C21" s="546"/>
      <c r="D21" s="546"/>
      <c r="E21" s="546"/>
      <c r="F21" s="546"/>
      <c r="G21" s="546"/>
      <c r="H21" s="546"/>
      <c r="I21" s="546"/>
      <c r="J21" s="546"/>
      <c r="K21" s="546"/>
      <c r="L21" s="546"/>
      <c r="M21" s="943"/>
      <c r="N21" s="943"/>
      <c r="O21" s="546"/>
      <c r="P21" s="569"/>
      <c r="Q21" s="569"/>
      <c r="R21" s="546"/>
      <c r="S21" s="569"/>
      <c r="T21" s="569"/>
    </row>
    <row r="22" spans="1:26" s="572" customFormat="1">
      <c r="A22" s="573" t="s">
        <v>289</v>
      </c>
      <c r="B22" s="574"/>
      <c r="C22" s="574">
        <f>EF_CO2_aardgas</f>
        <v>0.20200000000000001</v>
      </c>
      <c r="D22" s="574">
        <f>EF_VLgas_CO2</f>
        <v>0.22700000000000001</v>
      </c>
      <c r="E22" s="574">
        <f>EF_stookolie_CO2</f>
        <v>0.26700000000000002</v>
      </c>
      <c r="F22" s="574">
        <f>EF_bruinkool_CO2</f>
        <v>0.35099999999999998</v>
      </c>
      <c r="G22" s="574">
        <f>EF_steenkool_CO2</f>
        <v>0.35399999999999998</v>
      </c>
      <c r="H22" s="574">
        <f>'EF brandstof'!M4</f>
        <v>0.33</v>
      </c>
      <c r="I22" s="574">
        <f>'EF brandstof'!J4</f>
        <v>0</v>
      </c>
      <c r="J22" s="574">
        <f>'EF brandstof'!L4</f>
        <v>0</v>
      </c>
      <c r="K22" s="574">
        <f>'EF brandstof'!L4</f>
        <v>0</v>
      </c>
      <c r="L22" s="574"/>
      <c r="M22" s="574"/>
      <c r="N22" s="574"/>
      <c r="O22" s="575"/>
      <c r="P22" s="575"/>
      <c r="Q22" s="575"/>
      <c r="R22" s="575"/>
      <c r="S22" s="537"/>
    </row>
    <row r="23" spans="1:26" s="572" customFormat="1">
      <c r="A23" s="576"/>
      <c r="B23" s="575"/>
      <c r="C23" s="575"/>
      <c r="D23" s="575"/>
      <c r="E23" s="575"/>
      <c r="F23" s="575"/>
      <c r="G23" s="575"/>
      <c r="H23" s="575"/>
      <c r="I23" s="575"/>
      <c r="J23" s="575"/>
      <c r="K23" s="575"/>
      <c r="L23" s="575"/>
      <c r="M23" s="575"/>
      <c r="N23" s="575"/>
      <c r="O23" s="575"/>
      <c r="P23" s="575"/>
      <c r="Q23" s="575"/>
      <c r="R23" s="575"/>
      <c r="S23" s="537"/>
    </row>
    <row r="24" spans="1:26" s="572" customFormat="1">
      <c r="A24" s="576"/>
      <c r="B24" s="575"/>
      <c r="C24" s="575"/>
      <c r="D24" s="592"/>
      <c r="E24" s="592"/>
      <c r="F24" s="592"/>
      <c r="G24" s="575"/>
      <c r="H24" s="575"/>
      <c r="I24" s="575"/>
      <c r="J24" s="575"/>
      <c r="K24" s="575"/>
      <c r="L24" s="575"/>
      <c r="M24" s="575"/>
      <c r="N24" s="575"/>
      <c r="O24" s="575"/>
      <c r="P24" s="575"/>
      <c r="Q24" s="575"/>
      <c r="R24" s="575"/>
    </row>
    <row r="25" spans="1:26" s="572" customFormat="1">
      <c r="A25" s="576"/>
      <c r="B25" s="575"/>
      <c r="C25" s="575"/>
      <c r="D25" s="592"/>
      <c r="E25" s="592"/>
      <c r="F25" s="592"/>
      <c r="G25" s="575"/>
      <c r="H25" s="575"/>
      <c r="I25" s="575"/>
      <c r="J25" s="575"/>
      <c r="K25" s="575"/>
      <c r="L25" s="575"/>
      <c r="M25" s="575"/>
      <c r="N25" s="575"/>
      <c r="O25" s="575"/>
      <c r="P25" s="575"/>
      <c r="Q25" s="575"/>
      <c r="R25" s="575"/>
    </row>
    <row r="26" spans="1:26" s="537" customFormat="1" ht="15.75" thickBot="1">
      <c r="B26" s="592"/>
      <c r="C26" s="592"/>
      <c r="D26" s="592"/>
      <c r="E26" s="592"/>
      <c r="F26" s="592"/>
      <c r="G26" s="592"/>
      <c r="H26" s="592"/>
      <c r="I26" s="592"/>
      <c r="J26" s="592"/>
      <c r="K26" s="592"/>
      <c r="L26" s="592"/>
      <c r="M26" s="592"/>
      <c r="N26" s="592"/>
      <c r="O26" s="592"/>
      <c r="P26" s="592"/>
      <c r="Q26" s="593"/>
      <c r="R26" s="593"/>
    </row>
    <row r="27" spans="1:26" s="537" customFormat="1" ht="45">
      <c r="A27" s="594" t="s">
        <v>278</v>
      </c>
      <c r="B27" s="639" t="s">
        <v>89</v>
      </c>
      <c r="C27" s="639" t="s">
        <v>90</v>
      </c>
      <c r="D27" s="639" t="s">
        <v>91</v>
      </c>
      <c r="E27" s="639" t="s">
        <v>92</v>
      </c>
      <c r="F27" s="639" t="s">
        <v>93</v>
      </c>
      <c r="G27" s="639" t="s">
        <v>94</v>
      </c>
      <c r="H27" s="639" t="s">
        <v>95</v>
      </c>
      <c r="I27" s="639" t="s">
        <v>96</v>
      </c>
      <c r="J27" s="639" t="s">
        <v>97</v>
      </c>
      <c r="K27" s="639" t="s">
        <v>98</v>
      </c>
      <c r="L27" s="639" t="s">
        <v>99</v>
      </c>
      <c r="M27" s="640" t="s">
        <v>297</v>
      </c>
      <c r="N27" s="640" t="s">
        <v>100</v>
      </c>
      <c r="O27" s="640" t="s">
        <v>101</v>
      </c>
      <c r="P27" s="640" t="s">
        <v>525</v>
      </c>
      <c r="Q27" s="640" t="s">
        <v>102</v>
      </c>
      <c r="R27" s="640" t="s">
        <v>103</v>
      </c>
      <c r="S27" s="640" t="s">
        <v>104</v>
      </c>
      <c r="T27" s="640" t="s">
        <v>105</v>
      </c>
      <c r="U27" s="640" t="s">
        <v>106</v>
      </c>
      <c r="V27" s="640" t="s">
        <v>107</v>
      </c>
      <c r="W27" s="639" t="s">
        <v>108</v>
      </c>
      <c r="X27" s="639" t="s">
        <v>298</v>
      </c>
      <c r="Y27" s="639" t="s">
        <v>109</v>
      </c>
      <c r="Z27" s="641" t="s">
        <v>299</v>
      </c>
    </row>
    <row r="28" spans="1:26" s="596" customFormat="1" ht="25.5">
      <c r="A28" s="595"/>
      <c r="B28" s="794">
        <v>36019</v>
      </c>
      <c r="C28" s="794">
        <v>8840</v>
      </c>
      <c r="D28" s="643" t="s">
        <v>865</v>
      </c>
      <c r="E28" s="642" t="s">
        <v>866</v>
      </c>
      <c r="F28" s="642" t="s">
        <v>867</v>
      </c>
      <c r="G28" s="642" t="s">
        <v>868</v>
      </c>
      <c r="H28" s="642" t="s">
        <v>869</v>
      </c>
      <c r="I28" s="642" t="s">
        <v>870</v>
      </c>
      <c r="J28" s="793">
        <v>38625</v>
      </c>
      <c r="K28" s="793">
        <v>38412</v>
      </c>
      <c r="L28" s="642" t="s">
        <v>871</v>
      </c>
      <c r="M28" s="642">
        <v>291</v>
      </c>
      <c r="N28" s="642">
        <v>1309.5</v>
      </c>
      <c r="O28" s="642">
        <v>1870.7142857142858</v>
      </c>
      <c r="P28" s="642">
        <v>0</v>
      </c>
      <c r="Q28" s="642">
        <v>3741.4285714285716</v>
      </c>
      <c r="R28" s="642">
        <v>0</v>
      </c>
      <c r="S28" s="642">
        <v>0</v>
      </c>
      <c r="T28" s="642">
        <v>0</v>
      </c>
      <c r="U28" s="642">
        <v>0</v>
      </c>
      <c r="V28" s="642">
        <v>0</v>
      </c>
      <c r="W28" s="642">
        <v>0</v>
      </c>
      <c r="X28" s="642">
        <v>500</v>
      </c>
      <c r="Y28" s="642" t="s">
        <v>40</v>
      </c>
      <c r="Z28" s="644" t="s">
        <v>385</v>
      </c>
    </row>
    <row r="29" spans="1:26" s="596" customFormat="1" ht="25.5">
      <c r="A29" s="595"/>
      <c r="B29" s="794">
        <v>36019</v>
      </c>
      <c r="C29" s="794">
        <v>8840</v>
      </c>
      <c r="D29" s="643" t="s">
        <v>872</v>
      </c>
      <c r="E29" s="642" t="s">
        <v>873</v>
      </c>
      <c r="F29" s="642" t="s">
        <v>874</v>
      </c>
      <c r="G29" s="642" t="s">
        <v>868</v>
      </c>
      <c r="H29" s="642" t="s">
        <v>869</v>
      </c>
      <c r="I29" s="642" t="s">
        <v>873</v>
      </c>
      <c r="J29" s="793">
        <v>40910</v>
      </c>
      <c r="K29" s="793">
        <v>39792</v>
      </c>
      <c r="L29" s="642" t="s">
        <v>871</v>
      </c>
      <c r="M29" s="642">
        <v>3938</v>
      </c>
      <c r="N29" s="642">
        <v>17721</v>
      </c>
      <c r="O29" s="642">
        <v>25315.714285714286</v>
      </c>
      <c r="P29" s="642">
        <v>50631.428571428572</v>
      </c>
      <c r="Q29" s="642">
        <v>0</v>
      </c>
      <c r="R29" s="642">
        <v>0</v>
      </c>
      <c r="S29" s="642">
        <v>0</v>
      </c>
      <c r="T29" s="642">
        <v>0</v>
      </c>
      <c r="U29" s="642">
        <v>0</v>
      </c>
      <c r="V29" s="642">
        <v>0</v>
      </c>
      <c r="W29" s="642">
        <v>0</v>
      </c>
      <c r="X29" s="642">
        <v>10</v>
      </c>
      <c r="Y29" s="642" t="s">
        <v>111</v>
      </c>
      <c r="Z29" s="644" t="s">
        <v>111</v>
      </c>
    </row>
    <row r="30" spans="1:26" s="596" customFormat="1" ht="25.5">
      <c r="A30" s="595"/>
      <c r="B30" s="794">
        <v>36019</v>
      </c>
      <c r="C30" s="794">
        <v>8840</v>
      </c>
      <c r="D30" s="643" t="s">
        <v>875</v>
      </c>
      <c r="E30" s="642" t="s">
        <v>876</v>
      </c>
      <c r="F30" s="642" t="s">
        <v>877</v>
      </c>
      <c r="G30" s="642" t="s">
        <v>868</v>
      </c>
      <c r="H30" s="642" t="s">
        <v>869</v>
      </c>
      <c r="I30" s="642" t="s">
        <v>876</v>
      </c>
      <c r="J30" s="793">
        <v>39912</v>
      </c>
      <c r="K30" s="793">
        <v>39923</v>
      </c>
      <c r="L30" s="642" t="s">
        <v>871</v>
      </c>
      <c r="M30" s="642">
        <v>2000</v>
      </c>
      <c r="N30" s="642">
        <v>9000</v>
      </c>
      <c r="O30" s="642">
        <v>12857.142857142857</v>
      </c>
      <c r="P30" s="642">
        <v>25714.285714285717</v>
      </c>
      <c r="Q30" s="642">
        <v>0</v>
      </c>
      <c r="R30" s="642">
        <v>0</v>
      </c>
      <c r="S30" s="642">
        <v>0</v>
      </c>
      <c r="T30" s="642">
        <v>0</v>
      </c>
      <c r="U30" s="642">
        <v>0</v>
      </c>
      <c r="V30" s="642">
        <v>0</v>
      </c>
      <c r="W30" s="642">
        <v>0</v>
      </c>
      <c r="X30" s="642">
        <v>10</v>
      </c>
      <c r="Y30" s="642" t="s">
        <v>111</v>
      </c>
      <c r="Z30" s="644" t="s">
        <v>111</v>
      </c>
    </row>
    <row r="31" spans="1:26" s="596" customFormat="1" ht="25.5">
      <c r="A31" s="595"/>
      <c r="B31" s="794">
        <v>36019</v>
      </c>
      <c r="C31" s="794">
        <v>8840</v>
      </c>
      <c r="D31" s="643" t="s">
        <v>875</v>
      </c>
      <c r="E31" s="642" t="s">
        <v>876</v>
      </c>
      <c r="F31" s="642" t="s">
        <v>878</v>
      </c>
      <c r="G31" s="642" t="s">
        <v>868</v>
      </c>
      <c r="H31" s="642" t="s">
        <v>869</v>
      </c>
      <c r="I31" s="642" t="s">
        <v>879</v>
      </c>
      <c r="J31" s="793">
        <v>40557</v>
      </c>
      <c r="K31" s="793">
        <v>40576</v>
      </c>
      <c r="L31" s="642" t="s">
        <v>871</v>
      </c>
      <c r="M31" s="642">
        <v>2000</v>
      </c>
      <c r="N31" s="642">
        <v>9000</v>
      </c>
      <c r="O31" s="642">
        <v>12857.142857142857</v>
      </c>
      <c r="P31" s="642">
        <v>25714.285714285717</v>
      </c>
      <c r="Q31" s="642">
        <v>0</v>
      </c>
      <c r="R31" s="642">
        <v>0</v>
      </c>
      <c r="S31" s="642">
        <v>0</v>
      </c>
      <c r="T31" s="642">
        <v>0</v>
      </c>
      <c r="U31" s="642">
        <v>0</v>
      </c>
      <c r="V31" s="642">
        <v>0</v>
      </c>
      <c r="W31" s="642">
        <v>0</v>
      </c>
      <c r="X31" s="642">
        <v>10</v>
      </c>
      <c r="Y31" s="642" t="s">
        <v>111</v>
      </c>
      <c r="Z31" s="644" t="s">
        <v>111</v>
      </c>
    </row>
    <row r="32" spans="1:26" s="596" customFormat="1" ht="25.5">
      <c r="A32" s="595"/>
      <c r="B32" s="794">
        <v>36019</v>
      </c>
      <c r="C32" s="794">
        <v>8840</v>
      </c>
      <c r="D32" s="643" t="s">
        <v>880</v>
      </c>
      <c r="E32" s="642"/>
      <c r="F32" s="642" t="s">
        <v>881</v>
      </c>
      <c r="G32" s="642" t="s">
        <v>882</v>
      </c>
      <c r="H32" s="642" t="s">
        <v>869</v>
      </c>
      <c r="I32" s="642" t="s">
        <v>883</v>
      </c>
      <c r="J32" s="793">
        <v>43025</v>
      </c>
      <c r="K32" s="793">
        <v>43025</v>
      </c>
      <c r="L32" s="642" t="s">
        <v>884</v>
      </c>
      <c r="M32" s="642">
        <v>1987</v>
      </c>
      <c r="N32" s="642">
        <v>8941.5</v>
      </c>
      <c r="O32" s="642">
        <v>12773.571428571429</v>
      </c>
      <c r="P32" s="642">
        <v>25547.142857142859</v>
      </c>
      <c r="Q32" s="642">
        <v>0</v>
      </c>
      <c r="R32" s="642">
        <v>0</v>
      </c>
      <c r="S32" s="642">
        <v>0</v>
      </c>
      <c r="T32" s="642">
        <v>0</v>
      </c>
      <c r="U32" s="642">
        <v>0</v>
      </c>
      <c r="V32" s="642">
        <v>0</v>
      </c>
      <c r="W32" s="642">
        <v>0</v>
      </c>
      <c r="X32" s="642">
        <v>10</v>
      </c>
      <c r="Y32" s="642" t="s">
        <v>111</v>
      </c>
      <c r="Z32" s="644" t="s">
        <v>111</v>
      </c>
    </row>
    <row r="33" spans="1:27" s="596" customFormat="1" ht="25.5">
      <c r="A33" s="595"/>
      <c r="B33" s="794">
        <v>36019</v>
      </c>
      <c r="C33" s="794">
        <v>8840</v>
      </c>
      <c r="D33" s="643" t="s">
        <v>885</v>
      </c>
      <c r="E33" s="642" t="s">
        <v>886</v>
      </c>
      <c r="F33" s="642" t="s">
        <v>887</v>
      </c>
      <c r="G33" s="642" t="s">
        <v>882</v>
      </c>
      <c r="H33" s="642" t="s">
        <v>869</v>
      </c>
      <c r="I33" s="642" t="s">
        <v>888</v>
      </c>
      <c r="J33" s="793">
        <v>43032</v>
      </c>
      <c r="K33" s="793">
        <v>43032</v>
      </c>
      <c r="L33" s="642" t="s">
        <v>884</v>
      </c>
      <c r="M33" s="642">
        <v>999</v>
      </c>
      <c r="N33" s="642">
        <v>4495.5</v>
      </c>
      <c r="O33" s="642">
        <v>6422.1428571428569</v>
      </c>
      <c r="P33" s="642">
        <v>12844.285714285716</v>
      </c>
      <c r="Q33" s="642">
        <v>0</v>
      </c>
      <c r="R33" s="642">
        <v>0</v>
      </c>
      <c r="S33" s="642">
        <v>0</v>
      </c>
      <c r="T33" s="642">
        <v>0</v>
      </c>
      <c r="U33" s="642">
        <v>0</v>
      </c>
      <c r="V33" s="642">
        <v>0</v>
      </c>
      <c r="W33" s="642">
        <v>0</v>
      </c>
      <c r="X33" s="642">
        <v>500</v>
      </c>
      <c r="Y33" s="642" t="s">
        <v>40</v>
      </c>
      <c r="Z33" s="644" t="s">
        <v>385</v>
      </c>
    </row>
    <row r="34" spans="1:27" s="576" customFormat="1">
      <c r="A34" s="598" t="s">
        <v>279</v>
      </c>
      <c r="B34" s="599"/>
      <c r="C34" s="599"/>
      <c r="D34" s="599"/>
      <c r="E34" s="599"/>
      <c r="F34" s="599"/>
      <c r="G34" s="599"/>
      <c r="H34" s="599"/>
      <c r="I34" s="599"/>
      <c r="J34" s="599"/>
      <c r="K34" s="599"/>
      <c r="L34" s="600"/>
      <c r="M34" s="600">
        <f>SUM(M28:M33)</f>
        <v>11215</v>
      </c>
      <c r="N34" s="600">
        <f>SUM(N28:N33)</f>
        <v>50467.5</v>
      </c>
      <c r="O34" s="600">
        <f>SUM(O28:O33)</f>
        <v>72096.428571428565</v>
      </c>
      <c r="P34" s="600">
        <f>SUM(P28:P33)</f>
        <v>140451.42857142858</v>
      </c>
      <c r="Q34" s="600">
        <f>SUM(Q28:Q33)</f>
        <v>3741.4285714285716</v>
      </c>
      <c r="R34" s="600">
        <f>SUM(R28:R33)</f>
        <v>0</v>
      </c>
      <c r="S34" s="600">
        <f>SUM(S28:S33)</f>
        <v>0</v>
      </c>
      <c r="T34" s="600">
        <f>SUM(T28:T33)</f>
        <v>0</v>
      </c>
      <c r="U34" s="600">
        <f>SUM(U28:U33)</f>
        <v>0</v>
      </c>
      <c r="V34" s="600">
        <f>SUM(V28:V33)</f>
        <v>0</v>
      </c>
      <c r="W34" s="600">
        <f>SUM(W28:W33)</f>
        <v>0</v>
      </c>
      <c r="X34" s="601"/>
      <c r="Y34" s="601"/>
      <c r="Z34" s="602"/>
    </row>
    <row r="35" spans="1:27" s="576" customFormat="1">
      <c r="A35" s="598" t="s">
        <v>286</v>
      </c>
      <c r="B35" s="599"/>
      <c r="C35" s="599"/>
      <c r="D35" s="599"/>
      <c r="E35" s="599"/>
      <c r="F35" s="599"/>
      <c r="G35" s="599"/>
      <c r="H35" s="599"/>
      <c r="I35" s="599"/>
      <c r="J35" s="599"/>
      <c r="K35" s="599"/>
      <c r="L35" s="600"/>
      <c r="M35" s="600">
        <f>SUMIF($Z$28:$Z$33,"industrie",M28:M33)</f>
        <v>1290</v>
      </c>
      <c r="N35" s="600">
        <f>SUMIF($Z$28:$Z$33,"industrie",N28:N33)</f>
        <v>5805</v>
      </c>
      <c r="O35" s="600">
        <f>SUMIF($Z$28:$Z$33,"industrie",O28:O33)</f>
        <v>8292.8571428571431</v>
      </c>
      <c r="P35" s="600">
        <f>SUMIF($Z$28:$Z$33,"industrie",P28:P33)</f>
        <v>12844.285714285716</v>
      </c>
      <c r="Q35" s="600">
        <f>SUMIF($Z$28:$Z$33,"industrie",Q28:Q33)</f>
        <v>3741.4285714285716</v>
      </c>
      <c r="R35" s="600">
        <f>SUMIF($Z$28:$Z$33,"industrie",R28:R33)</f>
        <v>0</v>
      </c>
      <c r="S35" s="600">
        <f>SUMIF($Z$28:$Z$33,"industrie",S28:S33)</f>
        <v>0</v>
      </c>
      <c r="T35" s="600">
        <f>SUMIF($Z$28:$Z$33,"industrie",T28:T33)</f>
        <v>0</v>
      </c>
      <c r="U35" s="600">
        <f>SUMIF($Z$28:$Z$33,"industrie",U28:U33)</f>
        <v>0</v>
      </c>
      <c r="V35" s="600">
        <f>SUMIF($Z$28:$Z$33,"industrie",V28:V33)</f>
        <v>0</v>
      </c>
      <c r="W35" s="600">
        <f>SUMIF($Z$28:$Z$33,"industrie",W28:W33)</f>
        <v>0</v>
      </c>
      <c r="X35" s="601"/>
      <c r="Y35" s="601"/>
      <c r="Z35" s="602"/>
    </row>
    <row r="36" spans="1:27" s="576" customFormat="1">
      <c r="A36" s="598" t="s">
        <v>287</v>
      </c>
      <c r="B36" s="599"/>
      <c r="C36" s="599"/>
      <c r="D36" s="599"/>
      <c r="E36" s="599"/>
      <c r="F36" s="599"/>
      <c r="G36" s="599"/>
      <c r="H36" s="599"/>
      <c r="I36" s="599"/>
      <c r="J36" s="599"/>
      <c r="K36" s="599"/>
      <c r="L36" s="600"/>
      <c r="M36" s="600">
        <f ca="1">SUMIF($Z$28:AC33,"tertiair",M28:M33)</f>
        <v>0</v>
      </c>
      <c r="N36" s="600">
        <f ca="1">SUMIF($Z$28:AD33,"tertiair",N28:N33)</f>
        <v>0</v>
      </c>
      <c r="O36" s="600">
        <f ca="1">SUMIF($Z$28:AE33,"tertiair",O28:O33)</f>
        <v>0</v>
      </c>
      <c r="P36" s="600">
        <f ca="1">SUMIF($Z$28:AF33,"tertiair",P28:P33)</f>
        <v>0</v>
      </c>
      <c r="Q36" s="600">
        <f ca="1">SUMIF($Z$28:AG33,"tertiair",Q28:Q33)</f>
        <v>0</v>
      </c>
      <c r="R36" s="600">
        <f ca="1">SUMIF($Z$28:AH33,"tertiair",R28:R33)</f>
        <v>0</v>
      </c>
      <c r="S36" s="600">
        <f ca="1">SUMIF($Z$28:AI33,"tertiair",S28:S33)</f>
        <v>0</v>
      </c>
      <c r="T36" s="600">
        <f ca="1">SUMIF($Z$28:AJ33,"tertiair",T28:T33)</f>
        <v>0</v>
      </c>
      <c r="U36" s="600">
        <f ca="1">SUMIF($Z$28:AK33,"tertiair",U28:U33)</f>
        <v>0</v>
      </c>
      <c r="V36" s="600">
        <f ca="1">SUMIF($Z$28:AL33,"tertiair",V28:V33)</f>
        <v>0</v>
      </c>
      <c r="W36" s="600">
        <f ca="1">SUMIF($Z$28:AM33,"tertiair",W28:W33)</f>
        <v>0</v>
      </c>
      <c r="X36" s="601"/>
      <c r="Y36" s="601"/>
      <c r="Z36" s="602"/>
    </row>
    <row r="37" spans="1:27" s="576" customFormat="1" ht="15.75" thickBot="1">
      <c r="A37" s="603" t="s">
        <v>288</v>
      </c>
      <c r="B37" s="604"/>
      <c r="C37" s="604"/>
      <c r="D37" s="604"/>
      <c r="E37" s="604"/>
      <c r="F37" s="604"/>
      <c r="G37" s="604"/>
      <c r="H37" s="604"/>
      <c r="I37" s="604"/>
      <c r="J37" s="604"/>
      <c r="K37" s="604"/>
      <c r="L37" s="605"/>
      <c r="M37" s="605">
        <f>SUMIF($Z$28:$Z$33,"landbouw",M28:M33)</f>
        <v>9925</v>
      </c>
      <c r="N37" s="605">
        <f>SUMIF($Z$28:$Z$33,"landbouw",N28:N33)</f>
        <v>44662.5</v>
      </c>
      <c r="O37" s="605">
        <f>SUMIF($Z$28:$Z$33,"landbouw",O28:O33)</f>
        <v>63803.571428571428</v>
      </c>
      <c r="P37" s="605">
        <f>SUMIF($Z$28:$Z$33,"landbouw",P28:P33)</f>
        <v>127607.14285714286</v>
      </c>
      <c r="Q37" s="605">
        <f>SUMIF($Z$28:$Z$33,"landbouw",Q28:Q33)</f>
        <v>0</v>
      </c>
      <c r="R37" s="605">
        <f>SUMIF($Z$28:$Z$33,"landbouw",R28:R33)</f>
        <v>0</v>
      </c>
      <c r="S37" s="605">
        <f>SUMIF($Z$28:$Z$33,"landbouw",S28:S33)</f>
        <v>0</v>
      </c>
      <c r="T37" s="605">
        <f>SUMIF($Z$28:$Z$33,"landbouw",T28:T33)</f>
        <v>0</v>
      </c>
      <c r="U37" s="605">
        <f>SUMIF($Z$28:$Z$33,"landbouw",U28:U33)</f>
        <v>0</v>
      </c>
      <c r="V37" s="605">
        <f>SUMIF($Z$28:$Z$33,"landbouw",V28:V33)</f>
        <v>0</v>
      </c>
      <c r="W37" s="605">
        <f>SUMIF($Z$28:$Z$33,"landbouw",W28:W33)</f>
        <v>0</v>
      </c>
      <c r="X37" s="606"/>
      <c r="Y37" s="606"/>
      <c r="Z37" s="607"/>
    </row>
    <row r="38" spans="1:27" s="537" customFormat="1" ht="15.75" thickBot="1">
      <c r="A38" s="608"/>
      <c r="B38" s="609"/>
      <c r="C38" s="609"/>
      <c r="D38" s="609"/>
      <c r="E38" s="609"/>
      <c r="F38" s="609"/>
      <c r="G38" s="609"/>
      <c r="H38" s="609"/>
      <c r="I38" s="609"/>
      <c r="J38" s="609"/>
      <c r="K38" s="609"/>
      <c r="L38" s="592"/>
      <c r="M38" s="592"/>
      <c r="N38" s="592"/>
      <c r="O38" s="593"/>
      <c r="P38" s="593"/>
    </row>
    <row r="39" spans="1:27" s="537" customFormat="1" ht="45">
      <c r="A39" s="610" t="s">
        <v>280</v>
      </c>
      <c r="B39" s="639" t="s">
        <v>89</v>
      </c>
      <c r="C39" s="639" t="s">
        <v>90</v>
      </c>
      <c r="D39" s="639" t="s">
        <v>91</v>
      </c>
      <c r="E39" s="639" t="s">
        <v>92</v>
      </c>
      <c r="F39" s="639" t="s">
        <v>93</v>
      </c>
      <c r="G39" s="639" t="s">
        <v>94</v>
      </c>
      <c r="H39" s="639" t="s">
        <v>95</v>
      </c>
      <c r="I39" s="639" t="s">
        <v>96</v>
      </c>
      <c r="J39" s="639" t="s">
        <v>97</v>
      </c>
      <c r="K39" s="639" t="s">
        <v>98</v>
      </c>
      <c r="L39" s="639" t="s">
        <v>99</v>
      </c>
      <c r="M39" s="640" t="s">
        <v>297</v>
      </c>
      <c r="N39" s="640" t="s">
        <v>100</v>
      </c>
      <c r="O39" s="640" t="s">
        <v>101</v>
      </c>
      <c r="P39" s="640" t="s">
        <v>525</v>
      </c>
      <c r="Q39" s="640" t="s">
        <v>102</v>
      </c>
      <c r="R39" s="640" t="s">
        <v>103</v>
      </c>
      <c r="S39" s="640" t="s">
        <v>104</v>
      </c>
      <c r="T39" s="640" t="s">
        <v>105</v>
      </c>
      <c r="U39" s="640" t="s">
        <v>106</v>
      </c>
      <c r="V39" s="640" t="s">
        <v>107</v>
      </c>
      <c r="W39" s="639" t="s">
        <v>108</v>
      </c>
      <c r="X39" s="639" t="s">
        <v>298</v>
      </c>
      <c r="Y39" s="639" t="s">
        <v>109</v>
      </c>
      <c r="Z39" s="641" t="s">
        <v>299</v>
      </c>
    </row>
    <row r="40" spans="1:27" s="611" customFormat="1" ht="12.75">
      <c r="A40" s="597"/>
      <c r="B40" s="794"/>
      <c r="C40" s="794"/>
      <c r="D40" s="645"/>
      <c r="E40" s="645"/>
      <c r="F40" s="645"/>
      <c r="G40" s="645"/>
      <c r="H40" s="645"/>
      <c r="I40" s="645"/>
      <c r="J40" s="793"/>
      <c r="K40" s="793"/>
      <c r="L40" s="645"/>
      <c r="M40" s="645"/>
      <c r="N40" s="645"/>
      <c r="O40" s="645"/>
      <c r="P40" s="645"/>
      <c r="Q40" s="645"/>
      <c r="R40" s="645"/>
      <c r="S40" s="645"/>
      <c r="T40" s="645"/>
      <c r="U40" s="645"/>
      <c r="V40" s="645"/>
      <c r="W40" s="645"/>
      <c r="X40" s="645"/>
      <c r="Y40" s="645"/>
      <c r="Z40" s="646"/>
    </row>
    <row r="41" spans="1:27" s="576" customFormat="1">
      <c r="A41" s="598" t="s">
        <v>279</v>
      </c>
      <c r="B41" s="599"/>
      <c r="C41" s="599"/>
      <c r="D41" s="599"/>
      <c r="E41" s="599"/>
      <c r="F41" s="599"/>
      <c r="G41" s="599"/>
      <c r="H41" s="599"/>
      <c r="I41" s="599"/>
      <c r="J41" s="599"/>
      <c r="K41" s="599"/>
      <c r="L41" s="600"/>
      <c r="M41" s="600">
        <f>SUM(M40:M40)</f>
        <v>0</v>
      </c>
      <c r="N41" s="600">
        <f>SUM(N40:N40)</f>
        <v>0</v>
      </c>
      <c r="O41" s="600">
        <f>SUM(O40:O40)</f>
        <v>0</v>
      </c>
      <c r="P41" s="600">
        <f>SUM(P40:P40)</f>
        <v>0</v>
      </c>
      <c r="Q41" s="600">
        <f>SUM(Q40:Q40)</f>
        <v>0</v>
      </c>
      <c r="R41" s="600">
        <f>SUM(R40:R40)</f>
        <v>0</v>
      </c>
      <c r="S41" s="600">
        <f>SUM(S40:S40)</f>
        <v>0</v>
      </c>
      <c r="T41" s="600">
        <f>SUM(T40:T40)</f>
        <v>0</v>
      </c>
      <c r="U41" s="600">
        <f>SUM(U40:U40)</f>
        <v>0</v>
      </c>
      <c r="V41" s="600">
        <f>SUM(V40:V40)</f>
        <v>0</v>
      </c>
      <c r="W41" s="600">
        <f>SUM(W40:W40)</f>
        <v>0</v>
      </c>
      <c r="X41" s="601"/>
      <c r="Y41" s="601"/>
      <c r="Z41" s="602"/>
    </row>
    <row r="42" spans="1:27" s="576" customFormat="1">
      <c r="A42" s="598" t="s">
        <v>286</v>
      </c>
      <c r="B42" s="599"/>
      <c r="C42" s="599"/>
      <c r="D42" s="599"/>
      <c r="E42" s="599"/>
      <c r="F42" s="599"/>
      <c r="G42" s="599"/>
      <c r="H42" s="599"/>
      <c r="I42" s="599"/>
      <c r="J42" s="599"/>
      <c r="K42" s="599"/>
      <c r="L42" s="600"/>
      <c r="M42" s="600">
        <f>SUMIF($Z$40:$Z$40,"industrie",M40:M40)</f>
        <v>0</v>
      </c>
      <c r="N42" s="600">
        <f>SUMIF($Z$40:$Z$40,"industrie",N40:N40)</f>
        <v>0</v>
      </c>
      <c r="O42" s="600">
        <f>SUMIF($Z$40:$Z$40,"industrie",O40:O40)</f>
        <v>0</v>
      </c>
      <c r="P42" s="600">
        <f>SUMIF($Z$40:$Z$40,"industrie",P40:P40)</f>
        <v>0</v>
      </c>
      <c r="Q42" s="600">
        <f>SUMIF($Z$40:$Z$40,"industrie",Q40:Q40)</f>
        <v>0</v>
      </c>
      <c r="R42" s="600">
        <f>SUMIF($Z$40:$Z$40,"industrie",R40:R40)</f>
        <v>0</v>
      </c>
      <c r="S42" s="600">
        <f>SUMIF($Z$40:$Z$40,"industrie",S40:S40)</f>
        <v>0</v>
      </c>
      <c r="T42" s="600">
        <f>SUMIF($Z$40:$Z$40,"industrie",T40:T40)</f>
        <v>0</v>
      </c>
      <c r="U42" s="600">
        <f>SUMIF($Z$40:$Z$40,"industrie",U40:U40)</f>
        <v>0</v>
      </c>
      <c r="V42" s="600">
        <f>SUMIF($Z$40:$Z$40,"industrie",V40:V40)</f>
        <v>0</v>
      </c>
      <c r="W42" s="600">
        <f>SUMIF($Z$40:$Z$40,"industrie",W40:W40)</f>
        <v>0</v>
      </c>
      <c r="X42" s="601"/>
      <c r="Y42" s="601"/>
      <c r="Z42" s="602"/>
    </row>
    <row r="43" spans="1:27" s="576" customFormat="1">
      <c r="A43" s="598" t="s">
        <v>287</v>
      </c>
      <c r="B43" s="599"/>
      <c r="C43" s="599"/>
      <c r="D43" s="599"/>
      <c r="E43" s="599"/>
      <c r="F43" s="599"/>
      <c r="G43" s="599"/>
      <c r="H43" s="599"/>
      <c r="I43" s="599"/>
      <c r="J43" s="599"/>
      <c r="K43" s="599"/>
      <c r="L43" s="600"/>
      <c r="M43" s="600">
        <f>SUMIF($Z$40:$Z$41,"tertiair",M40:M41)</f>
        <v>0</v>
      </c>
      <c r="N43" s="600">
        <f>SUMIF($Z$40:$Z$41,"tertiair",N40:N41)</f>
        <v>0</v>
      </c>
      <c r="O43" s="600">
        <f>SUMIF($Z$40:$Z$41,"tertiair",O40:O41)</f>
        <v>0</v>
      </c>
      <c r="P43" s="600">
        <f>SUMIF($Z$40:$Z$41,"tertiair",P40:P41)</f>
        <v>0</v>
      </c>
      <c r="Q43" s="600">
        <f>SUMIF($Z$40:$Z$41,"tertiair",Q40:Q41)</f>
        <v>0</v>
      </c>
      <c r="R43" s="600">
        <f>SUMIF($Z$40:$Z$41,"tertiair",R40:R41)</f>
        <v>0</v>
      </c>
      <c r="S43" s="600">
        <f>SUMIF($Z$40:$Z$41,"tertiair",S40:S41)</f>
        <v>0</v>
      </c>
      <c r="T43" s="600">
        <f>SUMIF($Z$40:$Z$41,"tertiair",T40:T41)</f>
        <v>0</v>
      </c>
      <c r="U43" s="600">
        <f>SUMIF($Z$40:$Z$41,"tertiair",U40:U41)</f>
        <v>0</v>
      </c>
      <c r="V43" s="600">
        <f>SUMIF($Z$40:$Z$41,"tertiair",V40:V41)</f>
        <v>0</v>
      </c>
      <c r="W43" s="600">
        <f>SUMIF($Z$40:$Z$41,"tertiair",W40:W41)</f>
        <v>0</v>
      </c>
      <c r="X43" s="601"/>
      <c r="Y43" s="601"/>
      <c r="Z43" s="602"/>
    </row>
    <row r="44" spans="1:27" s="576" customFormat="1" ht="15.75" thickBot="1">
      <c r="A44" s="603" t="s">
        <v>288</v>
      </c>
      <c r="B44" s="604"/>
      <c r="C44" s="604"/>
      <c r="D44" s="604"/>
      <c r="E44" s="604"/>
      <c r="F44" s="604"/>
      <c r="G44" s="604"/>
      <c r="H44" s="604"/>
      <c r="I44" s="604"/>
      <c r="J44" s="604"/>
      <c r="K44" s="604"/>
      <c r="L44" s="605"/>
      <c r="M44" s="605">
        <f>SUMIF($Z$40:$Z$42,"landbouw",M40:M42)</f>
        <v>0</v>
      </c>
      <c r="N44" s="605">
        <f>SUMIF($Z$40:$Z$42,"landbouw",N40:N42)</f>
        <v>0</v>
      </c>
      <c r="O44" s="605">
        <f>SUMIF($Z$40:$Z$42,"landbouw",O40:O42)</f>
        <v>0</v>
      </c>
      <c r="P44" s="605">
        <f>SUMIF($Z$40:$Z$42,"landbouw",P40:P42)</f>
        <v>0</v>
      </c>
      <c r="Q44" s="605">
        <f>SUMIF($Z$40:$Z$42,"landbouw",Q40:Q42)</f>
        <v>0</v>
      </c>
      <c r="R44" s="605">
        <f>SUMIF($Z$40:$Z$42,"landbouw",R40:R42)</f>
        <v>0</v>
      </c>
      <c r="S44" s="605">
        <f>SUMIF($Z$40:$Z$42,"landbouw",S40:S42)</f>
        <v>0</v>
      </c>
      <c r="T44" s="605">
        <f>SUMIF($Z$40:$Z$42,"landbouw",T40:T42)</f>
        <v>0</v>
      </c>
      <c r="U44" s="605">
        <f>SUMIF($Z$40:$Z$42,"landbouw",U40:U42)</f>
        <v>0</v>
      </c>
      <c r="V44" s="605">
        <f>SUMIF($Z$40:$Z$42,"landbouw",V40:V42)</f>
        <v>0</v>
      </c>
      <c r="W44" s="605">
        <f>SUMIF($Z$40:$Z$42,"landbouw",W40:W42)</f>
        <v>0</v>
      </c>
      <c r="X44" s="606"/>
      <c r="Y44" s="606"/>
      <c r="Z44" s="607"/>
    </row>
    <row r="45" spans="1:27" s="612" customFormat="1">
      <c r="A45" s="608"/>
      <c r="B45" s="592"/>
      <c r="C45" s="592"/>
      <c r="D45" s="592"/>
      <c r="E45" s="592"/>
      <c r="F45" s="592"/>
      <c r="G45" s="592"/>
      <c r="H45" s="592"/>
      <c r="I45" s="592"/>
      <c r="J45" s="592"/>
      <c r="K45" s="592"/>
      <c r="L45" s="592"/>
      <c r="M45" s="592"/>
      <c r="N45" s="592"/>
      <c r="O45" s="592"/>
      <c r="P45" s="592"/>
      <c r="Q45" s="592"/>
      <c r="R45" s="592"/>
      <c r="S45" s="592"/>
      <c r="T45" s="592"/>
      <c r="U45" s="592"/>
      <c r="V45" s="592"/>
      <c r="W45" s="592"/>
      <c r="X45" s="592"/>
      <c r="Y45" s="592"/>
    </row>
    <row r="46" spans="1:27" s="612" customFormat="1" ht="15.75" thickBot="1">
      <c r="A46" s="608"/>
      <c r="B46" s="592"/>
      <c r="C46" s="592"/>
      <c r="D46" s="592"/>
      <c r="E46" s="592"/>
      <c r="F46" s="592"/>
      <c r="G46" s="592"/>
      <c r="H46" s="592"/>
      <c r="I46" s="592"/>
      <c r="J46" s="592"/>
      <c r="K46" s="592"/>
      <c r="L46" s="592"/>
      <c r="M46" s="592"/>
      <c r="N46" s="592"/>
      <c r="O46" s="592"/>
      <c r="P46" s="592"/>
      <c r="Q46" s="592"/>
      <c r="R46" s="592"/>
      <c r="S46" s="592"/>
      <c r="T46" s="592"/>
      <c r="U46" s="592"/>
      <c r="V46" s="592"/>
      <c r="W46" s="592"/>
      <c r="X46" s="592"/>
      <c r="Y46" s="592"/>
      <c r="Z46" s="592"/>
      <c r="AA46" s="592"/>
    </row>
    <row r="47" spans="1:27">
      <c r="A47" s="613" t="s">
        <v>281</v>
      </c>
      <c r="B47" s="614"/>
      <c r="C47" s="614"/>
      <c r="D47" s="614"/>
      <c r="E47" s="614"/>
      <c r="F47" s="614"/>
      <c r="G47" s="614"/>
      <c r="H47" s="614"/>
      <c r="I47" s="615"/>
      <c r="J47" s="616"/>
      <c r="K47" s="616"/>
      <c r="L47" s="617"/>
      <c r="M47" s="617"/>
      <c r="N47" s="617"/>
      <c r="O47" s="617"/>
      <c r="P47" s="617"/>
    </row>
    <row r="48" spans="1:27">
      <c r="A48" s="619"/>
      <c r="B48" s="609"/>
      <c r="C48" s="609"/>
      <c r="D48" s="609"/>
      <c r="E48" s="609"/>
      <c r="F48" s="609"/>
      <c r="G48" s="609"/>
      <c r="H48" s="609"/>
      <c r="I48" s="620"/>
      <c r="J48" s="609"/>
      <c r="K48" s="609"/>
      <c r="L48" s="617"/>
      <c r="M48" s="617"/>
      <c r="N48" s="617"/>
      <c r="O48" s="617"/>
      <c r="P48" s="617"/>
    </row>
    <row r="49" spans="1:16">
      <c r="A49" s="621"/>
      <c r="B49" s="622" t="s">
        <v>282</v>
      </c>
      <c r="C49" s="622" t="s">
        <v>283</v>
      </c>
      <c r="D49" s="622"/>
      <c r="E49" s="622"/>
      <c r="F49" s="622"/>
      <c r="G49" s="622"/>
      <c r="H49" s="622"/>
      <c r="I49" s="623"/>
      <c r="J49" s="622"/>
      <c r="K49" s="622"/>
      <c r="L49" s="622"/>
      <c r="M49" s="622"/>
      <c r="N49" s="622"/>
      <c r="O49" s="622"/>
      <c r="P49" s="617"/>
    </row>
    <row r="50" spans="1:16">
      <c r="A50" s="619" t="s">
        <v>279</v>
      </c>
      <c r="B50" s="624">
        <f>IF(ISERROR(O34/(O34+N34)),0,O34/(O34+N34))</f>
        <v>0.58823529411764708</v>
      </c>
      <c r="C50" s="625">
        <f>IF(ISERROR(N34/(O34+N34)),0,N34/(N34+O34))</f>
        <v>0.41176470588235298</v>
      </c>
      <c r="D50" s="592"/>
      <c r="E50" s="592"/>
      <c r="F50" s="592"/>
      <c r="G50" s="592"/>
      <c r="H50" s="592"/>
      <c r="I50" s="626"/>
      <c r="J50" s="592"/>
      <c r="K50" s="592"/>
      <c r="L50" s="627"/>
      <c r="M50" s="627"/>
      <c r="N50" s="627"/>
      <c r="O50" s="627"/>
      <c r="P50" s="617"/>
    </row>
    <row r="51" spans="1:16">
      <c r="A51" s="619"/>
      <c r="B51" s="628"/>
      <c r="C51" s="628"/>
      <c r="D51" s="628"/>
      <c r="E51" s="628"/>
      <c r="F51" s="628"/>
      <c r="G51" s="628"/>
      <c r="H51" s="628"/>
      <c r="I51" s="629"/>
      <c r="J51" s="628"/>
      <c r="K51" s="628"/>
      <c r="L51" s="630"/>
      <c r="M51" s="630"/>
      <c r="N51" s="630"/>
      <c r="O51" s="630"/>
      <c r="P51" s="617"/>
    </row>
    <row r="52" spans="1:16" ht="30">
      <c r="A52" s="631"/>
      <c r="B52" s="632" t="s">
        <v>525</v>
      </c>
      <c r="C52" s="632" t="s">
        <v>102</v>
      </c>
      <c r="D52" s="632" t="s">
        <v>103</v>
      </c>
      <c r="E52" s="632" t="s">
        <v>104</v>
      </c>
      <c r="F52" s="632" t="s">
        <v>105</v>
      </c>
      <c r="G52" s="632" t="s">
        <v>106</v>
      </c>
      <c r="H52" s="632" t="s">
        <v>107</v>
      </c>
      <c r="I52" s="633" t="s">
        <v>108</v>
      </c>
      <c r="J52" s="622"/>
      <c r="K52" s="622"/>
      <c r="L52" s="630"/>
      <c r="M52" s="630"/>
      <c r="N52" s="630"/>
      <c r="O52" s="617"/>
      <c r="P52" s="617"/>
    </row>
    <row r="53" spans="1:16">
      <c r="A53" s="621" t="s">
        <v>284</v>
      </c>
      <c r="B53" s="634">
        <f t="shared" ref="B53:I53" si="2">$C$50*P34</f>
        <v>57832.941176470595</v>
      </c>
      <c r="C53" s="634">
        <f t="shared" si="2"/>
        <v>1540.5882352941178</v>
      </c>
      <c r="D53" s="634">
        <f t="shared" si="2"/>
        <v>0</v>
      </c>
      <c r="E53" s="634">
        <f t="shared" si="2"/>
        <v>0</v>
      </c>
      <c r="F53" s="634">
        <f t="shared" si="2"/>
        <v>0</v>
      </c>
      <c r="G53" s="634">
        <f t="shared" si="2"/>
        <v>0</v>
      </c>
      <c r="H53" s="634">
        <f t="shared" si="2"/>
        <v>0</v>
      </c>
      <c r="I53" s="635">
        <f t="shared" si="2"/>
        <v>0</v>
      </c>
      <c r="J53" s="592"/>
      <c r="K53" s="592"/>
      <c r="L53" s="630"/>
      <c r="M53" s="630"/>
      <c r="N53" s="630"/>
      <c r="O53" s="617"/>
      <c r="P53" s="617"/>
    </row>
    <row r="54" spans="1:16" ht="15.75" thickBot="1">
      <c r="A54" s="636" t="s">
        <v>285</v>
      </c>
      <c r="B54" s="637">
        <f t="shared" ref="B54:I54" si="3">$B$50*P34</f>
        <v>82618.487394957992</v>
      </c>
      <c r="C54" s="637">
        <f t="shared" si="3"/>
        <v>2200.840336134454</v>
      </c>
      <c r="D54" s="637">
        <f t="shared" si="3"/>
        <v>0</v>
      </c>
      <c r="E54" s="637">
        <f t="shared" si="3"/>
        <v>0</v>
      </c>
      <c r="F54" s="637">
        <f t="shared" si="3"/>
        <v>0</v>
      </c>
      <c r="G54" s="637">
        <f t="shared" si="3"/>
        <v>0</v>
      </c>
      <c r="H54" s="637">
        <f t="shared" si="3"/>
        <v>0</v>
      </c>
      <c r="I54" s="638">
        <f t="shared" si="3"/>
        <v>0</v>
      </c>
      <c r="J54" s="592"/>
      <c r="K54" s="592"/>
      <c r="L54" s="630"/>
      <c r="M54" s="630"/>
      <c r="N54" s="630"/>
      <c r="O54" s="617"/>
      <c r="P54" s="617"/>
    </row>
    <row r="55" spans="1:16">
      <c r="J55" s="572"/>
      <c r="K55" s="572"/>
      <c r="L55" s="572"/>
      <c r="M55" s="572"/>
      <c r="N55" s="572"/>
    </row>
    <row r="56" spans="1:16">
      <c r="J56" s="572"/>
      <c r="K56" s="572"/>
      <c r="L56" s="572"/>
      <c r="M56" s="572"/>
      <c r="N56" s="572"/>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8" sqref="B18"/>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5" t="s">
        <v>403</v>
      </c>
      <c r="B1" s="355" t="s">
        <v>410</v>
      </c>
      <c r="C1" s="355" t="s">
        <v>409</v>
      </c>
      <c r="D1" s="355" t="s">
        <v>408</v>
      </c>
      <c r="E1" s="356" t="s">
        <v>404</v>
      </c>
      <c r="F1" s="357" t="s">
        <v>405</v>
      </c>
      <c r="G1" s="357" t="s">
        <v>406</v>
      </c>
      <c r="H1" s="357" t="s">
        <v>407</v>
      </c>
    </row>
    <row r="2" spans="1:8" s="11" customFormat="1">
      <c r="A2" s="1060" t="s">
        <v>804</v>
      </c>
      <c r="B2" s="1061" t="s">
        <v>805</v>
      </c>
      <c r="C2" s="1060" t="s">
        <v>642</v>
      </c>
      <c r="D2" s="1060" t="s">
        <v>806</v>
      </c>
      <c r="E2" s="351"/>
      <c r="F2" s="900" t="s">
        <v>682</v>
      </c>
      <c r="G2" s="900" t="s">
        <v>681</v>
      </c>
      <c r="H2" s="900" t="s">
        <v>683</v>
      </c>
    </row>
    <row r="3" spans="1:8" s="11" customFormat="1">
      <c r="A3" s="1060" t="s">
        <v>802</v>
      </c>
      <c r="B3" s="1061" t="s">
        <v>801</v>
      </c>
      <c r="C3" s="1060" t="s">
        <v>192</v>
      </c>
      <c r="D3" s="1062" t="s">
        <v>803</v>
      </c>
      <c r="E3" s="351"/>
      <c r="F3" s="900" t="s">
        <v>682</v>
      </c>
      <c r="G3" s="900" t="s">
        <v>681</v>
      </c>
      <c r="H3" s="900" t="s">
        <v>683</v>
      </c>
    </row>
    <row r="4" spans="1:8" s="11" customFormat="1">
      <c r="A4" s="350" t="s">
        <v>396</v>
      </c>
      <c r="B4" s="801" t="s">
        <v>853</v>
      </c>
      <c r="C4" s="350" t="s">
        <v>396</v>
      </c>
      <c r="D4" s="350" t="s">
        <v>689</v>
      </c>
      <c r="E4" s="351"/>
      <c r="F4" s="900" t="s">
        <v>678</v>
      </c>
      <c r="G4" s="900" t="s">
        <v>679</v>
      </c>
      <c r="H4" s="900" t="s">
        <v>680</v>
      </c>
    </row>
    <row r="5" spans="1:8">
      <c r="A5" s="345" t="s">
        <v>781</v>
      </c>
      <c r="B5" s="896" t="s">
        <v>810</v>
      </c>
      <c r="C5" s="345" t="s">
        <v>781</v>
      </c>
      <c r="D5" s="345" t="s">
        <v>690</v>
      </c>
      <c r="E5" s="347"/>
      <c r="F5" s="348"/>
      <c r="G5" s="348"/>
      <c r="H5" s="349"/>
    </row>
    <row r="6" spans="1:8">
      <c r="A6" s="350" t="s">
        <v>420</v>
      </c>
      <c r="B6" s="353" t="s">
        <v>421</v>
      </c>
      <c r="C6" s="350" t="s">
        <v>423</v>
      </c>
      <c r="D6" s="350" t="s">
        <v>419</v>
      </c>
      <c r="E6" s="347" t="s">
        <v>422</v>
      </c>
      <c r="F6" s="348"/>
      <c r="G6" s="348"/>
      <c r="H6" s="349"/>
    </row>
    <row r="7" spans="1:8" s="11" customFormat="1">
      <c r="A7" s="350" t="s">
        <v>684</v>
      </c>
      <c r="B7" s="801">
        <v>2019</v>
      </c>
      <c r="C7" s="350" t="s">
        <v>396</v>
      </c>
      <c r="D7" s="350" t="s">
        <v>852</v>
      </c>
      <c r="E7" s="351" t="s">
        <v>685</v>
      </c>
      <c r="F7" s="900"/>
      <c r="G7" s="900"/>
      <c r="H7" s="1074"/>
    </row>
    <row r="8" spans="1:8" s="890" customFormat="1">
      <c r="A8" s="350" t="s">
        <v>695</v>
      </c>
      <c r="B8" s="801">
        <v>2017</v>
      </c>
      <c r="C8" s="350" t="s">
        <v>697</v>
      </c>
      <c r="D8" s="350" t="s">
        <v>696</v>
      </c>
      <c r="E8" s="352" t="s">
        <v>694</v>
      </c>
      <c r="F8" s="348"/>
      <c r="G8" s="348"/>
      <c r="H8" s="349"/>
    </row>
    <row r="9" spans="1:8" s="11" customFormat="1">
      <c r="A9" s="350" t="s">
        <v>618</v>
      </c>
      <c r="B9" s="801" t="s">
        <v>811</v>
      </c>
      <c r="C9" s="350" t="s">
        <v>619</v>
      </c>
      <c r="D9" s="350" t="s">
        <v>620</v>
      </c>
      <c r="E9" s="351"/>
      <c r="F9" s="900" t="s">
        <v>814</v>
      </c>
      <c r="G9" s="900"/>
      <c r="H9" s="1059" t="s">
        <v>815</v>
      </c>
    </row>
    <row r="10" spans="1:8">
      <c r="A10" s="345" t="s">
        <v>673</v>
      </c>
      <c r="B10" s="896" t="s">
        <v>703</v>
      </c>
      <c r="C10" s="345" t="s">
        <v>674</v>
      </c>
      <c r="D10" s="345" t="s">
        <v>757</v>
      </c>
      <c r="E10" s="688"/>
      <c r="F10" s="348" t="s">
        <v>677</v>
      </c>
      <c r="G10" s="348" t="s">
        <v>675</v>
      </c>
      <c r="H10" s="349" t="s">
        <v>676</v>
      </c>
    </row>
    <row r="11" spans="1:8" s="890" customFormat="1">
      <c r="A11" s="350" t="s">
        <v>688</v>
      </c>
      <c r="B11" s="801">
        <v>2017</v>
      </c>
      <c r="C11" s="350" t="s">
        <v>414</v>
      </c>
      <c r="D11" s="350" t="s">
        <v>687</v>
      </c>
      <c r="E11" s="347"/>
      <c r="F11" s="348" t="s">
        <v>686</v>
      </c>
      <c r="G11" s="348" t="s">
        <v>691</v>
      </c>
      <c r="H11" s="349" t="s">
        <v>692</v>
      </c>
    </row>
    <row r="12" spans="1:8" s="10" customFormat="1">
      <c r="A12" s="350" t="s">
        <v>398</v>
      </c>
      <c r="B12" s="346" t="s">
        <v>413</v>
      </c>
      <c r="C12" s="345"/>
      <c r="D12" s="354" t="s">
        <v>412</v>
      </c>
      <c r="E12" s="347"/>
      <c r="F12" s="348"/>
      <c r="G12" s="348"/>
      <c r="H12" s="349"/>
    </row>
    <row r="13" spans="1:8">
      <c r="A13" s="345" t="s">
        <v>391</v>
      </c>
      <c r="B13" s="346" t="s">
        <v>817</v>
      </c>
      <c r="C13" s="345" t="s">
        <v>668</v>
      </c>
      <c r="D13" s="345" t="s">
        <v>812</v>
      </c>
      <c r="E13" s="352" t="s">
        <v>392</v>
      </c>
      <c r="F13" s="348" t="s">
        <v>393</v>
      </c>
      <c r="G13" s="348" t="s">
        <v>785</v>
      </c>
      <c r="H13" s="348" t="s">
        <v>394</v>
      </c>
    </row>
    <row r="14" spans="1:8" s="11" customFormat="1">
      <c r="A14" s="350" t="s">
        <v>397</v>
      </c>
      <c r="B14" s="1078" t="s">
        <v>782</v>
      </c>
      <c r="C14" s="350" t="s">
        <v>397</v>
      </c>
      <c r="D14" s="350" t="s">
        <v>411</v>
      </c>
      <c r="E14" s="351"/>
      <c r="F14" s="900" t="s">
        <v>707</v>
      </c>
      <c r="G14" s="900" t="s">
        <v>786</v>
      </c>
      <c r="H14" s="900" t="s">
        <v>711</v>
      </c>
    </row>
    <row r="15" spans="1:8" s="11" customFormat="1">
      <c r="A15" s="350" t="s">
        <v>497</v>
      </c>
      <c r="B15" s="353" t="s">
        <v>859</v>
      </c>
      <c r="C15" s="350" t="s">
        <v>704</v>
      </c>
      <c r="D15" s="1079" t="s">
        <v>858</v>
      </c>
      <c r="E15" s="351" t="s">
        <v>377</v>
      </c>
      <c r="F15" s="900" t="s">
        <v>669</v>
      </c>
      <c r="G15" s="900" t="s">
        <v>671</v>
      </c>
      <c r="H15" s="1074" t="s">
        <v>672</v>
      </c>
    </row>
    <row r="16" spans="1:8" s="11" customFormat="1">
      <c r="A16" s="350" t="s">
        <v>497</v>
      </c>
      <c r="B16" s="353" t="s">
        <v>857</v>
      </c>
      <c r="C16" s="350" t="s">
        <v>704</v>
      </c>
      <c r="D16" s="1079" t="s">
        <v>860</v>
      </c>
      <c r="E16" s="351"/>
      <c r="F16" s="900" t="s">
        <v>669</v>
      </c>
      <c r="G16" s="900" t="s">
        <v>671</v>
      </c>
      <c r="H16" s="1074" t="s">
        <v>672</v>
      </c>
    </row>
    <row r="17" spans="1:8" s="11" customFormat="1">
      <c r="A17" s="350" t="s">
        <v>496</v>
      </c>
      <c r="B17" s="353" t="s">
        <v>811</v>
      </c>
      <c r="C17" s="350" t="s">
        <v>414</v>
      </c>
      <c r="D17" s="350" t="s">
        <v>813</v>
      </c>
      <c r="E17" s="1073" t="s">
        <v>670</v>
      </c>
      <c r="F17" s="900" t="s">
        <v>669</v>
      </c>
      <c r="G17" s="900" t="s">
        <v>671</v>
      </c>
      <c r="H17" s="1074" t="s">
        <v>672</v>
      </c>
    </row>
    <row r="18" spans="1:8">
      <c r="A18" s="350" t="s">
        <v>192</v>
      </c>
      <c r="B18" s="801" t="s">
        <v>810</v>
      </c>
      <c r="C18" s="350" t="s">
        <v>415</v>
      </c>
      <c r="D18" s="350" t="s">
        <v>816</v>
      </c>
      <c r="E18" s="347"/>
      <c r="F18" s="348" t="s">
        <v>416</v>
      </c>
      <c r="G18" s="348" t="s">
        <v>417</v>
      </c>
      <c r="H18" s="349" t="s">
        <v>418</v>
      </c>
    </row>
    <row r="19" spans="1:8" s="1056" customFormat="1">
      <c r="A19" s="1063" t="s">
        <v>807</v>
      </c>
      <c r="B19" s="1064" t="s">
        <v>801</v>
      </c>
      <c r="C19" s="1063" t="s">
        <v>192</v>
      </c>
      <c r="D19" s="1063" t="s">
        <v>808</v>
      </c>
      <c r="E19" s="1057"/>
      <c r="F19" s="1058"/>
      <c r="G19" s="1058"/>
      <c r="H19" s="1059"/>
    </row>
    <row r="20" spans="1:8" s="11" customFormat="1">
      <c r="A20" s="350" t="s">
        <v>397</v>
      </c>
      <c r="B20" s="801" t="s">
        <v>853</v>
      </c>
      <c r="C20" s="350" t="s">
        <v>397</v>
      </c>
      <c r="D20" s="350" t="s">
        <v>855</v>
      </c>
      <c r="E20" s="351"/>
      <c r="F20" s="900" t="s">
        <v>706</v>
      </c>
      <c r="G20" s="900" t="s">
        <v>787</v>
      </c>
      <c r="H20" s="1074" t="s">
        <v>710</v>
      </c>
    </row>
    <row r="21" spans="1:8" s="11" customFormat="1">
      <c r="A21" s="350" t="s">
        <v>397</v>
      </c>
      <c r="B21" s="801" t="s">
        <v>817</v>
      </c>
      <c r="C21" s="350" t="s">
        <v>397</v>
      </c>
      <c r="D21" s="350" t="s">
        <v>854</v>
      </c>
      <c r="E21" s="351"/>
      <c r="F21" s="900" t="s">
        <v>706</v>
      </c>
      <c r="G21" s="900" t="s">
        <v>787</v>
      </c>
      <c r="H21" s="1074" t="s">
        <v>710</v>
      </c>
    </row>
    <row r="22" spans="1:8" s="11" customFormat="1">
      <c r="A22" s="350" t="s">
        <v>397</v>
      </c>
      <c r="B22" s="801" t="s">
        <v>861</v>
      </c>
      <c r="C22" s="350" t="s">
        <v>397</v>
      </c>
      <c r="D22" s="350" t="s">
        <v>705</v>
      </c>
      <c r="E22" s="351"/>
      <c r="F22" s="900" t="s">
        <v>783</v>
      </c>
      <c r="G22" s="900" t="s">
        <v>788</v>
      </c>
      <c r="H22" s="1074" t="s">
        <v>784</v>
      </c>
    </row>
    <row r="23" spans="1:8" s="11" customFormat="1">
      <c r="A23" s="350" t="s">
        <v>397</v>
      </c>
      <c r="B23" s="1078" t="s">
        <v>856</v>
      </c>
      <c r="C23" s="350" t="s">
        <v>397</v>
      </c>
      <c r="D23" s="350" t="s">
        <v>644</v>
      </c>
      <c r="E23" s="351"/>
      <c r="F23" s="900" t="s">
        <v>709</v>
      </c>
      <c r="G23" s="900" t="s">
        <v>789</v>
      </c>
      <c r="H23" s="900" t="s">
        <v>708</v>
      </c>
    </row>
    <row r="24" spans="1:8" s="11" customFormat="1">
      <c r="A24" s="350" t="s">
        <v>397</v>
      </c>
      <c r="B24" s="1078" t="s">
        <v>856</v>
      </c>
      <c r="C24" s="350" t="s">
        <v>397</v>
      </c>
      <c r="D24" s="1079" t="s">
        <v>623</v>
      </c>
      <c r="E24" s="351"/>
      <c r="F24" s="900" t="s">
        <v>709</v>
      </c>
      <c r="G24" s="900" t="s">
        <v>789</v>
      </c>
      <c r="H24" s="1074" t="s">
        <v>708</v>
      </c>
    </row>
    <row r="27" spans="1:8">
      <c r="F27" s="890"/>
    </row>
    <row r="28" spans="1:8">
      <c r="G28" s="890"/>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0"/>
  <sheetViews>
    <sheetView topLeftCell="D1" workbookViewId="0">
      <selection activeCell="D10" sqref="D1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1" t="s">
        <v>608</v>
      </c>
      <c r="B1" s="901" t="s">
        <v>609</v>
      </c>
      <c r="C1" s="901" t="s">
        <v>611</v>
      </c>
      <c r="D1" s="901" t="s">
        <v>610</v>
      </c>
    </row>
    <row r="2" spans="1:4" s="891" customFormat="1">
      <c r="A2" s="1022" t="s">
        <v>792</v>
      </c>
      <c r="B2" s="911">
        <v>43944</v>
      </c>
      <c r="C2" s="1068" t="s">
        <v>831</v>
      </c>
      <c r="D2" s="1071" t="s">
        <v>824</v>
      </c>
    </row>
    <row r="3" spans="1:4" s="891" customFormat="1">
      <c r="A3" s="1022" t="s">
        <v>792</v>
      </c>
      <c r="B3" s="1069">
        <v>43944</v>
      </c>
      <c r="C3" s="1067" t="s">
        <v>829</v>
      </c>
      <c r="D3" s="1070" t="s">
        <v>825</v>
      </c>
    </row>
    <row r="4" spans="1:4" s="891" customFormat="1">
      <c r="A4" s="1022" t="s">
        <v>792</v>
      </c>
      <c r="B4" s="1069">
        <v>43944</v>
      </c>
      <c r="C4" s="1068" t="s">
        <v>830</v>
      </c>
      <c r="D4" s="1072" t="s">
        <v>826</v>
      </c>
    </row>
    <row r="5" spans="1:4" s="891" customFormat="1">
      <c r="A5" s="1022" t="s">
        <v>792</v>
      </c>
      <c r="B5" s="1069">
        <v>43944</v>
      </c>
      <c r="C5" s="1068" t="s">
        <v>828</v>
      </c>
      <c r="D5" s="1070" t="s">
        <v>827</v>
      </c>
    </row>
    <row r="6" spans="1:4" s="891" customFormat="1">
      <c r="A6" s="1022" t="s">
        <v>792</v>
      </c>
      <c r="B6" s="926">
        <v>43951</v>
      </c>
      <c r="C6" s="1068" t="s">
        <v>834</v>
      </c>
      <c r="D6" s="1068" t="s">
        <v>832</v>
      </c>
    </row>
    <row r="7" spans="1:4" s="891" customFormat="1">
      <c r="A7" s="1022" t="s">
        <v>792</v>
      </c>
      <c r="B7" s="926">
        <v>43943</v>
      </c>
      <c r="C7" s="1068" t="s">
        <v>833</v>
      </c>
      <c r="D7" s="1070" t="s">
        <v>835</v>
      </c>
    </row>
    <row r="8" spans="1:4" s="891" customFormat="1">
      <c r="A8" s="1022" t="s">
        <v>792</v>
      </c>
      <c r="B8" s="926">
        <v>43943</v>
      </c>
      <c r="C8" s="1068" t="s">
        <v>847</v>
      </c>
      <c r="D8" s="930" t="s">
        <v>836</v>
      </c>
    </row>
    <row r="9" spans="1:4" s="7" customFormat="1">
      <c r="A9" s="1022" t="s">
        <v>792</v>
      </c>
      <c r="B9" s="926">
        <v>43951</v>
      </c>
      <c r="C9" s="1075" t="s">
        <v>846</v>
      </c>
      <c r="D9" s="930" t="s">
        <v>845</v>
      </c>
    </row>
    <row r="10" spans="1:4" s="7" customFormat="1">
      <c r="A10" s="1022" t="s">
        <v>792</v>
      </c>
      <c r="B10" s="911">
        <v>43965</v>
      </c>
      <c r="C10" s="911" t="s">
        <v>848</v>
      </c>
      <c r="D10" s="930" t="s">
        <v>849</v>
      </c>
    </row>
    <row r="11" spans="1:4" s="7" customFormat="1">
      <c r="A11" s="1022"/>
      <c r="B11" s="911"/>
      <c r="C11" s="911"/>
      <c r="D11" s="927"/>
    </row>
    <row r="12" spans="1:4" s="7" customFormat="1">
      <c r="A12" s="1022"/>
      <c r="B12" s="911"/>
      <c r="C12" s="911"/>
      <c r="D12" s="927"/>
    </row>
    <row r="13" spans="1:4" s="7" customFormat="1">
      <c r="A13" s="1022"/>
      <c r="B13" s="911"/>
      <c r="C13" s="911"/>
      <c r="D13" s="927"/>
    </row>
    <row r="14" spans="1:4" s="7" customFormat="1">
      <c r="A14" s="1022"/>
      <c r="B14" s="911"/>
      <c r="C14" s="911"/>
      <c r="D14" s="927"/>
    </row>
    <row r="15" spans="1:4" s="7" customFormat="1">
      <c r="A15" s="1022"/>
      <c r="B15" s="911"/>
      <c r="C15" s="911"/>
      <c r="D15" s="927"/>
    </row>
    <row r="16" spans="1:4" s="7" customFormat="1">
      <c r="A16" s="1022"/>
      <c r="B16" s="911"/>
      <c r="C16" s="911"/>
      <c r="D16" s="930"/>
    </row>
    <row r="17" spans="1:4" s="7" customFormat="1">
      <c r="A17" s="1022"/>
      <c r="B17" s="1053"/>
      <c r="C17" s="1053"/>
      <c r="D17" s="1052"/>
    </row>
    <row r="18" spans="1:4" s="7" customFormat="1">
      <c r="A18" s="1022"/>
      <c r="B18" s="1053"/>
      <c r="C18" s="1053"/>
      <c r="D18" s="1052"/>
    </row>
    <row r="19" spans="1:4" s="7" customFormat="1">
      <c r="B19" s="898"/>
      <c r="C19" s="911"/>
      <c r="D19" s="927"/>
    </row>
    <row r="20" spans="1:4" s="7" customFormat="1">
      <c r="B20" s="898"/>
      <c r="D20" s="899"/>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2020-06-20T15:23:06Z</dcterms:modified>
</cp:coreProperties>
</file>