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0" i="13"/>
  <c r="C12" i="13" s="1"/>
  <c r="D41" i="14" s="1"/>
  <c r="D46" i="14" s="1"/>
  <c r="D61" i="14" s="1"/>
  <c r="D63" i="14" s="1"/>
  <c r="C17" i="19"/>
  <c r="C19" i="19" s="1"/>
  <c r="D39" i="14" s="1"/>
  <c r="C10" i="17"/>
  <c r="C12" i="17" s="1"/>
  <c r="D54" i="14" s="1"/>
  <c r="D56" i="14" s="1"/>
  <c r="C22" i="5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<sst xmlns="http://schemas.openxmlformats.org/spreadsheetml/2006/main" count="2384" uniqueCount="874">
  <si>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</si>
  <si>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</si>
  <si>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</si>
  <si>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</si>
  <si>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</si>
  <si>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</si>
  <si>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</si>
  <si>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</si>
  <si>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</si>
  <si>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</si>
  <si>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</si>
  <si>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</si>
  <si>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</si>
  <si>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</si>
  <si>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</si>
  <si>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</si>
  <si>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</si>
  <si>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</si>
  <si>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</si>
  <si>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</si>
  <si>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</si>
  <si>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</si>
  <si>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</si>
  <si>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</si>
  <si>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</si>
  <si>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</si>
  <si>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</si>
  <si>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</si>
  <si>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</si>
  <si>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</si>
  <si>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</si>
  <si>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</si>
  <si>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</si>
  <si>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</si>
  <si>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</si>
  <si>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</si>
  <si>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</si>
  <si>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</si>
  <si>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</si>
  <si>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</si>
  <si>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</si>
  <si>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</si>
  <si>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</si>
  <si>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</si>
  <si>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</si>
  <si>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</si>
  <si>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</si>
  <si>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</si>
  <si>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</si>
  <si>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</si>
  <si>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</si>
  <si>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</si>
  <si>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</si>
  <si>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</si>
  <si>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</si>
  <si>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</si>
  <si>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</si>
  <si>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</si>
  <si>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</si>
  <si>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</si>
  <si>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</si>
  <si>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</si>
  <si>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</si>
  <si>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</si>
  <si>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</si>
  <si>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</si>
  <si>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</si>
  <si>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</si>
  <si>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</si>
  <si>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</si>
  <si>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</si>
  <si>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</si>
  <si>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</si>
  <si>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</si>
  <si>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</si>
  <si>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</si>
  <si>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</si>
  <si>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</si>
  <si>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</si>
  <si>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</si>
  <si>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</si>
  <si>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</si>
  <si>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</si>
  <si>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</si>
  <si>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</si>
  <si>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</si>
  <si>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</si>
  <si>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</si>
  <si>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</si>
  <si>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</si>
  <si>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</si>
  <si>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</si>
  <si>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</si>
  <si>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</si>
  <si>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</si>
  <si>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</si>
  <si>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</si>
  <si>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</si>
  <si>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</si>
  <si>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</si>
  <si>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</si>
  <si>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</si>
  <si>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</si>
  <si>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</si>
  <si>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</si>
  <si>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</si>
  <si>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</si>
  <si>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</si>
  <si>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</si>
  <si>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</si>
  <si>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</si>
  <si>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</si>
  <si>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</si>
  <si>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</si>
  <si>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</si>
  <si>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</si>
  <si>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</si>
  <si>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</si>
  <si>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</si>
  <si>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</si>
  <si>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</si>
  <si>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</si>
  <si>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</si>
  <si>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</si>
  <si>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</si>
  <si>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</si>
  <si>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</si>
  <si>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</si>
  <si>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</si>
  <si>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</si>
  <si>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</si>
  <si>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</si>
  <si>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</si>
  <si>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</si>
  <si>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</si>
  <si>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</si>
  <si>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</si>
  <si>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</si>
  <si>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</si>
  <si>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</si>
  <si>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</si>
  <si>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</si>
  <si>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</si>
  <si>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</si>
  <si>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</si>
  <si>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</si>
  <si>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</si>
  <si>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</si>
  <si>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</si>
  <si>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</si>
  <si>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</si>
  <si>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</si>
  <si>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</si>
  <si>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</si>
  <si>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</si>
  <si>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</si>
  <si>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</si>
  <si>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</si>
  <si>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</si>
  <si>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</si>
  <si>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</si>
  <si>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</si>
  <si>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</si>
  <si>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</si>
  <si>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</si>
  <si>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</si>
  <si>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</si>
  <si>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</si>
  <si>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</si>
  <si>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</si>
  <si>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</si>
  <si>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</si>
  <si>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</si>
  <si>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</si>
  <si>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</si>
  <si>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</si>
  <si>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</si>
  <si>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</si>
  <si>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</si>
  <si>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</si>
  <si>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</si>
  <si>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</si>
  <si>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</si>
  <si>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</si>
  <si>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</si>
  <si>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</si>
  <si>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</si>
  <si>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</si>
  <si>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</si>
  <si>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</si>
  <si>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</si>
  <si>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</si>
  <si>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</si>
  <si>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</si>
  <si>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</si>
  <si>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</si>
  <si>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</si>
  <si>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</si>
  <si>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</si>
  <si>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</si>
  <si>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</si>
  <si>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</si>
  <si>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</si>
  <si>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</si>
  <si>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</si>
  <si>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</si>
  <si>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</si>
  <si>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</si>
  <si>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</si>
  <si>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</si>
  <si>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</si>
  <si>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</si>
  <si>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</si>
  <si>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</si>
  <si>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</si>
  <si>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</si>
  <si>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</si>
  <si>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</si>
  <si>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</si>
  <si>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</si>
  <si>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</si>
  <si>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</si>
  <si>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</si>
  <si>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</si>
  <si>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</si>
  <si>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</si>
  <si>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</si>
  <si>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</si>
  <si>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</si>
  <si>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</si>
  <si>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</si>
  <si>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</si>
  <si>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</si>
  <si>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</si>
  <si>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</si>
  <si>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</si>
  <si>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</si>
  <si>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</si>
  <si>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</si>
  <si>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</si>
  <si>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</si>
  <si>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</si>
  <si>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</si>
  <si>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</si>
  <si>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</si>
  <si>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</si>
  <si>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</si>
  <si>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</si>
  <si>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</si>
  <si>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</si>
  <si>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</si>
  <si>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</si>
  <si>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</si>
  <si>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</si>
  <si>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</si>
  <si>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</si>
  <si>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</si>
  <si>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</si>
  <si>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</si>
  <si>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</si>
  <si>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</si>
  <si>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</si>
  <si>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</si>
  <si>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</si>
  <si>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</si>
  <si>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</si>
  <si>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</si>
  <si>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</si>
  <si>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</si>
  <si>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</si>
  <si>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</si>
  <si>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</si>
  <si>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</si>
  <si>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</si>
  <si>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</si>
  <si>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</si>
  <si>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</si>
  <si>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</si>
  <si>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</si>
  <si>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</si>
  <si>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</si>
  <si>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</si>
  <si>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</si>
  <si>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</si>
  <si>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</si>
  <si>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</si>
  <si>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</si>
  <si>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</si>
  <si>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</si>
  <si>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</si>
  <si>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</si>
  <si>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</si>
  <si>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</si>
  <si>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</si>
  <si>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</si>
  <si>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</si>
  <si>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</si>
  <si>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</si>
  <si>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</si>
  <si>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</si>
  <si>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</si>
  <si>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</si>
  <si>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</si>
  <si>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</si>
  <si>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</si>
  <si>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</si>
  <si>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</si>
  <si>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</si>
  <si>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</si>
  <si>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</si>
  <si>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</si>
  <si>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</si>
  <si>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</si>
  <si>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</si>
  <si>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</si>
  <si>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</si>
  <si>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</si>
  <si>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</si>
  <si>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</si>
  <si>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</si>
  <si>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</si>
  <si>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</si>
  <si>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</si>
  <si>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</si>
  <si>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</si>
  <si>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</si>
  <si>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</si>
  <si>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</si>
  <si>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</si>
  <si>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</si>
  <si>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</si>
  <si>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</si>
  <si>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</si>
  <si>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</si>
  <si>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</si>
  <si>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</si>
  <si>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</si>
  <si>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</si>
  <si>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</si>
  <si>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</si>
  <si>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</si>
  <si>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</si>
  <si>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</si>
  <si>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</si>
  <si>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</si>
  <si>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</si>
  <si>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</si>
  <si>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</si>
  <si>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</si>
  <si>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</si>
  <si>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</si>
  <si>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</si>
  <si>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</si>
  <si>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</si>
  <si>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</si>
  <si>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</si>
  <si>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</si>
  <si>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</si>
  <si>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</si>
  <si>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</si>
  <si>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</si>
  <si>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</si>
  <si>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</si>
  <si>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</si>
  <si>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</si>
  <si>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</si>
  <si>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</si>
  <si>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</si>
  <si>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</si>
  <si>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</si>
  <si>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</si>
  <si>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</si>
  <si>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</si>
  <si>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</si>
  <si>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</si>
  <si>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</si>
  <si>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</si>
  <si>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</si>
  <si>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</si>
  <si>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</si>
  <si>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</si>
  <si>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</si>
  <si>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</si>
  <si>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</si>
  <si>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</si>
  <si>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</si>
  <si>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</si>
  <si>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</si>
  <si>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</si>
  <si>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</si>
  <si>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</si>
  <si>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</si>
  <si>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</si>
  <si>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</si>
  <si>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</si>
  <si>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</si>
  <si>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</si>
  <si>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</si>
  <si>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</si>
  <si>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</si>
  <si>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</si>
  <si>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</si>
  <si>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</si>
  <si>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</si>
  <si>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</si>
  <si>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</si>
  <si>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</si>
  <si>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</si>
  <si>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</si>
  <si>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</si>
  <si>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</si>
  <si>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</si>
  <si>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</si>
  <si>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</si>
  <si>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</si>
  <si>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</si>
  <si>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</si>
  <si>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</si>
  <si>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</si>
  <si>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</si>
  <si>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</si>
  <si>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</si>
  <si>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</si>
  <si>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</si>
  <si>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</si>
  <si>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</si>
  <si>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</si>
  <si>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</si>
  <si>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</si>
  <si>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</si>
  <si>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</si>
  <si>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</si>
  <si>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</si>
  <si>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</si>
  <si>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</si>
  <si>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</si>
  <si>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</si>
  <si>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</si>
  <si>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</si>
  <si>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</si>
  <si>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</si>
  <si>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</si>
  <si>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</si>
  <si>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</si>
  <si>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</si>
  <si>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</si>
  <si>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</si>
  <si>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</si>
  <si>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</si>
  <si>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</si>
  <si>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</si>
  <si>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</si>
  <si>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</si>
  <si>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</si>
  <si>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</si>
  <si>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</si>
  <si>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</si>
  <si>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</si>
  <si>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</si>
  <si>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</si>
  <si>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</si>
  <si>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</si>
  <si>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</si>
  <si>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</si>
  <si>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</si>
  <si>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</si>
  <si>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</si>
  <si>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</si>
  <si>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</si>
  <si>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</si>
  <si>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</si>
  <si>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</si>
  <si>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</si>
  <si>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</si>
  <si>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</si>
  <si>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</si>
  <si>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</si>
  <si>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</si>
  <si>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</si>
  <si>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</si>
  <si>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</si>
  <si>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</si>
  <si>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</si>
  <si>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</si>
  <si>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</si>
  <si>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</si>
  <si>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</si>
  <si>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</si>
  <si>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</si>
  <si>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</si>
  <si>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</si>
  <si>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</si>
  <si>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</si>
  <si>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</si>
  <si>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</si>
  <si>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</si>
  <si>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</si>
  <si>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</si>
  <si>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</si>
  <si>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</si>
  <si>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</si>
  <si>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</si>
  <si>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</si>
  <si>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</si>
  <si>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</si>
  <si>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</si>
  <si>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</si>
  <si>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</si>
  <si>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</si>
  <si>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</si>
  <si>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</si>
  <si>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</si>
  <si>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</si>
  <si>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</si>
  <si>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</si>
  <si>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</si>
  <si>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</si>
  <si>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</si>
  <si>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</si>
  <si>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</si>
  <si>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</si>
  <si>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</si>
  <si>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</si>
  <si>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</si>
  <si>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</si>
  <si>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</si>
  <si>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</si>
  <si>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</si>
  <si>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</si>
  <si>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</si>
  <si>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</si>
  <si>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</si>
  <si>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</si>
  <si>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</si>
  <si>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</si>
  <si>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</si>
  <si>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</si>
  <si>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</si>
  <si>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</si>
  <si>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</si>
  <si>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</si>
  <si>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</si>
  <si>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</si>
  <si>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</si>
  <si>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</si>
  <si>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</si>
  <si>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</si>
  <si>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</si>
  <si>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</si>
  <si>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</si>
  <si>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</si>
  <si>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</si>
  <si>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</si>
  <si>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</si>
  <si>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</si>
  <si>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</si>
  <si>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</si>
  <si>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</si>
  <si>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</si>
  <si>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</si>
  <si>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</si>
  <si>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</si>
  <si>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</si>
  <si>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</si>
  <si>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</si>
  <si>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</si>
  <si>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</si>
  <si>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</si>
  <si>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</si>
  <si>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</si>
  <si>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</si>
  <si>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</si>
  <si>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</si>
  <si>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</si>
  <si>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</si>
  <si>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</si>
  <si>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</si>
  <si>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</si>
  <si>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</si>
  <si>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</si>
  <si>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</si>
  <si>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</si>
  <si>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</si>
  <si>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</si>
  <si>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</si>
  <si>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</si>
  <si>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</si>
  <si>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</si>
  <si>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</si>
  <si>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</si>
  <si>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</si>
  <si>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</si>
  <si>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</si>
  <si>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</si>
  <si>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</si>
  <si>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</si>
  <si>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</si>
  <si>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</si>
  <si>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</si>
  <si>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</si>
  <si>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</si>
  <si>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</si>
  <si>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</si>
  <si>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</si>
  <si>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</si>
  <si>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</si>
  <si>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</si>
  <si>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</si>
  <si>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</si>
  <si>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</si>
  <si>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</si>
  <si>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</si>
  <si>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</si>
  <si>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</si>
  <si>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</si>
  <si>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</si>
  <si>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</si>
  <si>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</si>
  <si>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</si>
  <si>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</si>
  <si>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</si>
  <si>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</si>
  <si>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</si>
  <si>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</si>
  <si>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</si>
  <si>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</si>
  <si>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</si>
  <si>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</si>
  <si>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</si>
  <si>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</si>
  <si>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</si>
  <si>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</si>
  <si>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</si>
  <si>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</si>
  <si>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</si>
  <si>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</si>
  <si>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</si>
  <si>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</si>
  <si>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</si>
  <si>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</si>
  <si>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</si>
  <si>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</si>
  <si>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</si>
  <si>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</si>
  <si>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</si>
  <si>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</si>
  <si>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</si>
  <si>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</si>
  <si>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</si>
  <si>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</si>
  <si>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</si>
  <si>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</si>
  <si>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</si>
  <si>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</si>
  <si>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</si>
  <si>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</si>
  <si>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</si>
  <si>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</si>
  <si>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</si>
  <si>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</si>
  <si>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</si>
  <si>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</si>
  <si>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</si>
  <si>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</si>
  <si>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</si>
  <si>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</si>
  <si>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</si>
  <si>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</si>
  <si>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</si>
  <si>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</si>
  <si>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</si>
  <si>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</si>
  <si>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</si>
  <si>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</si>
  <si>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</si>
  <si>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</si>
  <si>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</si>
  <si>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</si>
  <si>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</si>
  <si>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</si>
  <si>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</si>
  <si>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</si>
  <si>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</si>
  <si>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</si>
  <si>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</si>
  <si>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</si>
  <si>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</si>
  <si>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</si>
  <si>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</si>
  <si>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</si>
  <si>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</si>
  <si>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</si>
  <si>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</si>
  <si>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</si>
  <si>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</si>
  <si>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</si>
  <si>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</si>
  <si>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</si>
  <si>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</si>
  <si>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</si>
  <si>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</si>
  <si>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</si>
  <si>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</si>
  <si>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</si>
  <si>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</si>
  <si>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</si>
  <si>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</si>
  <si>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</si>
  <si>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</si>
  <si>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</si>
  <si>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</si>
  <si>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</si>
  <si>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</si>
  <si>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</si>
  <si>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</si>
  <si>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</si>
  <si>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</si>
  <si>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</si>
  <si>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</si>
  <si>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</si>
  <si>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</si>
  <si>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</si>
  <si>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</si>
  <si>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</si>
  <si>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</si>
  <si>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</si>
  <si>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</si>
  <si>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</si>
  <si>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</si>
  <si>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</si>
  <si>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</si>
  <si>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</si>
  <si>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</si>
  <si>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</si>
  <si>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</si>
  <si>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</si>
  <si>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</si>
  <si>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</si>
  <si>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</si>
  <si>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</si>
  <si>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</si>
  <si>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</si>
  <si>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</si>
  <si>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</si>
  <si>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</si>
  <si>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</si>
  <si>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</si>
  <si>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</si>
  <si>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</si>
  <si>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</si>
  <si>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</si>
  <si>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</si>
  <si>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</si>
  <si>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</si>
  <si>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</si>
  <si>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</si>
  <si>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</si>
  <si>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</si>
  <si>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</si>
  <si>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</si>
  <si>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</si>
  <si>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</si>
  <si>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</si>
  <si>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</si>
  <si>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</si>
  <si>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</si>
  <si>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</si>
  <si>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</si>
  <si>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</si>
  <si>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</si>
  <si>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</si>
  <si>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</si>
  <si>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</si>
  <si>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</si>
  <si>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</si>
  <si>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</si>
  <si>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</si>
  <si>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</si>
  <si>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</si>
  <si>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</si>
  <si>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</si>
  <si>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</si>
  <si>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</si>
  <si>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</si>
  <si>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</si>
  <si>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</si>
  <si>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</si>
  <si>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</si>
  <si>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</si>
  <si>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</si>
  <si>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</si>
  <si>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</si>
  <si>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</si>
  <si>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</si>
  <si>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</si>
  <si>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</si>
  <si>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</si>
  <si>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</si>
  <si>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</si>
  <si>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</si>
  <si>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</si>
  <si>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</si>
  <si>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</si>
  <si>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</si>
  <si>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</si>
  <si>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</si>
  <si>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</si>
  <si>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</si>
  <si>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</si>
  <si>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</si>
  <si>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</si>
  <si>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</si>
  <si>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</si>
  <si>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</si>
  <si>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</si>
  <si>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</si>
  <si>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</si>
  <si>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</si>
  <si>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</si>
  <si>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</si>
  <si>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</si>
  <si>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</si>
  <si>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</si>
  <si>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</si>
  <si>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</si>
  <si>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</si>
  <si>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</si>
  <si>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</si>
  <si>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</si>
  <si>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</si>
  <si>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</si>
  <si>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</si>
  <si>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</si>
  <si>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</si>
  <si>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</si>
  <si>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</si>
  <si>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</si>
  <si>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</si>
  <si>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</si>
  <si>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</si>
  <si>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</si>
  <si>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</si>
  <si>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</si>
  <si>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</si>
  <si>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</si>
  <si>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</si>
  <si>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</si>
  <si>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</si>
  <si>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</si>
  <si>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</si>
  <si>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</si>
  <si>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</si>
  <si>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</si>
  <si>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</si>
  <si>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</si>
  <si>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</si>
  <si>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</si>
  <si>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</si>
  <si>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</si>
  <si>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</si>
  <si>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</si>
  <si>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</si>
  <si>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36007</t>
  </si>
  <si>
    <t>INGELMUNSTER</t>
  </si>
  <si>
    <t>referentietaak LNE (2017); Jaarverslag De Lijn</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</si>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</sst>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84543.576443054364</c:v>
                </c:pt>
                <c:pt idx="1">
                  <c:v>27176.140277914907</c:v>
                </c:pt>
                <c:pt idx="2">
                  <c:v>785.67399999999998</c:v>
                </c:pt>
                <c:pt idx="3">
                  <c:v>55996.636390826316</c:v>
                </c:pt>
                <c:pt idx="4">
                  <c:v>38257.042221170101</c:v>
                </c:pt>
                <c:pt idx="5">
                  <c:v>65785.785637862908</c:v>
                </c:pt>
                <c:pt idx="6">
                  <c:v>587.95570262915351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84543.576443054364</c:v>
                </c:pt>
                <c:pt idx="1">
                  <c:v>27176.140277914907</c:v>
                </c:pt>
                <c:pt idx="2">
                  <c:v>785.67399999999998</c:v>
                </c:pt>
                <c:pt idx="3">
                  <c:v>55996.636390826316</c:v>
                </c:pt>
                <c:pt idx="4">
                  <c:v>38257.042221170101</c:v>
                </c:pt>
                <c:pt idx="5">
                  <c:v>65785.785637862908</c:v>
                </c:pt>
                <c:pt idx="6">
                  <c:v>587.95570262915351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14633.615763127938</c:v>
                </c:pt>
                <c:pt idx="1">
                  <c:v>5401.4358597630089</c:v>
                </c:pt>
                <c:pt idx="2">
                  <c:v>162.24335084657321</c:v>
                </c:pt>
                <c:pt idx="3">
                  <c:v>13332.470999457069</c:v>
                </c:pt>
                <c:pt idx="4">
                  <c:v>7947.5486650847042</c:v>
                </c:pt>
                <c:pt idx="5">
                  <c:v>16373.509937606024</c:v>
                </c:pt>
                <c:pt idx="6">
                  <c:v>148.90380409691352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14633.615763127938</c:v>
                </c:pt>
                <c:pt idx="1">
                  <c:v>5401.4358597630089</c:v>
                </c:pt>
                <c:pt idx="2">
                  <c:v>162.24335084657321</c:v>
                </c:pt>
                <c:pt idx="3">
                  <c:v>13332.470999457069</c:v>
                </c:pt>
                <c:pt idx="4">
                  <c:v>7947.5486650847042</c:v>
                </c:pt>
                <c:pt idx="5">
                  <c:v>16373.509937606024</c:v>
                </c:pt>
                <c:pt idx="6">
                  <c:v>148.90380409691352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36007</v>
      </c>
      <c r="B6" s="392"/>
      <c r="C6" s="393"/>
    </row>
    <row r="7" spans="1:7" s="390" customFormat="1" ht="15.75" customHeight="1">
      <c r="A7" s="394" t="str">
        <f>txtMunicipality</f>
        <v>INGELMUNSTER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0.20650212536824844</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0.20650212536824844</v>
      </c>
      <c r="C29" s="505">
        <f ca="1">'EF ele_warmte'!B22</f>
        <v>0.23764705882352941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4593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741.99</v>
      </c>
      <c r="C14" s="332"/>
      <c r="D14" s="332"/>
      <c r="E14" s="332"/>
      <c r="F14" s="332"/>
    </row>
    <row r="15" spans="1:6">
      <c r="A15" s="1310" t="s">
        <v>183</v>
      </c>
      <c r="B15" s="1311">
        <v>568</v>
      </c>
      <c r="C15" s="332"/>
      <c r="D15" s="332"/>
      <c r="E15" s="332"/>
      <c r="F15" s="332"/>
    </row>
    <row r="16" spans="1:6">
      <c r="A16" s="1310" t="s">
        <v>6</v>
      </c>
      <c r="B16" s="1311">
        <v>119</v>
      </c>
      <c r="C16" s="332"/>
      <c r="D16" s="332"/>
      <c r="E16" s="332"/>
      <c r="F16" s="332"/>
    </row>
    <row r="17" spans="1:6">
      <c r="A17" s="1310" t="s">
        <v>7</v>
      </c>
      <c r="B17" s="1311">
        <v>84</v>
      </c>
      <c r="C17" s="332"/>
      <c r="D17" s="332"/>
      <c r="E17" s="332"/>
      <c r="F17" s="332"/>
    </row>
    <row r="18" spans="1:6">
      <c r="A18" s="1310" t="s">
        <v>8</v>
      </c>
      <c r="B18" s="1311">
        <v>144</v>
      </c>
      <c r="C18" s="332"/>
      <c r="D18" s="332"/>
      <c r="E18" s="332"/>
      <c r="F18" s="332"/>
    </row>
    <row r="19" spans="1:6">
      <c r="A19" s="1310" t="s">
        <v>9</v>
      </c>
      <c r="B19" s="1311">
        <v>142</v>
      </c>
      <c r="C19" s="332"/>
      <c r="D19" s="332"/>
      <c r="E19" s="332"/>
      <c r="F19" s="332"/>
    </row>
    <row r="20" spans="1:6">
      <c r="A20" s="1310" t="s">
        <v>10</v>
      </c>
      <c r="B20" s="1311">
        <v>88</v>
      </c>
      <c r="C20" s="332"/>
      <c r="D20" s="332"/>
      <c r="E20" s="332"/>
      <c r="F20" s="332"/>
    </row>
    <row r="21" spans="1:6">
      <c r="A21" s="1310" t="s">
        <v>11</v>
      </c>
      <c r="B21" s="1311">
        <v>1129</v>
      </c>
      <c r="C21" s="332"/>
      <c r="D21" s="332"/>
      <c r="E21" s="332"/>
      <c r="F21" s="332"/>
    </row>
    <row r="22" spans="1:6">
      <c r="A22" s="1310" t="s">
        <v>12</v>
      </c>
      <c r="B22" s="1311">
        <v>6056</v>
      </c>
      <c r="C22" s="332"/>
      <c r="D22" s="332"/>
      <c r="E22" s="332"/>
      <c r="F22" s="332"/>
    </row>
    <row r="23" spans="1:6">
      <c r="A23" s="1310" t="s">
        <v>13</v>
      </c>
      <c r="B23" s="1311">
        <v>45</v>
      </c>
      <c r="C23" s="332"/>
      <c r="D23" s="332"/>
      <c r="E23" s="332"/>
      <c r="F23" s="332"/>
    </row>
    <row r="24" spans="1:6">
      <c r="A24" s="1310" t="s">
        <v>14</v>
      </c>
      <c r="B24" s="1311">
        <v>4</v>
      </c>
      <c r="C24" s="332"/>
      <c r="D24" s="332"/>
      <c r="E24" s="332"/>
      <c r="F24" s="332"/>
    </row>
    <row r="25" spans="1:6">
      <c r="A25" s="1310" t="s">
        <v>15</v>
      </c>
      <c r="B25" s="1311">
        <v>354</v>
      </c>
      <c r="C25" s="332"/>
      <c r="D25" s="332"/>
      <c r="E25" s="332"/>
      <c r="F25" s="332"/>
    </row>
    <row r="26" spans="1:6">
      <c r="A26" s="1310" t="s">
        <v>16</v>
      </c>
      <c r="B26" s="1311">
        <v>20</v>
      </c>
      <c r="C26" s="332"/>
      <c r="D26" s="332"/>
      <c r="E26" s="332"/>
      <c r="F26" s="332"/>
    </row>
    <row r="27" spans="1:6">
      <c r="A27" s="1310" t="s">
        <v>17</v>
      </c>
      <c r="B27" s="1311">
        <v>0</v>
      </c>
      <c r="C27" s="332"/>
      <c r="D27" s="332"/>
      <c r="E27" s="332"/>
      <c r="F27" s="332"/>
    </row>
    <row r="28" spans="1:6" s="43" customFormat="1">
      <c r="A28" s="1312" t="s">
        <v>18</v>
      </c>
      <c r="B28" s="1313">
        <v>103591</v>
      </c>
      <c r="C28" s="338"/>
      <c r="D28" s="338"/>
      <c r="E28" s="338"/>
      <c r="F28" s="338"/>
    </row>
    <row r="29" spans="1:6">
      <c r="A29" s="1312" t="s">
        <v>699</v>
      </c>
      <c r="B29" s="1313">
        <v>59</v>
      </c>
      <c r="C29" s="338"/>
      <c r="D29" s="338"/>
      <c r="E29" s="338"/>
      <c r="F29" s="338"/>
    </row>
    <row r="30" spans="1:6">
      <c r="A30" s="1305" t="s">
        <v>700</v>
      </c>
      <c r="B30" s="1314">
        <v>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281018.91055709397</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3221</v>
      </c>
      <c r="D39" s="1311">
        <v>45065232.3163822</v>
      </c>
      <c r="E39" s="1311">
        <v>4362</v>
      </c>
      <c r="F39" s="1311">
        <v>14011276.612411199</v>
      </c>
    </row>
    <row r="40" spans="1:6">
      <c r="A40" s="1310" t="s">
        <v>29</v>
      </c>
      <c r="B40" s="1310" t="s">
        <v>28</v>
      </c>
      <c r="C40" s="1311">
        <v>0</v>
      </c>
      <c r="D40" s="1311">
        <v>0</v>
      </c>
      <c r="E40" s="1311">
        <v>0</v>
      </c>
      <c r="F40" s="1311">
        <v>0</v>
      </c>
    </row>
    <row r="41" spans="1:6">
      <c r="A41" s="1310" t="s">
        <v>31</v>
      </c>
      <c r="B41" s="1310" t="s">
        <v>32</v>
      </c>
      <c r="C41" s="1311">
        <v>138</v>
      </c>
      <c r="D41" s="1311">
        <v>3224020.9931134898</v>
      </c>
      <c r="E41" s="1311">
        <v>266</v>
      </c>
      <c r="F41" s="1311">
        <v>5696750.6911769398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7</v>
      </c>
      <c r="D44" s="1311">
        <v>157710.60617015901</v>
      </c>
      <c r="E44" s="1311">
        <v>24</v>
      </c>
      <c r="F44" s="1311">
        <v>938998.428491025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1129725.5883460799</v>
      </c>
    </row>
    <row r="48" spans="1:6">
      <c r="A48" s="1310" t="s">
        <v>31</v>
      </c>
      <c r="B48" s="1310" t="s">
        <v>28</v>
      </c>
      <c r="C48" s="1311">
        <v>4</v>
      </c>
      <c r="D48" s="1311">
        <v>4249508.0689711496</v>
      </c>
      <c r="E48" s="1311">
        <v>3</v>
      </c>
      <c r="F48" s="1311">
        <v>2341425.8963492499</v>
      </c>
    </row>
    <row r="49" spans="1:6">
      <c r="A49" s="1310" t="s">
        <v>31</v>
      </c>
      <c r="B49" s="1310" t="s">
        <v>39</v>
      </c>
      <c r="C49" s="1311">
        <v>4</v>
      </c>
      <c r="D49" s="1311">
        <v>7988748.9423267199</v>
      </c>
      <c r="E49" s="1311">
        <v>21</v>
      </c>
      <c r="F49" s="1311">
        <v>2197675.4272325002</v>
      </c>
    </row>
    <row r="50" spans="1:6">
      <c r="A50" s="1310" t="s">
        <v>31</v>
      </c>
      <c r="B50" s="1310" t="s">
        <v>40</v>
      </c>
      <c r="C50" s="1311">
        <v>7</v>
      </c>
      <c r="D50" s="1311">
        <v>1912485.62948207</v>
      </c>
      <c r="E50" s="1311">
        <v>16</v>
      </c>
      <c r="F50" s="1311">
        <v>5572106.0583274197</v>
      </c>
    </row>
    <row r="51" spans="1:6">
      <c r="A51" s="1310" t="s">
        <v>41</v>
      </c>
      <c r="B51" s="1310" t="s">
        <v>42</v>
      </c>
      <c r="C51" s="1311">
        <v>15</v>
      </c>
      <c r="D51" s="1311">
        <v>79113540.959738806</v>
      </c>
      <c r="E51" s="1311">
        <v>73</v>
      </c>
      <c r="F51" s="1311">
        <v>3516575.1655480098</v>
      </c>
    </row>
    <row r="52" spans="1:6">
      <c r="A52" s="1310" t="s">
        <v>41</v>
      </c>
      <c r="B52" s="1310" t="s">
        <v>28</v>
      </c>
      <c r="C52" s="1311">
        <v>0</v>
      </c>
      <c r="D52" s="1311">
        <v>0</v>
      </c>
      <c r="E52" s="1311">
        <v>0</v>
      </c>
      <c r="F52" s="1311">
        <v>0</v>
      </c>
    </row>
    <row r="53" spans="1:6">
      <c r="A53" s="1310" t="s">
        <v>43</v>
      </c>
      <c r="B53" s="1310" t="s">
        <v>44</v>
      </c>
      <c r="C53" s="1311">
        <v>61</v>
      </c>
      <c r="D53" s="1311">
        <v>1323254.48737501</v>
      </c>
      <c r="E53" s="1311">
        <v>124</v>
      </c>
      <c r="F53" s="1311">
        <v>455707.55184335902</v>
      </c>
    </row>
    <row r="54" spans="1:6">
      <c r="A54" s="1310" t="s">
        <v>45</v>
      </c>
      <c r="B54" s="1310" t="s">
        <v>46</v>
      </c>
      <c r="C54" s="1311">
        <v>0</v>
      </c>
      <c r="D54" s="1311">
        <v>0</v>
      </c>
      <c r="E54" s="1311">
        <v>1</v>
      </c>
      <c r="F54" s="1311">
        <v>785674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34</v>
      </c>
      <c r="D57" s="1311">
        <v>1030795.6855526</v>
      </c>
      <c r="E57" s="1311">
        <v>83</v>
      </c>
      <c r="F57" s="1311">
        <v>3015442.4063612302</v>
      </c>
    </row>
    <row r="58" spans="1:6">
      <c r="A58" s="1310" t="s">
        <v>48</v>
      </c>
      <c r="B58" s="1310" t="s">
        <v>50</v>
      </c>
      <c r="C58" s="1311">
        <v>32</v>
      </c>
      <c r="D58" s="1311">
        <v>3423026.5006099399</v>
      </c>
      <c r="E58" s="1311">
        <v>37</v>
      </c>
      <c r="F58" s="1311">
        <v>1163082.4752056701</v>
      </c>
    </row>
    <row r="59" spans="1:6">
      <c r="A59" s="1310" t="s">
        <v>48</v>
      </c>
      <c r="B59" s="1310" t="s">
        <v>51</v>
      </c>
      <c r="C59" s="1311">
        <v>100</v>
      </c>
      <c r="D59" s="1311">
        <v>3148454.7931830399</v>
      </c>
      <c r="E59" s="1311">
        <v>187</v>
      </c>
      <c r="F59" s="1311">
        <v>4573492.1211936297</v>
      </c>
    </row>
    <row r="60" spans="1:6">
      <c r="A60" s="1310" t="s">
        <v>48</v>
      </c>
      <c r="B60" s="1310" t="s">
        <v>52</v>
      </c>
      <c r="C60" s="1311">
        <v>30</v>
      </c>
      <c r="D60" s="1311">
        <v>1227068.81367251</v>
      </c>
      <c r="E60" s="1311">
        <v>44</v>
      </c>
      <c r="F60" s="1311">
        <v>645873.00175862596</v>
      </c>
    </row>
    <row r="61" spans="1:6">
      <c r="A61" s="1310" t="s">
        <v>48</v>
      </c>
      <c r="B61" s="1310" t="s">
        <v>53</v>
      </c>
      <c r="C61" s="1311">
        <v>129</v>
      </c>
      <c r="D61" s="1311">
        <v>3510230.4304964799</v>
      </c>
      <c r="E61" s="1311">
        <v>205</v>
      </c>
      <c r="F61" s="1311">
        <v>1595067.58620397</v>
      </c>
    </row>
    <row r="62" spans="1:6">
      <c r="A62" s="1310" t="s">
        <v>48</v>
      </c>
      <c r="B62" s="1310" t="s">
        <v>54</v>
      </c>
      <c r="C62" s="1311">
        <v>12</v>
      </c>
      <c r="D62" s="1311">
        <v>781556.70545059699</v>
      </c>
      <c r="E62" s="1311">
        <v>14</v>
      </c>
      <c r="F62" s="1311">
        <v>171644.59956925199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5853.063026408</v>
      </c>
      <c r="E65" s="1311">
        <v>1</v>
      </c>
      <c r="F65" s="1311">
        <v>4103.2930502868003</v>
      </c>
    </row>
    <row r="66" spans="1:6">
      <c r="A66" s="1310" t="s">
        <v>55</v>
      </c>
      <c r="B66" s="1310" t="s">
        <v>57</v>
      </c>
      <c r="C66" s="1311">
        <v>0</v>
      </c>
      <c r="D66" s="1311">
        <v>0</v>
      </c>
      <c r="E66" s="1311">
        <v>9</v>
      </c>
      <c r="F66" s="1311">
        <v>143518.35950693101</v>
      </c>
    </row>
    <row r="67" spans="1:6">
      <c r="A67" s="1312" t="s">
        <v>55</v>
      </c>
      <c r="B67" s="1312" t="s">
        <v>58</v>
      </c>
      <c r="C67" s="1311">
        <v>0</v>
      </c>
      <c r="D67" s="1311">
        <v>0</v>
      </c>
      <c r="E67" s="1311">
        <v>0</v>
      </c>
      <c r="F67" s="1311">
        <v>0</v>
      </c>
    </row>
    <row r="68" spans="1:6">
      <c r="A68" s="1305" t="s">
        <v>55</v>
      </c>
      <c r="B68" s="1305" t="s">
        <v>59</v>
      </c>
      <c r="C68" s="1314">
        <v>4</v>
      </c>
      <c r="D68" s="1314">
        <v>52610.493424005799</v>
      </c>
      <c r="E68" s="1314">
        <v>10</v>
      </c>
      <c r="F68" s="1314">
        <v>65591.625392492206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54858689</v>
      </c>
      <c r="E73" s="453"/>
      <c r="F73" s="332"/>
    </row>
    <row r="74" spans="1:6">
      <c r="A74" s="1310" t="s">
        <v>63</v>
      </c>
      <c r="B74" s="1310" t="s">
        <v>648</v>
      </c>
      <c r="C74" s="1324" t="s">
        <v>650</v>
      </c>
      <c r="D74" s="1325">
        <v>7122915.6839993391</v>
      </c>
      <c r="E74" s="453"/>
      <c r="F74" s="332"/>
    </row>
    <row r="75" spans="1:6">
      <c r="A75" s="1310" t="s">
        <v>64</v>
      </c>
      <c r="B75" s="1310" t="s">
        <v>647</v>
      </c>
      <c r="C75" s="1324" t="s">
        <v>651</v>
      </c>
      <c r="D75" s="1325">
        <v>10560350</v>
      </c>
      <c r="E75" s="453"/>
      <c r="F75" s="332"/>
    </row>
    <row r="76" spans="1:6">
      <c r="A76" s="1310" t="s">
        <v>64</v>
      </c>
      <c r="B76" s="1310" t="s">
        <v>648</v>
      </c>
      <c r="C76" s="1324" t="s">
        <v>652</v>
      </c>
      <c r="D76" s="1325">
        <v>765610.68399933947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163084.63200132101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3576.1463714926849</v>
      </c>
      <c r="C91" s="332"/>
      <c r="D91" s="332"/>
      <c r="E91" s="332"/>
      <c r="F91" s="332"/>
    </row>
    <row r="92" spans="1:6">
      <c r="A92" s="1305" t="s">
        <v>68</v>
      </c>
      <c r="B92" s="1306">
        <v>1454.653627340788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2052</v>
      </c>
      <c r="C97" s="332"/>
      <c r="D97" s="332"/>
      <c r="E97" s="332"/>
      <c r="F97" s="332"/>
    </row>
    <row r="98" spans="1:6">
      <c r="A98" s="1310" t="s">
        <v>71</v>
      </c>
      <c r="B98" s="1311">
        <v>2</v>
      </c>
      <c r="C98" s="332"/>
      <c r="D98" s="332"/>
      <c r="E98" s="332"/>
      <c r="F98" s="332"/>
    </row>
    <row r="99" spans="1:6">
      <c r="A99" s="1310" t="s">
        <v>72</v>
      </c>
      <c r="B99" s="1311">
        <v>59</v>
      </c>
      <c r="C99" s="332"/>
      <c r="D99" s="332"/>
      <c r="E99" s="332"/>
      <c r="F99" s="332"/>
    </row>
    <row r="100" spans="1:6">
      <c r="A100" s="1310" t="s">
        <v>73</v>
      </c>
      <c r="B100" s="1311">
        <v>288</v>
      </c>
      <c r="C100" s="332"/>
      <c r="D100" s="332"/>
      <c r="E100" s="332"/>
      <c r="F100" s="332"/>
    </row>
    <row r="101" spans="1:6">
      <c r="A101" s="1310" t="s">
        <v>74</v>
      </c>
      <c r="B101" s="1311">
        <v>90</v>
      </c>
      <c r="C101" s="332"/>
      <c r="D101" s="332"/>
      <c r="E101" s="332"/>
      <c r="F101" s="332"/>
    </row>
    <row r="102" spans="1:6">
      <c r="A102" s="1310" t="s">
        <v>75</v>
      </c>
      <c r="B102" s="1311">
        <v>91</v>
      </c>
      <c r="C102" s="332"/>
      <c r="D102" s="332"/>
      <c r="E102" s="332"/>
      <c r="F102" s="332"/>
    </row>
    <row r="103" spans="1:6">
      <c r="A103" s="1310" t="s">
        <v>76</v>
      </c>
      <c r="B103" s="1311">
        <v>141</v>
      </c>
      <c r="C103" s="332"/>
      <c r="D103" s="332"/>
      <c r="E103" s="332"/>
      <c r="F103" s="332"/>
    </row>
    <row r="104" spans="1:6">
      <c r="A104" s="1310" t="s">
        <v>77</v>
      </c>
      <c r="B104" s="1311">
        <v>1324</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12</v>
      </c>
      <c r="C123" s="1311">
        <v>22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152</v>
      </c>
      <c r="C129" s="332"/>
      <c r="D129" s="332"/>
      <c r="E129" s="332"/>
      <c r="F129" s="332"/>
    </row>
    <row r="130" spans="1:6">
      <c r="A130" s="1310" t="s">
        <v>294</v>
      </c>
      <c r="B130" s="1311">
        <v>3</v>
      </c>
      <c r="C130" s="332"/>
      <c r="D130" s="332"/>
      <c r="E130" s="332"/>
      <c r="F130" s="332"/>
    </row>
    <row r="131" spans="1:6">
      <c r="A131" s="1310" t="s">
        <v>295</v>
      </c>
      <c r="B131" s="1311">
        <v>8</v>
      </c>
      <c r="C131" s="332"/>
      <c r="D131" s="332"/>
      <c r="E131" s="332"/>
      <c r="F131" s="332"/>
    </row>
    <row r="132" spans="1:6">
      <c r="A132" s="1305" t="s">
        <v>296</v>
      </c>
      <c r="B132" s="1306">
        <v>14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51430.855404614624</v>
      </c>
      <c r="C3" s="43" t="s">
        <v>169</v>
      </c>
      <c r="D3" s="43"/>
      <c r="E3" s="154"/>
      <c r="F3" s="43"/>
      <c r="G3" s="43"/>
      <c r="H3" s="43"/>
      <c r="I3" s="43"/>
      <c r="J3" s="43"/>
      <c r="K3" s="96"/>
    </row>
    <row r="4" spans="1:11">
      <c r="A4" s="360" t="s">
        <v>170</v>
      </c>
      <c r="B4" s="49">
        <f>IF(ISERROR('SEAP template'!B78+'SEAP template'!C78),0,'SEAP template'!B78+'SEAP template'!C78)</f>
        <v>27026.799998833474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5227.2847058823536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0.20650212536824844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7467.5495798319334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31422.857142857145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785.67399999999998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785.67399999999998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0.20650212536824844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162.24335084657321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14011.276612411199</v>
      </c>
      <c r="C5" s="17">
        <f>IF(ISERROR('Eigen informatie GS &amp; warmtenet'!B59),0,'Eigen informatie GS &amp; warmtenet'!B59)</f>
        <v>0</v>
      </c>
      <c r="D5" s="30">
        <f>(SUM(HH_hh_gas_kWh,HH_rest_gas_kWh)/1000)*0.903</f>
        <v>40693.904781693127</v>
      </c>
      <c r="E5" s="17">
        <f>B46*B57</f>
        <v>5093.0355669729834</v>
      </c>
      <c r="F5" s="17">
        <f>B51*B62</f>
        <v>5639.2369783024869</v>
      </c>
      <c r="G5" s="18"/>
      <c r="H5" s="17"/>
      <c r="I5" s="17"/>
      <c r="J5" s="17">
        <f>B50*B61+C50*C61</f>
        <v>338.45035138351182</v>
      </c>
      <c r="K5" s="17"/>
      <c r="L5" s="17"/>
      <c r="M5" s="17"/>
      <c r="N5" s="17">
        <f>B48*B59+C48*C59</f>
        <v>14561.900149317526</v>
      </c>
      <c r="O5" s="17">
        <f>B69*B70*B71</f>
        <v>345.20873017334355</v>
      </c>
      <c r="P5" s="17">
        <f>B77*B78*B79/1000-B77*B78*B79/1000/B80</f>
        <v>284.41690130749561</v>
      </c>
    </row>
    <row r="6" spans="1:16">
      <c r="A6" s="16" t="s">
        <v>612</v>
      </c>
      <c r="B6" s="786">
        <f>kWh_PV_kleiner_dan_10kW</f>
        <v>3576.1463714926849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17587.422983903882</v>
      </c>
      <c r="C8" s="21">
        <f>C5</f>
        <v>0</v>
      </c>
      <c r="D8" s="21">
        <f>D5</f>
        <v>40693.904781693127</v>
      </c>
      <c r="E8" s="21">
        <f>E5</f>
        <v>5093.0355669729834</v>
      </c>
      <c r="F8" s="21">
        <f>F5</f>
        <v>5639.2369783024869</v>
      </c>
      <c r="G8" s="21"/>
      <c r="H8" s="21"/>
      <c r="I8" s="21"/>
      <c r="J8" s="21">
        <f>J5</f>
        <v>338.45035138351182</v>
      </c>
      <c r="K8" s="21"/>
      <c r="L8" s="21">
        <f>L5</f>
        <v>0</v>
      </c>
      <c r="M8" s="21">
        <f>M5</f>
        <v>0</v>
      </c>
      <c r="N8" s="21">
        <f>N5</f>
        <v>14561.900149317526</v>
      </c>
      <c r="O8" s="21">
        <f>O5</f>
        <v>345.20873017334355</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0.20650212536824844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3631.8402259265335</v>
      </c>
      <c r="C12" s="23">
        <f ca="1">C10*C8</f>
        <v>0</v>
      </c>
      <c r="D12" s="23">
        <f>D8*D10</f>
        <v>8220.1687659020117</v>
      </c>
      <c r="E12" s="23">
        <f>E10*E8</f>
        <v>1156.1190737028674</v>
      </c>
      <c r="F12" s="23">
        <f>F10*F8</f>
        <v>1505.6762732067641</v>
      </c>
      <c r="G12" s="23"/>
      <c r="H12" s="23"/>
      <c r="I12" s="23"/>
      <c r="J12" s="23">
        <f>J10*J8</f>
        <v>119.81142438976318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2052</v>
      </c>
      <c r="C18" s="166" t="s">
        <v>110</v>
      </c>
      <c r="D18" s="228"/>
      <c r="E18" s="15"/>
    </row>
    <row r="19" spans="1:7">
      <c r="A19" s="171" t="s">
        <v>71</v>
      </c>
      <c r="B19" s="37">
        <f>aantalw2001_ander</f>
        <v>2</v>
      </c>
      <c r="C19" s="166" t="s">
        <v>110</v>
      </c>
      <c r="D19" s="229"/>
      <c r="E19" s="15"/>
    </row>
    <row r="20" spans="1:7">
      <c r="A20" s="171" t="s">
        <v>72</v>
      </c>
      <c r="B20" s="37">
        <f>aantalw2001_propaan</f>
        <v>59</v>
      </c>
      <c r="C20" s="167">
        <f>IF(ISERROR(B20/SUM($B$20,$B$21,$B$22)*100),0,B20/SUM($B$20,$B$21,$B$22)*100)</f>
        <v>13.501144164759726</v>
      </c>
      <c r="D20" s="229"/>
      <c r="E20" s="15"/>
    </row>
    <row r="21" spans="1:7">
      <c r="A21" s="171" t="s">
        <v>73</v>
      </c>
      <c r="B21" s="37">
        <f>aantalw2001_elektriciteit</f>
        <v>288</v>
      </c>
      <c r="C21" s="167">
        <f>IF(ISERROR(B21/SUM($B$20,$B$21,$B$22)*100),0,B21/SUM($B$20,$B$21,$B$22)*100)</f>
        <v>65.903890160183067</v>
      </c>
      <c r="D21" s="229"/>
      <c r="E21" s="15"/>
    </row>
    <row r="22" spans="1:7">
      <c r="A22" s="171" t="s">
        <v>74</v>
      </c>
      <c r="B22" s="37">
        <f>aantalw2001_hout</f>
        <v>90</v>
      </c>
      <c r="C22" s="167">
        <f>IF(ISERROR(B22/SUM($B$20,$B$21,$B$22)*100),0,B22/SUM($B$20,$B$21,$B$22)*100)</f>
        <v>20.59496567505721</v>
      </c>
      <c r="D22" s="229"/>
      <c r="E22" s="15"/>
    </row>
    <row r="23" spans="1:7">
      <c r="A23" s="171" t="s">
        <v>75</v>
      </c>
      <c r="B23" s="37">
        <f>aantalw2001_niet_gespec</f>
        <v>91</v>
      </c>
      <c r="C23" s="166" t="s">
        <v>110</v>
      </c>
      <c r="D23" s="228"/>
      <c r="E23" s="15"/>
    </row>
    <row r="24" spans="1:7">
      <c r="A24" s="171" t="s">
        <v>76</v>
      </c>
      <c r="B24" s="37">
        <f>aantalw2001_steenkool</f>
        <v>141</v>
      </c>
      <c r="C24" s="166" t="s">
        <v>110</v>
      </c>
      <c r="D24" s="229"/>
      <c r="E24" s="15"/>
    </row>
    <row r="25" spans="1:7">
      <c r="A25" s="171" t="s">
        <v>77</v>
      </c>
      <c r="B25" s="37">
        <f>aantalw2001_stookolie</f>
        <v>1324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4593</v>
      </c>
      <c r="C28" s="36"/>
      <c r="D28" s="228"/>
    </row>
    <row r="29" spans="1:7" s="15" customFormat="1">
      <c r="A29" s="230" t="s">
        <v>839</v>
      </c>
      <c r="B29" s="37">
        <f>SUM(HH_hh_gas_aantal,HH_rest_gas_aantal)</f>
        <v>3221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3221</v>
      </c>
      <c r="C32" s="167">
        <f>IF(ISERROR(B32/SUM($B$32,$B$34,$B$35,$B$36,$B$38,$B$39)*100),0,B32/SUM($B$32,$B$34,$B$35,$B$36,$B$38,$B$39)*100)</f>
        <v>70.543144984669297</v>
      </c>
      <c r="D32" s="233"/>
      <c r="G32" s="15"/>
    </row>
    <row r="33" spans="1:7">
      <c r="A33" s="171" t="s">
        <v>71</v>
      </c>
      <c r="B33" s="34" t="s">
        <v>110</v>
      </c>
      <c r="C33" s="167"/>
      <c r="D33" s="233"/>
      <c r="G33" s="15"/>
    </row>
    <row r="34" spans="1:7">
      <c r="A34" s="171" t="s">
        <v>72</v>
      </c>
      <c r="B34" s="33">
        <f>IF((($B$28-$B$32-$B$39-$B$77-$B$38)*C20/100)&lt;0,0,($B$28-$B$32-$B$39-$B$77-$B$38)*C20/100)</f>
        <v>141.62700228832955</v>
      </c>
      <c r="C34" s="167">
        <f>IF(ISERROR(B34/SUM($B$32,$B$34,$B$35,$B$36,$B$38,$B$39)*100),0,B34/SUM($B$32,$B$34,$B$35,$B$36,$B$38,$B$39)*100)</f>
        <v>3.1017740317198763</v>
      </c>
      <c r="D34" s="233"/>
      <c r="G34" s="15"/>
    </row>
    <row r="35" spans="1:7">
      <c r="A35" s="171" t="s">
        <v>73</v>
      </c>
      <c r="B35" s="33">
        <f>IF((($B$28-$B$32-$B$39-$B$77-$B$38)*C21/100)&lt;0,0,($B$28-$B$32-$B$39-$B$77-$B$38)*C21/100)</f>
        <v>691.33180778032056</v>
      </c>
      <c r="C35" s="167">
        <f>IF(ISERROR(B35/SUM($B$32,$B$34,$B$35,$B$36,$B$38,$B$39)*100),0,B35/SUM($B$32,$B$34,$B$35,$B$36,$B$38,$B$39)*100)</f>
        <v>15.140863070090244</v>
      </c>
      <c r="D35" s="233"/>
      <c r="G35" s="15"/>
    </row>
    <row r="36" spans="1:7">
      <c r="A36" s="171" t="s">
        <v>74</v>
      </c>
      <c r="B36" s="33">
        <f>IF((($B$28-$B$32-$B$39-$B$77-$B$38)*C22/100)&lt;0,0,($B$28-$B$32-$B$39-$B$77-$B$38)*C22/100)</f>
        <v>216.0411899313502</v>
      </c>
      <c r="C36" s="167">
        <f>IF(ISERROR(B36/SUM($B$32,$B$34,$B$35,$B$36,$B$38,$B$39)*100),0,B36/SUM($B$32,$B$34,$B$35,$B$36,$B$38,$B$39)*100)</f>
        <v>4.7315197094032024</v>
      </c>
      <c r="D36" s="233"/>
      <c r="G36" s="15"/>
    </row>
    <row r="37" spans="1:7">
      <c r="A37" s="171" t="s">
        <v>75</v>
      </c>
      <c r="B37" s="34" t="s">
        <v>110</v>
      </c>
      <c r="C37" s="167"/>
      <c r="D37" s="173"/>
      <c r="G37" s="15"/>
    </row>
    <row r="38" spans="1:7">
      <c r="A38" s="171" t="s">
        <v>76</v>
      </c>
      <c r="B38" s="33">
        <f>IF((B24-(B29-B18)*0.1)&lt;0,0,B24-(B29-B18)*0.1)</f>
        <v>24.099999999999994</v>
      </c>
      <c r="C38" s="167">
        <f>IF(ISERROR(B38/SUM($B$32,$B$34,$B$35,$B$36,$B$38,$B$39)*100),0,B38/SUM($B$32,$B$34,$B$35,$B$36,$B$38,$B$39)*100)</f>
        <v>0.52781427945685488</v>
      </c>
      <c r="D38" s="234"/>
      <c r="G38" s="15"/>
    </row>
    <row r="39" spans="1:7">
      <c r="A39" s="171" t="s">
        <v>77</v>
      </c>
      <c r="B39" s="33">
        <f>IF((B25-(B29-B18))&lt;0,0,B25-(B29-B18)*0.9)</f>
        <v>271.89999999999986</v>
      </c>
      <c r="C39" s="167">
        <f>IF(ISERROR(B39/SUM($B$32,$B$34,$B$35,$B$36,$B$38,$B$39)*100),0,B39/SUM($B$32,$B$34,$B$35,$B$36,$B$38,$B$39)*100)</f>
        <v>5.954883924660531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3221</v>
      </c>
      <c r="C44" s="34" t="s">
        <v>110</v>
      </c>
      <c r="D44" s="174"/>
    </row>
    <row r="45" spans="1:7">
      <c r="A45" s="171" t="s">
        <v>71</v>
      </c>
      <c r="B45" s="33" t="str">
        <f t="shared" si="0"/>
        <v>-</v>
      </c>
      <c r="C45" s="34" t="s">
        <v>110</v>
      </c>
      <c r="D45" s="174"/>
    </row>
    <row r="46" spans="1:7">
      <c r="A46" s="171" t="s">
        <v>72</v>
      </c>
      <c r="B46" s="33">
        <f t="shared" si="0"/>
        <v>141.62700228832955</v>
      </c>
      <c r="C46" s="34" t="s">
        <v>110</v>
      </c>
      <c r="D46" s="174"/>
    </row>
    <row r="47" spans="1:7">
      <c r="A47" s="171" t="s">
        <v>73</v>
      </c>
      <c r="B47" s="33">
        <f t="shared" si="0"/>
        <v>691.33180778032056</v>
      </c>
      <c r="C47" s="34" t="s">
        <v>110</v>
      </c>
      <c r="D47" s="174"/>
    </row>
    <row r="48" spans="1:7">
      <c r="A48" s="171" t="s">
        <v>74</v>
      </c>
      <c r="B48" s="33">
        <f t="shared" si="0"/>
        <v>216.0411899313502</v>
      </c>
      <c r="C48" s="33">
        <f>B48*10</f>
        <v>2160.4118993135021</v>
      </c>
      <c r="D48" s="234"/>
    </row>
    <row r="49" spans="1:6">
      <c r="A49" s="171" t="s">
        <v>75</v>
      </c>
      <c r="B49" s="33" t="str">
        <f t="shared" si="0"/>
        <v>-</v>
      </c>
      <c r="C49" s="34" t="s">
        <v>110</v>
      </c>
      <c r="D49" s="234"/>
    </row>
    <row r="50" spans="1:6">
      <c r="A50" s="171" t="s">
        <v>76</v>
      </c>
      <c r="B50" s="33">
        <f t="shared" si="0"/>
        <v>24.099999999999994</v>
      </c>
      <c r="C50" s="33">
        <f>B50*2</f>
        <v>48.199999999999989</v>
      </c>
      <c r="D50" s="234"/>
    </row>
    <row r="51" spans="1:6">
      <c r="A51" s="171" t="s">
        <v>77</v>
      </c>
      <c r="B51" s="33">
        <f t="shared" si="0"/>
        <v>271.89999999999986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11164.602190292379</v>
      </c>
      <c r="C5" s="17">
        <f>IF(ISERROR('Eigen informatie GS &amp; warmtenet'!B60),0,'Eigen informatie GS &amp; warmtenet'!B60)</f>
        <v>0</v>
      </c>
      <c r="D5" s="30">
        <f>SUM(D6:D12)</f>
        <v>11848.383034855546</v>
      </c>
      <c r="E5" s="17">
        <f>SUM(E6:E12)</f>
        <v>59.64325662359726</v>
      </c>
      <c r="F5" s="17">
        <f>SUM(F6:F12)</f>
        <v>2580.5200156330484</v>
      </c>
      <c r="G5" s="18"/>
      <c r="H5" s="17"/>
      <c r="I5" s="17"/>
      <c r="J5" s="17">
        <f>SUM(J6:J12)</f>
        <v>2.9779966748572279E-2</v>
      </c>
      <c r="K5" s="17"/>
      <c r="L5" s="17"/>
      <c r="M5" s="17"/>
      <c r="N5" s="17">
        <f>SUM(N6:N12)</f>
        <v>1087.9571117941089</v>
      </c>
      <c r="O5" s="17">
        <f>B38*B39*B40</f>
        <v>14.691782297523464</v>
      </c>
      <c r="P5" s="17">
        <f>B46*B47*B48/1000-B46*B47*B48/1000/B49</f>
        <v>420.31310645196015</v>
      </c>
      <c r="R5" s="32"/>
    </row>
    <row r="6" spans="1:18">
      <c r="A6" s="32" t="s">
        <v>53</v>
      </c>
      <c r="B6" s="37">
        <f>B26</f>
        <v>1595.06758620397</v>
      </c>
      <c r="C6" s="33"/>
      <c r="D6" s="37">
        <f>IF(ISERROR(TER_kantoor_gas_kWh/1000),0,TER_kantoor_gas_kWh/1000)*0.903</f>
        <v>3169.7380787383217</v>
      </c>
      <c r="E6" s="33">
        <f>$C$26*'E Balans VL '!I12/100/3.6*1000000</f>
        <v>0.38214027950560986</v>
      </c>
      <c r="F6" s="33">
        <f>$C$26*('E Balans VL '!L12+'E Balans VL '!N12)/100/3.6*1000000</f>
        <v>151.25838574279447</v>
      </c>
      <c r="G6" s="34"/>
      <c r="H6" s="33"/>
      <c r="I6" s="33"/>
      <c r="J6" s="33">
        <f>$C$26*('E Balans VL '!D12+'E Balans VL '!E12)/100/3.6*1000000</f>
        <v>0</v>
      </c>
      <c r="K6" s="33"/>
      <c r="L6" s="33"/>
      <c r="M6" s="33"/>
      <c r="N6" s="33">
        <f>$C$26*'E Balans VL '!Y12/100/3.6*1000000</f>
        <v>0.81021183100096694</v>
      </c>
      <c r="O6" s="33"/>
      <c r="P6" s="33"/>
      <c r="R6" s="32"/>
    </row>
    <row r="7" spans="1:18">
      <c r="A7" s="32" t="s">
        <v>52</v>
      </c>
      <c r="B7" s="37">
        <f t="shared" ref="B7:B12" si="0">B27</f>
        <v>645.87300175862595</v>
      </c>
      <c r="C7" s="33"/>
      <c r="D7" s="37">
        <f>IF(ISERROR(TER_horeca_gas_kWh/1000),0,TER_horeca_gas_kWh/1000)*0.903</f>
        <v>1108.0431387462766</v>
      </c>
      <c r="E7" s="33">
        <f>$C$27*'E Balans VL '!I9/100/3.6*1000000</f>
        <v>0</v>
      </c>
      <c r="F7" s="33">
        <f>$C$27*('E Balans VL '!L9+'E Balans VL '!N9)/100/3.6*1000000</f>
        <v>52.960067897453996</v>
      </c>
      <c r="G7" s="34"/>
      <c r="H7" s="33"/>
      <c r="I7" s="33"/>
      <c r="J7" s="33">
        <f>$C$27*('E Balans VL '!D9+'E Balans VL '!E9)/100/3.6*1000000</f>
        <v>0</v>
      </c>
      <c r="K7" s="33"/>
      <c r="L7" s="33"/>
      <c r="M7" s="33"/>
      <c r="N7" s="33">
        <f>$C$27*'E Balans VL '!Y9/100/3.6*1000000</f>
        <v>0.19798602431327375</v>
      </c>
      <c r="O7" s="33"/>
      <c r="P7" s="33"/>
      <c r="R7" s="32"/>
    </row>
    <row r="8" spans="1:18">
      <c r="A8" s="6" t="s">
        <v>51</v>
      </c>
      <c r="B8" s="37">
        <f t="shared" si="0"/>
        <v>4573.4921211936298</v>
      </c>
      <c r="C8" s="33"/>
      <c r="D8" s="37">
        <f>IF(ISERROR(TER_handel_gas_kWh/1000),0,TER_handel_gas_kWh/1000)*0.903</f>
        <v>2843.0546782442848</v>
      </c>
      <c r="E8" s="33">
        <f>$C$28*'E Balans VL '!I13/100/3.6*1000000</f>
        <v>16.073325149688227</v>
      </c>
      <c r="F8" s="33">
        <f>$C$28*('E Balans VL '!L13+'E Balans VL '!N13)/100/3.6*1000000</f>
        <v>418.46631586387804</v>
      </c>
      <c r="G8" s="34"/>
      <c r="H8" s="33"/>
      <c r="I8" s="33"/>
      <c r="J8" s="33">
        <f>$C$28*('E Balans VL '!D13+'E Balans VL '!E13)/100/3.6*1000000</f>
        <v>0</v>
      </c>
      <c r="K8" s="33"/>
      <c r="L8" s="33"/>
      <c r="M8" s="33"/>
      <c r="N8" s="33">
        <f>$C$28*'E Balans VL '!Y13/100/3.6*1000000</f>
        <v>1.6563219500917468</v>
      </c>
      <c r="O8" s="33"/>
      <c r="P8" s="33"/>
      <c r="R8" s="32"/>
    </row>
    <row r="9" spans="1:18">
      <c r="A9" s="32" t="s">
        <v>50</v>
      </c>
      <c r="B9" s="37">
        <f t="shared" si="0"/>
        <v>1163.0824752056701</v>
      </c>
      <c r="C9" s="33"/>
      <c r="D9" s="37">
        <f>IF(ISERROR(TER_gezond_gas_kWh/1000),0,TER_gezond_gas_kWh/1000)*0.903</f>
        <v>3090.9929300507756</v>
      </c>
      <c r="E9" s="33">
        <f>$C$29*'E Balans VL '!I10/100/3.6*1000000</f>
        <v>0</v>
      </c>
      <c r="F9" s="33">
        <f>$C$29*('E Balans VL '!L10+'E Balans VL '!N10)/100/3.6*1000000</f>
        <v>142.57255383687786</v>
      </c>
      <c r="G9" s="34"/>
      <c r="H9" s="33"/>
      <c r="I9" s="33"/>
      <c r="J9" s="33">
        <f>$C$29*('E Balans VL '!D10+'E Balans VL '!E10)/100/3.6*1000000</f>
        <v>0</v>
      </c>
      <c r="K9" s="33"/>
      <c r="L9" s="33"/>
      <c r="M9" s="33"/>
      <c r="N9" s="33">
        <f>$C$29*'E Balans VL '!Y10/100/3.6*1000000</f>
        <v>8.5769227549950866</v>
      </c>
      <c r="O9" s="33"/>
      <c r="P9" s="33"/>
      <c r="R9" s="32"/>
    </row>
    <row r="10" spans="1:18">
      <c r="A10" s="32" t="s">
        <v>49</v>
      </c>
      <c r="B10" s="37">
        <f t="shared" si="0"/>
        <v>3015.44240636123</v>
      </c>
      <c r="C10" s="33"/>
      <c r="D10" s="37">
        <f>IF(ISERROR(TER_ander_gas_kWh/1000),0,TER_ander_gas_kWh/1000)*0.903</f>
        <v>930.80850405399781</v>
      </c>
      <c r="E10" s="33">
        <f>$C$30*'E Balans VL '!I14/100/3.6*1000000</f>
        <v>43.187791194403424</v>
      </c>
      <c r="F10" s="33">
        <f>$C$30*('E Balans VL '!L14+'E Balans VL '!N14)/100/3.6*1000000</f>
        <v>1795.1953945876539</v>
      </c>
      <c r="G10" s="34"/>
      <c r="H10" s="33"/>
      <c r="I10" s="33"/>
      <c r="J10" s="33">
        <f>$C$30*('E Balans VL '!D14+'E Balans VL '!E14)/100/3.6*1000000</f>
        <v>2.9779966748572279E-2</v>
      </c>
      <c r="K10" s="33"/>
      <c r="L10" s="33"/>
      <c r="M10" s="33"/>
      <c r="N10" s="33">
        <f>$C$30*'E Balans VL '!Y14/100/3.6*1000000</f>
        <v>1076.232337751479</v>
      </c>
      <c r="O10" s="33"/>
      <c r="P10" s="33"/>
      <c r="R10" s="32"/>
    </row>
    <row r="11" spans="1:18">
      <c r="A11" s="32" t="s">
        <v>54</v>
      </c>
      <c r="B11" s="37">
        <f t="shared" si="0"/>
        <v>171.64459956925199</v>
      </c>
      <c r="C11" s="33"/>
      <c r="D11" s="37">
        <f>IF(ISERROR(TER_onderwijs_gas_kWh/1000),0,TER_onderwijs_gas_kWh/1000)*0.903</f>
        <v>705.74570502188908</v>
      </c>
      <c r="E11" s="33">
        <f>$C$31*'E Balans VL '!I11/100/3.6*1000000</f>
        <v>0</v>
      </c>
      <c r="F11" s="33">
        <f>$C$31*('E Balans VL '!L11+'E Balans VL '!N11)/100/3.6*1000000</f>
        <v>20.067297704390121</v>
      </c>
      <c r="G11" s="34"/>
      <c r="H11" s="33"/>
      <c r="I11" s="33"/>
      <c r="J11" s="33">
        <f>$C$31*('E Balans VL '!D11+'E Balans VL '!E11)/100/3.6*1000000</f>
        <v>0</v>
      </c>
      <c r="K11" s="33"/>
      <c r="L11" s="33"/>
      <c r="M11" s="33"/>
      <c r="N11" s="33">
        <f>$C$31*'E Balans VL '!Y11/100/3.6*1000000</f>
        <v>0.48333148222870381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0</v>
      </c>
      <c r="C13" s="247">
        <f ca="1">'lokale energieproductie'!O39+'lokale energieproductie'!O32</f>
        <v>0</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11164.602190292379</v>
      </c>
      <c r="C16" s="21">
        <f t="shared" ca="1" si="1"/>
        <v>0</v>
      </c>
      <c r="D16" s="21">
        <f t="shared" ca="1" si="1"/>
        <v>11848.383034855546</v>
      </c>
      <c r="E16" s="21">
        <f t="shared" si="1"/>
        <v>59.64325662359726</v>
      </c>
      <c r="F16" s="21">
        <f t="shared" ca="1" si="1"/>
        <v>2580.5200156330484</v>
      </c>
      <c r="G16" s="21">
        <f t="shared" si="1"/>
        <v>0</v>
      </c>
      <c r="H16" s="21">
        <f t="shared" si="1"/>
        <v>0</v>
      </c>
      <c r="I16" s="21">
        <f t="shared" si="1"/>
        <v>0</v>
      </c>
      <c r="J16" s="21">
        <f t="shared" si="1"/>
        <v>2.9779966748572279E-2</v>
      </c>
      <c r="K16" s="21">
        <f t="shared" si="1"/>
        <v>0</v>
      </c>
      <c r="L16" s="21">
        <f t="shared" ca="1" si="1"/>
        <v>0</v>
      </c>
      <c r="M16" s="21">
        <f t="shared" si="1"/>
        <v>0</v>
      </c>
      <c r="N16" s="21">
        <f t="shared" ca="1" si="1"/>
        <v>1087.9571117941089</v>
      </c>
      <c r="O16" s="21">
        <f>O5</f>
        <v>14.691782297523464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0.20650212536824844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2305.514081186378</v>
      </c>
      <c r="C20" s="23">
        <f t="shared" ref="C20:P20" ca="1" si="2">C16*C18</f>
        <v>0</v>
      </c>
      <c r="D20" s="23">
        <f t="shared" ca="1" si="2"/>
        <v>2393.3733730408203</v>
      </c>
      <c r="E20" s="23">
        <f t="shared" si="2"/>
        <v>13.539019253556578</v>
      </c>
      <c r="F20" s="23">
        <f t="shared" ca="1" si="2"/>
        <v>688.99884417402393</v>
      </c>
      <c r="G20" s="23">
        <f t="shared" si="2"/>
        <v>0</v>
      </c>
      <c r="H20" s="23">
        <f t="shared" si="2"/>
        <v>0</v>
      </c>
      <c r="I20" s="23">
        <f t="shared" si="2"/>
        <v>0</v>
      </c>
      <c r="J20" s="23">
        <f t="shared" si="2"/>
        <v>1.0542108228994587E-2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1595.06758620397</v>
      </c>
      <c r="C26" s="39">
        <f>IF(ISERROR(B26*3.6/1000000/'E Balans VL '!Z12*100),0,B26*3.6/1000000/'E Balans VL '!Z12*100)</f>
        <v>4.4985129883779708E-2</v>
      </c>
      <c r="D26" s="237" t="s">
        <v>702</v>
      </c>
      <c r="F26" s="6"/>
    </row>
    <row r="27" spans="1:18">
      <c r="A27" s="231" t="s">
        <v>52</v>
      </c>
      <c r="B27" s="33">
        <f>IF(ISERROR(TER_horeca_ele_kWh/1000),0,TER_horeca_ele_kWh/1000)</f>
        <v>645.87300175862595</v>
      </c>
      <c r="C27" s="39">
        <f>IF(ISERROR(B27*3.6/1000000/'E Balans VL '!Z9*100),0,B27*3.6/1000000/'E Balans VL '!Z9*100)</f>
        <v>4.7883548739043741E-2</v>
      </c>
      <c r="D27" s="237" t="s">
        <v>702</v>
      </c>
      <c r="F27" s="6"/>
    </row>
    <row r="28" spans="1:18">
      <c r="A28" s="171" t="s">
        <v>51</v>
      </c>
      <c r="B28" s="33">
        <f>IF(ISERROR(TER_handel_ele_kWh/1000),0,TER_handel_ele_kWh/1000)</f>
        <v>4573.4921211936298</v>
      </c>
      <c r="C28" s="39">
        <f>IF(ISERROR(B28*3.6/1000000/'E Balans VL '!Z13*100),0,B28*3.6/1000000/'E Balans VL '!Z13*100)</f>
        <v>0.13701095006745789</v>
      </c>
      <c r="D28" s="237" t="s">
        <v>702</v>
      </c>
      <c r="F28" s="6"/>
    </row>
    <row r="29" spans="1:18">
      <c r="A29" s="231" t="s">
        <v>50</v>
      </c>
      <c r="B29" s="33">
        <f>IF(ISERROR(TER_gezond_ele_kWh/1000),0,TER_gezond_ele_kWh/1000)</f>
        <v>1163.0824752056701</v>
      </c>
      <c r="C29" s="39">
        <f>IF(ISERROR(B29*3.6/1000000/'E Balans VL '!Z10*100),0,B29*3.6/1000000/'E Balans VL '!Z10*100)</f>
        <v>0.11500605101631681</v>
      </c>
      <c r="D29" s="237" t="s">
        <v>702</v>
      </c>
      <c r="F29" s="6"/>
    </row>
    <row r="30" spans="1:18">
      <c r="A30" s="231" t="s">
        <v>49</v>
      </c>
      <c r="B30" s="33">
        <f>IF(ISERROR(TER_ander_ele_kWh/1000),0,TER_ander_ele_kWh/1000)</f>
        <v>3015.44240636123</v>
      </c>
      <c r="C30" s="39">
        <f>IF(ISERROR(B30*3.6/1000000/'E Balans VL '!Z14*100),0,B30*3.6/1000000/'E Balans VL '!Z14*100)</f>
        <v>0.12196573412384551</v>
      </c>
      <c r="D30" s="237" t="s">
        <v>702</v>
      </c>
      <c r="F30" s="6"/>
    </row>
    <row r="31" spans="1:18">
      <c r="A31" s="231" t="s">
        <v>54</v>
      </c>
      <c r="B31" s="33">
        <f>IF(ISERROR(TER_onderwijs_ele_kWh/1000),0,TER_onderwijs_ele_kWh/1000)</f>
        <v>171.64459956925199</v>
      </c>
      <c r="C31" s="39">
        <f>IF(ISERROR(B31*3.6/1000000/'E Balans VL '!Z11*100),0,B31*3.6/1000000/'E Balans VL '!Z11*100)</f>
        <v>4.7158278315763649E-2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8</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17876.682089923215</v>
      </c>
      <c r="C5" s="17">
        <f>IF(ISERROR('Eigen informatie GS &amp; warmtenet'!B61),0,'Eigen informatie GS &amp; warmtenet'!B61)</f>
        <v>0</v>
      </c>
      <c r="D5" s="30">
        <f>SUM(D6:D15)</f>
        <v>15831.824238777423</v>
      </c>
      <c r="E5" s="17">
        <f>SUM(E6:E15)</f>
        <v>93.778376042114701</v>
      </c>
      <c r="F5" s="17">
        <f>SUM(F6:F15)</f>
        <v>3875.1375624401207</v>
      </c>
      <c r="G5" s="18"/>
      <c r="H5" s="17"/>
      <c r="I5" s="17"/>
      <c r="J5" s="17">
        <f>SUM(J6:J15)</f>
        <v>5.6437915732986408</v>
      </c>
      <c r="K5" s="17"/>
      <c r="L5" s="17"/>
      <c r="M5" s="17"/>
      <c r="N5" s="17">
        <f>SUM(N6:N15)</f>
        <v>573.97616241393462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938.99842849102504</v>
      </c>
      <c r="C8" s="33"/>
      <c r="D8" s="37">
        <f>IF( ISERROR(IND_metaal_Gas_kWH/1000),0,IND_metaal_Gas_kWH/1000)*0.903</f>
        <v>142.41267737165359</v>
      </c>
      <c r="E8" s="33">
        <f>C30*'E Balans VL '!I18/100/3.6*1000000</f>
        <v>4.7345939122644873</v>
      </c>
      <c r="F8" s="33">
        <f>C30*'E Balans VL '!L18/100/3.6*1000000+C30*'E Balans VL '!N18/100/3.6*1000000</f>
        <v>64.154291431810108</v>
      </c>
      <c r="G8" s="34"/>
      <c r="H8" s="33"/>
      <c r="I8" s="33"/>
      <c r="J8" s="40">
        <f>C30*'E Balans VL '!D18/100/3.6*1000000+C30*'E Balans VL '!E18/100/3.6*1000000</f>
        <v>0.8325022044550997</v>
      </c>
      <c r="K8" s="33"/>
      <c r="L8" s="33"/>
      <c r="M8" s="33"/>
      <c r="N8" s="33">
        <f>C30*'E Balans VL '!Y18/100/3.6*1000000</f>
        <v>12.479294687157527</v>
      </c>
      <c r="O8" s="33"/>
      <c r="P8" s="33"/>
      <c r="R8" s="32"/>
    </row>
    <row r="9" spans="1:18">
      <c r="A9" s="6" t="s">
        <v>32</v>
      </c>
      <c r="B9" s="37">
        <f t="shared" si="0"/>
        <v>5696.7506911769397</v>
      </c>
      <c r="C9" s="33"/>
      <c r="D9" s="37">
        <f>IF( ISERROR(IND_andere_gas_kWh/1000),0,IND_andere_gas_kWh/1000)*0.903</f>
        <v>2911.2909567814818</v>
      </c>
      <c r="E9" s="33">
        <f>C31*'E Balans VL '!I19/100/3.6*1000000</f>
        <v>17.9575045674788</v>
      </c>
      <c r="F9" s="33">
        <f>C31*'E Balans VL '!L19/100/3.6*1000000+C31*'E Balans VL '!N19/100/3.6*1000000</f>
        <v>3487.3111751452534</v>
      </c>
      <c r="G9" s="34"/>
      <c r="H9" s="33"/>
      <c r="I9" s="33"/>
      <c r="J9" s="40">
        <f>C31*'E Balans VL '!D19/100/3.6*1000000+C31*'E Balans VL '!E19/100/3.6*1000000</f>
        <v>0</v>
      </c>
      <c r="K9" s="33"/>
      <c r="L9" s="33"/>
      <c r="M9" s="33"/>
      <c r="N9" s="33">
        <f>C31*'E Balans VL '!Y19/100/3.6*1000000</f>
        <v>238.87249164799181</v>
      </c>
      <c r="O9" s="33"/>
      <c r="P9" s="33"/>
      <c r="R9" s="32"/>
    </row>
    <row r="10" spans="1:18">
      <c r="A10" s="6" t="s">
        <v>40</v>
      </c>
      <c r="B10" s="37">
        <f t="shared" si="0"/>
        <v>5572.1060583274193</v>
      </c>
      <c r="C10" s="33"/>
      <c r="D10" s="37">
        <f>IF( ISERROR(IND_voed_gas_kWh/1000),0,IND_voed_gas_kWh/1000)*0.903</f>
        <v>1726.9745234223092</v>
      </c>
      <c r="E10" s="33">
        <f>C32*'E Balans VL '!I20/100/3.6*1000000</f>
        <v>8.8803721688458559</v>
      </c>
      <c r="F10" s="33">
        <f>C32*'E Balans VL '!L20/100/3.6*1000000+C32*'E Balans VL '!N20/100/3.6*1000000</f>
        <v>90.533187267823109</v>
      </c>
      <c r="G10" s="34"/>
      <c r="H10" s="33"/>
      <c r="I10" s="33"/>
      <c r="J10" s="40">
        <f>C32*'E Balans VL '!D20/100/3.6*1000000+C32*'E Balans VL '!E20/100/3.6*1000000</f>
        <v>0</v>
      </c>
      <c r="K10" s="33"/>
      <c r="L10" s="33"/>
      <c r="M10" s="33"/>
      <c r="N10" s="33">
        <f>C32*'E Balans VL '!Y20/100/3.6*1000000</f>
        <v>175.99493849202051</v>
      </c>
      <c r="O10" s="33"/>
      <c r="P10" s="33"/>
      <c r="R10" s="32"/>
    </row>
    <row r="11" spans="1:18">
      <c r="A11" s="6" t="s">
        <v>39</v>
      </c>
      <c r="B11" s="37">
        <f t="shared" si="0"/>
        <v>2197.6754272325002</v>
      </c>
      <c r="C11" s="33"/>
      <c r="D11" s="37">
        <f>IF( ISERROR(IND_textiel_gas_kWh/1000),0,IND_textiel_gas_kWh/1000)*0.903</f>
        <v>7213.8402949210285</v>
      </c>
      <c r="E11" s="33">
        <f>C33*'E Balans VL '!I21/100/3.6*1000000</f>
        <v>3.1884254666652447</v>
      </c>
      <c r="F11" s="33">
        <f>C33*'E Balans VL '!L21/100/3.6*1000000+C33*'E Balans VL '!N21/100/3.6*1000000</f>
        <v>43.009920155117847</v>
      </c>
      <c r="G11" s="34"/>
      <c r="H11" s="33"/>
      <c r="I11" s="33"/>
      <c r="J11" s="40">
        <f>C33*'E Balans VL '!D21/100/3.6*1000000+C33*'E Balans VL '!E21/100/3.6*1000000</f>
        <v>0</v>
      </c>
      <c r="K11" s="33"/>
      <c r="L11" s="33"/>
      <c r="M11" s="33"/>
      <c r="N11" s="33">
        <f>C33*'E Balans VL '!Y21/100/3.6*1000000</f>
        <v>107.06575909577083</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1129.72558834608</v>
      </c>
      <c r="C13" s="33"/>
      <c r="D13" s="37">
        <f>IF( ISERROR(IND_papier_gas_kWh/1000),0,IND_papier_gas_kWh/1000)*0.903</f>
        <v>0</v>
      </c>
      <c r="E13" s="33">
        <f>C35*'E Balans VL '!I23/100/3.6*1000000</f>
        <v>0</v>
      </c>
      <c r="F13" s="33">
        <f>C35*'E Balans VL '!L23/100/3.6*1000000+C35*'E Balans VL '!N23/100/3.6*1000000</f>
        <v>4.8944965575413092E-2</v>
      </c>
      <c r="G13" s="34"/>
      <c r="H13" s="33"/>
      <c r="I13" s="33"/>
      <c r="J13" s="40">
        <f>C35*'E Balans VL '!D23/100/3.6*1000000+C35*'E Balans VL '!E23/100/3.6*1000000</f>
        <v>3.112932791630544E-2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2341.4258963492498</v>
      </c>
      <c r="C15" s="33"/>
      <c r="D15" s="37">
        <f>IF( ISERROR(IND_rest_gas_kWh/1000),0,IND_rest_gas_kWh/1000)*0.903</f>
        <v>3837.3057862809483</v>
      </c>
      <c r="E15" s="33">
        <f>C37*'E Balans VL '!I15/100/3.6*1000000</f>
        <v>59.017479926860304</v>
      </c>
      <c r="F15" s="33">
        <f>C37*'E Balans VL '!L15/100/3.6*1000000+C37*'E Balans VL '!N15/100/3.6*1000000</f>
        <v>190.08004347454062</v>
      </c>
      <c r="G15" s="34"/>
      <c r="H15" s="33"/>
      <c r="I15" s="33"/>
      <c r="J15" s="40">
        <f>C37*'E Balans VL '!D15/100/3.6*1000000+C37*'E Balans VL '!E15/100/3.6*1000000</f>
        <v>4.7801600409272353</v>
      </c>
      <c r="K15" s="33"/>
      <c r="L15" s="33"/>
      <c r="M15" s="33"/>
      <c r="N15" s="33">
        <f>C37*'E Balans VL '!Y15/100/3.6*1000000</f>
        <v>39.563678490993837</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17876.682089923215</v>
      </c>
      <c r="C18" s="21">
        <f>C5+C16</f>
        <v>0</v>
      </c>
      <c r="D18" s="21">
        <f>MAX((D5+D16),0)</f>
        <v>15831.824238777423</v>
      </c>
      <c r="E18" s="21">
        <f>MAX((E5+E16),0)</f>
        <v>93.778376042114701</v>
      </c>
      <c r="F18" s="21">
        <f>MAX((F5+F16),0)</f>
        <v>3875.1375624401207</v>
      </c>
      <c r="G18" s="21"/>
      <c r="H18" s="21"/>
      <c r="I18" s="21"/>
      <c r="J18" s="21">
        <f>MAX((J5+J16),0)</f>
        <v>5.6437915732986408</v>
      </c>
      <c r="K18" s="21"/>
      <c r="L18" s="21">
        <f>MAX((L5+L16),0)</f>
        <v>0</v>
      </c>
      <c r="M18" s="21"/>
      <c r="N18" s="21">
        <f>MAX((N5+N16),0)</f>
        <v>573.97616241393462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0.20650212536824844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3691.5728461016452</v>
      </c>
      <c r="C22" s="23">
        <f ca="1">C18*C20</f>
        <v>0</v>
      </c>
      <c r="D22" s="23">
        <f>D18*D20</f>
        <v>3198.0284962330397</v>
      </c>
      <c r="E22" s="23">
        <f>E18*E20</f>
        <v>21.287691361560039</v>
      </c>
      <c r="F22" s="23">
        <f>F18*F20</f>
        <v>1034.6617291715122</v>
      </c>
      <c r="G22" s="23"/>
      <c r="H22" s="23"/>
      <c r="I22" s="23"/>
      <c r="J22" s="23">
        <f>J18*J20</f>
        <v>1.9979022169477187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938.99842849102504</v>
      </c>
      <c r="C30" s="39">
        <f>IF(ISERROR(B30*3.6/1000000/'E Balans VL '!Z18*100),0,B30*3.6/1000000/'E Balans VL '!Z18*100)</f>
        <v>4.6609765723769049E-2</v>
      </c>
      <c r="D30" s="237" t="s">
        <v>702</v>
      </c>
    </row>
    <row r="31" spans="1:18">
      <c r="A31" s="6" t="s">
        <v>32</v>
      </c>
      <c r="B31" s="37">
        <f>IF( ISERROR(IND_ander_ele_kWh/1000),0,IND_ander_ele_kWh/1000)</f>
        <v>5696.7506911769397</v>
      </c>
      <c r="C31" s="39">
        <f>IF(ISERROR(B31*3.6/1000000/'E Balans VL '!Z19*100),0,B31*3.6/1000000/'E Balans VL '!Z19*100)</f>
        <v>0.1922361438704272</v>
      </c>
      <c r="D31" s="237" t="s">
        <v>702</v>
      </c>
    </row>
    <row r="32" spans="1:18">
      <c r="A32" s="171" t="s">
        <v>40</v>
      </c>
      <c r="B32" s="37">
        <f>IF( ISERROR(IND_voed_ele_kWh/1000),0,IND_voed_ele_kWh/1000)</f>
        <v>5572.1060583274193</v>
      </c>
      <c r="C32" s="39">
        <f>IF(ISERROR(B32*3.6/1000000/'E Balans VL '!Z20*100),0,B32*3.6/1000000/'E Balans VL '!Z20*100)</f>
        <v>0.13085708319032047</v>
      </c>
      <c r="D32" s="237" t="s">
        <v>702</v>
      </c>
    </row>
    <row r="33" spans="1:5">
      <c r="A33" s="171" t="s">
        <v>39</v>
      </c>
      <c r="B33" s="37">
        <f>IF( ISERROR(IND_textiel_ele_kWh/1000),0,IND_textiel_ele_kWh/1000)</f>
        <v>2197.6754272325002</v>
      </c>
      <c r="C33" s="39">
        <f>IF(ISERROR(B33*3.6/1000000/'E Balans VL '!Z21*100),0,B33*3.6/1000000/'E Balans VL '!Z21*100)</f>
        <v>0.24119209245629086</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1129.72558834608</v>
      </c>
      <c r="C35" s="39">
        <f>IF(ISERROR(B35*3.6/1000000/'E Balans VL '!Z22*100),0,B35*3.6/1000000/'E Balans VL '!Z22*100)</f>
        <v>0.16027502617083711</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2341.4258963492498</v>
      </c>
      <c r="C37" s="39">
        <f>IF(ISERROR(B37*3.6/1000000/'E Balans VL '!Z15*100),0,B37*3.6/1000000/'E Balans VL '!Z15*100)</f>
        <v>8.774561922501695E-3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3516.5751655480099</v>
      </c>
      <c r="C5" s="17">
        <f>'Eigen informatie GS &amp; warmtenet'!B62</f>
        <v>0</v>
      </c>
      <c r="D5" s="30">
        <f>IF(ISERROR(SUM(LB_lb_gas_kWh,LB_rest_gas_kWh)/1000),0,SUM(LB_lb_gas_kWh,LB_rest_gas_kWh)/1000)*0.903</f>
        <v>71439.527486644147</v>
      </c>
      <c r="E5" s="17">
        <f>B17*'E Balans VL '!I25/3.6*1000000/100</f>
        <v>131.14384435939795</v>
      </c>
      <c r="F5" s="17">
        <f>B17*('E Balans VL '!L25/3.6*1000000+'E Balans VL '!N25/3.6*1000000)/100</f>
        <v>11409.128695170528</v>
      </c>
      <c r="G5" s="18"/>
      <c r="H5" s="17"/>
      <c r="I5" s="17"/>
      <c r="J5" s="17">
        <f>('E Balans VL '!D25+'E Balans VL '!E25)/3.6*1000000*landbouw!B17/100</f>
        <v>923.11834196137306</v>
      </c>
      <c r="K5" s="17"/>
      <c r="L5" s="17">
        <f>L6*(-1)</f>
        <v>0</v>
      </c>
      <c r="M5" s="17"/>
      <c r="N5" s="17">
        <f>N6*(-1)</f>
        <v>0</v>
      </c>
      <c r="O5" s="17"/>
      <c r="P5" s="17"/>
      <c r="R5" s="32"/>
    </row>
    <row r="6" spans="1:18">
      <c r="A6" s="16" t="s">
        <v>479</v>
      </c>
      <c r="B6" s="17" t="s">
        <v>210</v>
      </c>
      <c r="C6" s="17">
        <f>'lokale energieproductie'!O40+'lokale energieproductie'!O33</f>
        <v>31422.857142857145</v>
      </c>
      <c r="D6" s="310">
        <f>('lokale energieproductie'!P33+'lokale energieproductie'!P40)*(-1)</f>
        <v>-62845.71428571429</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3516.5751655480099</v>
      </c>
      <c r="C8" s="21">
        <f>C5+C6</f>
        <v>31422.857142857145</v>
      </c>
      <c r="D8" s="21">
        <f>MAX((D5+D6),0)</f>
        <v>8593.813200929857</v>
      </c>
      <c r="E8" s="21">
        <f>MAX((E5+E6),0)</f>
        <v>131.14384435939795</v>
      </c>
      <c r="F8" s="21">
        <f>MAX((F5+F6),0)</f>
        <v>11409.128695170528</v>
      </c>
      <c r="G8" s="21"/>
      <c r="H8" s="21"/>
      <c r="I8" s="21"/>
      <c r="J8" s="21">
        <f>MAX((J5+J6),0)</f>
        <v>923.11834196137306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0.20650212536824844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726.18024570286411</v>
      </c>
      <c r="C12" s="23">
        <f ca="1">C8*C10</f>
        <v>7467.5495798319334</v>
      </c>
      <c r="D12" s="23">
        <f>D8*D10</f>
        <v>1735.9502665878313</v>
      </c>
      <c r="E12" s="23">
        <f>E8*E10</f>
        <v>29.769652669583333</v>
      </c>
      <c r="F12" s="23">
        <f>F8*F10</f>
        <v>3046.237361610531</v>
      </c>
      <c r="G12" s="23"/>
      <c r="H12" s="23"/>
      <c r="I12" s="23"/>
      <c r="J12" s="23">
        <f>J8*J10</f>
        <v>326.78389305432603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0.4829924224205811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57.083921462134278</v>
      </c>
      <c r="C26" s="247">
        <f>B26*'GWP N2O_CH4'!B5</f>
        <v>1198.7623507048199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46.686434488585363</v>
      </c>
      <c r="C27" s="247">
        <f>B27*'GWP N2O_CH4'!B5</f>
        <v>980.4151242602926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1.3567329321043673</v>
      </c>
      <c r="C28" s="247">
        <f>B28*'GWP N2O_CH4'!B4</f>
        <v>420.58720895235388</v>
      </c>
      <c r="D28" s="50"/>
    </row>
    <row r="29" spans="1:4">
      <c r="A29" s="41" t="s">
        <v>276</v>
      </c>
      <c r="B29" s="247">
        <f>B34*'ha_N2O bodem landbouw'!B4</f>
        <v>4.8167689532446749</v>
      </c>
      <c r="C29" s="247">
        <f>B29*'GWP N2O_CH4'!B4</f>
        <v>1493.1983755058493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1.0977554002304429E-3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1.5908912317360053E-4</v>
      </c>
      <c r="C5" s="440" t="s">
        <v>210</v>
      </c>
      <c r="D5" s="425">
        <f>SUM(D6:D11)</f>
        <v>6.3905040716004998E-4</v>
      </c>
      <c r="E5" s="425">
        <f>SUM(E6:E11)</f>
        <v>3.4305802920663563E-4</v>
      </c>
      <c r="F5" s="438" t="s">
        <v>210</v>
      </c>
      <c r="G5" s="425">
        <f>SUM(G6:G11)</f>
        <v>0.18186397541982374</v>
      </c>
      <c r="H5" s="425">
        <f>SUM(H6:H11)</f>
        <v>4.0751565226322041E-2</v>
      </c>
      <c r="I5" s="440" t="s">
        <v>210</v>
      </c>
      <c r="J5" s="440" t="s">
        <v>210</v>
      </c>
      <c r="K5" s="440" t="s">
        <v>210</v>
      </c>
      <c r="L5" s="440" t="s">
        <v>210</v>
      </c>
      <c r="M5" s="425">
        <f>SUM(M6:M11)</f>
        <v>1.3072090090620403E-2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1.3340796295499303E-4</v>
      </c>
      <c r="C6" s="426"/>
      <c r="D6" s="893">
        <f>vkm_GW_PW*SUMIFS(TableVerdeelsleutelVkm[CNG],TableVerdeelsleutelVkm[Voertuigtype],"Lichte voertuigen")*SUMIFS(TableECFTransport[EnergieConsumptieFactor (PJ per km)],TableECFTransport[Index],CONCATENATE($A6,"_CNG_CNG"))</f>
        <v>4.8182885010218402E-4</v>
      </c>
      <c r="E6" s="893">
        <f>vkm_GW_PW*SUMIFS(TableVerdeelsleutelVkm[LPG],TableVerdeelsleutelVkm[Voertuigtype],"Lichte voertuigen")*SUMIFS(TableECFTransport[EnergieConsumptieFactor (PJ per km)],TableECFTransport[Index],CONCATENATE($A6,"_LPG_LPG"))</f>
        <v>2.6186161212085211E-4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8.1489720272979044E-2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3.0840587150507793E-2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6.7319372899208221E-3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6.8043820139231714E-2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7.1633424593985288E-7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3.8309736535239195E-3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2.5681160218607499E-5</v>
      </c>
      <c r="C8" s="426"/>
      <c r="D8" s="428">
        <f>vkm_NGW_PW*SUMIFS(TableVerdeelsleutelVkm[CNG],TableVerdeelsleutelVkm[Voertuigtype],"Lichte voertuigen")*SUMIFS(TableECFTransport[EnergieConsumptieFactor (PJ per km)],TableECFTransport[Index],CONCATENATE($A8,"_CNG_CNG"))</f>
        <v>1.5722155705786596E-4</v>
      </c>
      <c r="E8" s="428">
        <f>vkm_NGW_PW*SUMIFS(TableVerdeelsleutelVkm[LPG],TableVerdeelsleutelVkm[Voertuigtype],"Lichte voertuigen")*SUMIFS(TableECFTransport[EnergieConsumptieFactor (PJ per km)],TableECFTransport[Index],CONCATENATE($A8,"_LPG_LPG"))</f>
        <v>8.1196417085783513E-5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2.3514502428120244E-2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9.9101269389904739E-3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2.0128254149492379E-3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8.8159325794927319E-3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1.348025778272863E-7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4.9635373222642559E-4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44.191423103777922</v>
      </c>
      <c r="C14" s="21"/>
      <c r="D14" s="21">
        <f t="shared" ref="D14:M14" si="0">((D5)*10^9/3600)+D12</f>
        <v>177.51400198890278</v>
      </c>
      <c r="E14" s="21">
        <f t="shared" si="0"/>
        <v>95.29389700184322</v>
      </c>
      <c r="F14" s="21"/>
      <c r="G14" s="21">
        <f t="shared" si="0"/>
        <v>50517.770949951038</v>
      </c>
      <c r="H14" s="21">
        <f t="shared" si="0"/>
        <v>11319.879229533901</v>
      </c>
      <c r="I14" s="21"/>
      <c r="J14" s="21"/>
      <c r="K14" s="21"/>
      <c r="L14" s="21"/>
      <c r="M14" s="21">
        <f t="shared" si="0"/>
        <v>3631.1361362834455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0.20650212536824844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9.1256227939776586</v>
      </c>
      <c r="C18" s="23"/>
      <c r="D18" s="23">
        <f t="shared" ref="D18:M18" si="1">D14*D16</f>
        <v>35.857828401758361</v>
      </c>
      <c r="E18" s="23">
        <f t="shared" si="1"/>
        <v>21.63171461941841</v>
      </c>
      <c r="F18" s="23"/>
      <c r="G18" s="23">
        <f t="shared" si="1"/>
        <v>13488.244843636929</v>
      </c>
      <c r="H18" s="23">
        <f t="shared" si="1"/>
        <v>2818.6499281539413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2.0076917406325417E-3</v>
      </c>
      <c r="H50" s="321">
        <f t="shared" si="2"/>
        <v>0</v>
      </c>
      <c r="I50" s="321">
        <f t="shared" si="2"/>
        <v>0</v>
      </c>
      <c r="J50" s="321">
        <f t="shared" si="2"/>
        <v>0</v>
      </c>
      <c r="K50" s="321">
        <f t="shared" si="2"/>
        <v>0</v>
      </c>
      <c r="L50" s="321">
        <f t="shared" si="2"/>
        <v>0</v>
      </c>
      <c r="M50" s="321">
        <f t="shared" si="2"/>
        <v>1.0894878883241101E-4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2.0076917406325417E-3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1.0894878883241101E-4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557.69215017570605</v>
      </c>
      <c r="H54" s="21">
        <f t="shared" si="3"/>
        <v>0</v>
      </c>
      <c r="I54" s="21">
        <f t="shared" si="3"/>
        <v>0</v>
      </c>
      <c r="J54" s="21">
        <f t="shared" si="3"/>
        <v>0</v>
      </c>
      <c r="K54" s="21">
        <f t="shared" si="3"/>
        <v>0</v>
      </c>
      <c r="L54" s="21">
        <f t="shared" si="3"/>
        <v>0</v>
      </c>
      <c r="M54" s="21">
        <f t="shared" si="3"/>
        <v>30.263552453447502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0.20650212536824844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148.90380409691352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11950.276190292378</v>
      </c>
      <c r="D10" s="689">
        <f ca="1">tertiair!C16</f>
        <v>0</v>
      </c>
      <c r="E10" s="689">
        <f ca="1">tertiair!D16</f>
        <v>11848.383034855546</v>
      </c>
      <c r="F10" s="689">
        <f>tertiair!E16</f>
        <v>59.64325662359726</v>
      </c>
      <c r="G10" s="689">
        <f ca="1">tertiair!F16</f>
        <v>2580.5200156330484</v>
      </c>
      <c r="H10" s="689">
        <f>tertiair!G16</f>
        <v>0</v>
      </c>
      <c r="I10" s="689">
        <f>tertiair!H16</f>
        <v>0</v>
      </c>
      <c r="J10" s="689">
        <f>tertiair!I16</f>
        <v>0</v>
      </c>
      <c r="K10" s="689">
        <f>tertiair!J16</f>
        <v>2.9779966748572279E-2</v>
      </c>
      <c r="L10" s="689">
        <f>tertiair!K16</f>
        <v>0</v>
      </c>
      <c r="M10" s="689">
        <f ca="1">tertiair!L16</f>
        <v>0</v>
      </c>
      <c r="N10" s="689">
        <f>tertiair!M16</f>
        <v>0</v>
      </c>
      <c r="O10" s="689">
        <f ca="1">tertiair!N16</f>
        <v>1087.9571117941089</v>
      </c>
      <c r="P10" s="689">
        <f>tertiair!O16</f>
        <v>14.691782297523464</v>
      </c>
      <c r="Q10" s="690">
        <f>tertiair!P16</f>
        <v>420.31310645196015</v>
      </c>
      <c r="R10" s="692">
        <f ca="1">SUM(C10:Q10)</f>
        <v>27961.814277914906</v>
      </c>
      <c r="S10" s="67"/>
    </row>
    <row r="11" spans="1:19" s="451" customFormat="1">
      <c r="A11" s="811" t="s">
        <v>224</v>
      </c>
      <c r="B11" s="816"/>
      <c r="C11" s="689">
        <f>huishoudens!B8</f>
        <v>17587.422983903882</v>
      </c>
      <c r="D11" s="689">
        <f>huishoudens!C8</f>
        <v>0</v>
      </c>
      <c r="E11" s="689">
        <f>huishoudens!D8</f>
        <v>40693.904781693127</v>
      </c>
      <c r="F11" s="689">
        <f>huishoudens!E8</f>
        <v>5093.0355669729834</v>
      </c>
      <c r="G11" s="689">
        <f>huishoudens!F8</f>
        <v>5639.2369783024869</v>
      </c>
      <c r="H11" s="689">
        <f>huishoudens!G8</f>
        <v>0</v>
      </c>
      <c r="I11" s="689">
        <f>huishoudens!H8</f>
        <v>0</v>
      </c>
      <c r="J11" s="689">
        <f>huishoudens!I8</f>
        <v>0</v>
      </c>
      <c r="K11" s="689">
        <f>huishoudens!J8</f>
        <v>338.45035138351182</v>
      </c>
      <c r="L11" s="689">
        <f>huishoudens!K8</f>
        <v>0</v>
      </c>
      <c r="M11" s="689">
        <f>huishoudens!L8</f>
        <v>0</v>
      </c>
      <c r="N11" s="689">
        <f>huishoudens!M8</f>
        <v>0</v>
      </c>
      <c r="O11" s="689">
        <f>huishoudens!N8</f>
        <v>14561.900149317526</v>
      </c>
      <c r="P11" s="689">
        <f>huishoudens!O8</f>
        <v>345.20873017334355</v>
      </c>
      <c r="Q11" s="690">
        <f>huishoudens!P8</f>
        <v>284.41690130749561</v>
      </c>
      <c r="R11" s="692">
        <f>SUM(C11:Q11)</f>
        <v>84543.576443054364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17876.682089923215</v>
      </c>
      <c r="D13" s="689">
        <f>industrie!C18</f>
        <v>0</v>
      </c>
      <c r="E13" s="689">
        <f>industrie!D18</f>
        <v>15831.824238777423</v>
      </c>
      <c r="F13" s="689">
        <f>industrie!E18</f>
        <v>93.778376042114701</v>
      </c>
      <c r="G13" s="689">
        <f>industrie!F18</f>
        <v>3875.1375624401207</v>
      </c>
      <c r="H13" s="689">
        <f>industrie!G18</f>
        <v>0</v>
      </c>
      <c r="I13" s="689">
        <f>industrie!H18</f>
        <v>0</v>
      </c>
      <c r="J13" s="689">
        <f>industrie!I18</f>
        <v>0</v>
      </c>
      <c r="K13" s="689">
        <f>industrie!J18</f>
        <v>5.6437915732986408</v>
      </c>
      <c r="L13" s="689">
        <f>industrie!K18</f>
        <v>0</v>
      </c>
      <c r="M13" s="689">
        <f>industrie!L18</f>
        <v>0</v>
      </c>
      <c r="N13" s="689">
        <f>industrie!M18</f>
        <v>0</v>
      </c>
      <c r="O13" s="689">
        <f>industrie!N18</f>
        <v>573.97616241393462</v>
      </c>
      <c r="P13" s="689">
        <f>industrie!O18</f>
        <v>0</v>
      </c>
      <c r="Q13" s="690">
        <f>industrie!P18</f>
        <v>0</v>
      </c>
      <c r="R13" s="692">
        <f>SUM(C13:Q13)</f>
        <v>38257.042221170101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47414.381264119475</v>
      </c>
      <c r="D16" s="725">
        <f t="shared" ref="D16:R16" ca="1" si="0">SUM(D9:D15)</f>
        <v>0</v>
      </c>
      <c r="E16" s="725">
        <f t="shared" ca="1" si="0"/>
        <v>68374.112055326099</v>
      </c>
      <c r="F16" s="725">
        <f t="shared" si="0"/>
        <v>5246.4571996386949</v>
      </c>
      <c r="G16" s="725">
        <f t="shared" ca="1" si="0"/>
        <v>12094.894556375655</v>
      </c>
      <c r="H16" s="725">
        <f t="shared" si="0"/>
        <v>0</v>
      </c>
      <c r="I16" s="725">
        <f t="shared" si="0"/>
        <v>0</v>
      </c>
      <c r="J16" s="725">
        <f t="shared" si="0"/>
        <v>0</v>
      </c>
      <c r="K16" s="725">
        <f t="shared" si="0"/>
        <v>344.12392292355901</v>
      </c>
      <c r="L16" s="725">
        <f t="shared" si="0"/>
        <v>0</v>
      </c>
      <c r="M16" s="725">
        <f t="shared" ca="1" si="0"/>
        <v>0</v>
      </c>
      <c r="N16" s="725">
        <f t="shared" si="0"/>
        <v>0</v>
      </c>
      <c r="O16" s="725">
        <f t="shared" ca="1" si="0"/>
        <v>16223.833423525568</v>
      </c>
      <c r="P16" s="725">
        <f t="shared" si="0"/>
        <v>359.900512470867</v>
      </c>
      <c r="Q16" s="725">
        <f t="shared" si="0"/>
        <v>704.7300077594557</v>
      </c>
      <c r="R16" s="725">
        <f t="shared" ca="1" si="0"/>
        <v>150762.43294213936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557.69215017570605</v>
      </c>
      <c r="I19" s="689">
        <f>transport!H54</f>
        <v>0</v>
      </c>
      <c r="J19" s="689">
        <f>transport!I54</f>
        <v>0</v>
      </c>
      <c r="K19" s="689">
        <f>transport!J54</f>
        <v>0</v>
      </c>
      <c r="L19" s="689">
        <f>transport!K54</f>
        <v>0</v>
      </c>
      <c r="M19" s="689">
        <f>transport!L54</f>
        <v>0</v>
      </c>
      <c r="N19" s="689">
        <f>transport!M54</f>
        <v>30.263552453447502</v>
      </c>
      <c r="O19" s="689">
        <f>transport!N54</f>
        <v>0</v>
      </c>
      <c r="P19" s="689">
        <f>transport!O54</f>
        <v>0</v>
      </c>
      <c r="Q19" s="690">
        <f>transport!P54</f>
        <v>0</v>
      </c>
      <c r="R19" s="692">
        <f>SUM(C19:Q19)</f>
        <v>587.95570262915351</v>
      </c>
      <c r="S19" s="67"/>
    </row>
    <row r="20" spans="1:19" s="451" customFormat="1">
      <c r="A20" s="811" t="s">
        <v>306</v>
      </c>
      <c r="B20" s="816"/>
      <c r="C20" s="689">
        <f>transport!B14</f>
        <v>44.191423103777922</v>
      </c>
      <c r="D20" s="689">
        <f>transport!C14</f>
        <v>0</v>
      </c>
      <c r="E20" s="689">
        <f>transport!D14</f>
        <v>177.51400198890278</v>
      </c>
      <c r="F20" s="689">
        <f>transport!E14</f>
        <v>95.29389700184322</v>
      </c>
      <c r="G20" s="689">
        <f>transport!F14</f>
        <v>0</v>
      </c>
      <c r="H20" s="689">
        <f>transport!G14</f>
        <v>50517.770949951038</v>
      </c>
      <c r="I20" s="689">
        <f>transport!H14</f>
        <v>11319.879229533901</v>
      </c>
      <c r="J20" s="689">
        <f>transport!I14</f>
        <v>0</v>
      </c>
      <c r="K20" s="689">
        <f>transport!J14</f>
        <v>0</v>
      </c>
      <c r="L20" s="689">
        <f>transport!K14</f>
        <v>0</v>
      </c>
      <c r="M20" s="689">
        <f>transport!L14</f>
        <v>0</v>
      </c>
      <c r="N20" s="689">
        <f>transport!M14</f>
        <v>3631.1361362834455</v>
      </c>
      <c r="O20" s="689">
        <f>transport!N14</f>
        <v>0</v>
      </c>
      <c r="P20" s="689">
        <f>transport!O14</f>
        <v>0</v>
      </c>
      <c r="Q20" s="690">
        <f>transport!P14</f>
        <v>0</v>
      </c>
      <c r="R20" s="692">
        <f>SUM(C20:Q20)</f>
        <v>65785.785637862908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44.191423103777922</v>
      </c>
      <c r="D22" s="814">
        <f t="shared" ref="D22:R22" si="1">SUM(D18:D21)</f>
        <v>0</v>
      </c>
      <c r="E22" s="814">
        <f t="shared" si="1"/>
        <v>177.51400198890278</v>
      </c>
      <c r="F22" s="814">
        <f t="shared" si="1"/>
        <v>95.29389700184322</v>
      </c>
      <c r="G22" s="814">
        <f t="shared" si="1"/>
        <v>0</v>
      </c>
      <c r="H22" s="814">
        <f t="shared" si="1"/>
        <v>51075.463100126741</v>
      </c>
      <c r="I22" s="814">
        <f t="shared" si="1"/>
        <v>11319.879229533901</v>
      </c>
      <c r="J22" s="814">
        <f t="shared" si="1"/>
        <v>0</v>
      </c>
      <c r="K22" s="814">
        <f t="shared" si="1"/>
        <v>0</v>
      </c>
      <c r="L22" s="814">
        <f t="shared" si="1"/>
        <v>0</v>
      </c>
      <c r="M22" s="814">
        <f t="shared" si="1"/>
        <v>0</v>
      </c>
      <c r="N22" s="814">
        <f t="shared" si="1"/>
        <v>3661.399688736893</v>
      </c>
      <c r="O22" s="814">
        <f t="shared" si="1"/>
        <v>0</v>
      </c>
      <c r="P22" s="814">
        <f t="shared" si="1"/>
        <v>0</v>
      </c>
      <c r="Q22" s="814">
        <f t="shared" si="1"/>
        <v>0</v>
      </c>
      <c r="R22" s="814">
        <f t="shared" si="1"/>
        <v>66373.741340492066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3516.5751655480099</v>
      </c>
      <c r="D24" s="689">
        <f>+landbouw!C8</f>
        <v>31422.857142857145</v>
      </c>
      <c r="E24" s="689">
        <f>+landbouw!D8</f>
        <v>8593.813200929857</v>
      </c>
      <c r="F24" s="689">
        <f>+landbouw!E8</f>
        <v>131.14384435939795</v>
      </c>
      <c r="G24" s="689">
        <f>+landbouw!F8</f>
        <v>11409.128695170528</v>
      </c>
      <c r="H24" s="689">
        <f>+landbouw!G8</f>
        <v>0</v>
      </c>
      <c r="I24" s="689">
        <f>+landbouw!H8</f>
        <v>0</v>
      </c>
      <c r="J24" s="689">
        <f>+landbouw!I8</f>
        <v>0</v>
      </c>
      <c r="K24" s="689">
        <f>+landbouw!J8</f>
        <v>923.11834196137306</v>
      </c>
      <c r="L24" s="689">
        <f>+landbouw!K8</f>
        <v>0</v>
      </c>
      <c r="M24" s="689">
        <f>+landbouw!L8</f>
        <v>0</v>
      </c>
      <c r="N24" s="689">
        <f>+landbouw!M8</f>
        <v>0</v>
      </c>
      <c r="O24" s="689">
        <f>+landbouw!N8</f>
        <v>0</v>
      </c>
      <c r="P24" s="689">
        <f>+landbouw!O8</f>
        <v>0</v>
      </c>
      <c r="Q24" s="690">
        <f>+landbouw!P8</f>
        <v>0</v>
      </c>
      <c r="R24" s="692">
        <f>SUM(C24:Q24)</f>
        <v>55996.636390826316</v>
      </c>
      <c r="S24" s="67"/>
    </row>
    <row r="25" spans="1:19" s="451" customFormat="1" ht="15" thickBot="1">
      <c r="A25" s="833" t="s">
        <v>714</v>
      </c>
      <c r="B25" s="947"/>
      <c r="C25" s="948">
        <f>IF(Onbekend_ele_kWh="---",0,Onbekend_ele_kWh)/1000+IF(REST_rest_ele_kWh="---",0,REST_rest_ele_kWh)/1000</f>
        <v>455.707551843359</v>
      </c>
      <c r="D25" s="948"/>
      <c r="E25" s="948">
        <f>IF(onbekend_gas_kWh="---",0,onbekend_gas_kWh)/1000+IF(REST_rest_gas_kWh="---",0,REST_rest_gas_kWh)/1000</f>
        <v>1323.2544873750101</v>
      </c>
      <c r="F25" s="948"/>
      <c r="G25" s="948"/>
      <c r="H25" s="948"/>
      <c r="I25" s="948"/>
      <c r="J25" s="948"/>
      <c r="K25" s="948"/>
      <c r="L25" s="948"/>
      <c r="M25" s="948"/>
      <c r="N25" s="948"/>
      <c r="O25" s="948"/>
      <c r="P25" s="948"/>
      <c r="Q25" s="949"/>
      <c r="R25" s="692">
        <f>SUM(C25:Q25)</f>
        <v>1778.962039218369</v>
      </c>
      <c r="S25" s="67"/>
    </row>
    <row r="26" spans="1:19" s="451" customFormat="1" ht="15.75" thickBot="1">
      <c r="A26" s="697" t="s">
        <v>715</v>
      </c>
      <c r="B26" s="819"/>
      <c r="C26" s="814">
        <f>SUM(C24:C25)</f>
        <v>3972.2827173913688</v>
      </c>
      <c r="D26" s="814">
        <f t="shared" ref="D26:R26" si="2">SUM(D24:D25)</f>
        <v>31422.857142857145</v>
      </c>
      <c r="E26" s="814">
        <f t="shared" si="2"/>
        <v>9917.0676883048673</v>
      </c>
      <c r="F26" s="814">
        <f t="shared" si="2"/>
        <v>131.14384435939795</v>
      </c>
      <c r="G26" s="814">
        <f t="shared" si="2"/>
        <v>11409.128695170528</v>
      </c>
      <c r="H26" s="814">
        <f t="shared" si="2"/>
        <v>0</v>
      </c>
      <c r="I26" s="814">
        <f t="shared" si="2"/>
        <v>0</v>
      </c>
      <c r="J26" s="814">
        <f t="shared" si="2"/>
        <v>0</v>
      </c>
      <c r="K26" s="814">
        <f t="shared" si="2"/>
        <v>923.11834196137306</v>
      </c>
      <c r="L26" s="814">
        <f t="shared" si="2"/>
        <v>0</v>
      </c>
      <c r="M26" s="814">
        <f t="shared" si="2"/>
        <v>0</v>
      </c>
      <c r="N26" s="814">
        <f t="shared" si="2"/>
        <v>0</v>
      </c>
      <c r="O26" s="814">
        <f t="shared" si="2"/>
        <v>0</v>
      </c>
      <c r="P26" s="814">
        <f t="shared" si="2"/>
        <v>0</v>
      </c>
      <c r="Q26" s="814">
        <f t="shared" si="2"/>
        <v>0</v>
      </c>
      <c r="R26" s="814">
        <f t="shared" si="2"/>
        <v>57775.598430044687</v>
      </c>
      <c r="S26" s="67"/>
    </row>
    <row r="27" spans="1:19" s="451" customFormat="1" ht="17.25" thickTop="1" thickBot="1">
      <c r="A27" s="698" t="s">
        <v>115</v>
      </c>
      <c r="B27" s="806"/>
      <c r="C27" s="699">
        <f ca="1">C22+C16+C26</f>
        <v>51430.855404614624</v>
      </c>
      <c r="D27" s="699">
        <f t="shared" ref="D27:R27" ca="1" si="3">D22+D16+D26</f>
        <v>31422.857142857145</v>
      </c>
      <c r="E27" s="699">
        <f t="shared" ca="1" si="3"/>
        <v>78468.693745619879</v>
      </c>
      <c r="F27" s="699">
        <f t="shared" si="3"/>
        <v>5472.8949409999359</v>
      </c>
      <c r="G27" s="699">
        <f t="shared" ca="1" si="3"/>
        <v>23504.023251546183</v>
      </c>
      <c r="H27" s="699">
        <f t="shared" si="3"/>
        <v>51075.463100126741</v>
      </c>
      <c r="I27" s="699">
        <f t="shared" si="3"/>
        <v>11319.879229533901</v>
      </c>
      <c r="J27" s="699">
        <f t="shared" si="3"/>
        <v>0</v>
      </c>
      <c r="K27" s="699">
        <f t="shared" si="3"/>
        <v>1267.242264884932</v>
      </c>
      <c r="L27" s="699">
        <f t="shared" si="3"/>
        <v>0</v>
      </c>
      <c r="M27" s="699">
        <f t="shared" ca="1" si="3"/>
        <v>0</v>
      </c>
      <c r="N27" s="699">
        <f t="shared" si="3"/>
        <v>3661.399688736893</v>
      </c>
      <c r="O27" s="699">
        <f t="shared" ca="1" si="3"/>
        <v>16223.833423525568</v>
      </c>
      <c r="P27" s="699">
        <f t="shared" si="3"/>
        <v>359.900512470867</v>
      </c>
      <c r="Q27" s="699">
        <f t="shared" si="3"/>
        <v>704.7300077594557</v>
      </c>
      <c r="R27" s="699">
        <f t="shared" ca="1" si="3"/>
        <v>274911.77271267609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2467.7574320329513</v>
      </c>
      <c r="D40" s="689">
        <f ca="1">tertiair!C20</f>
        <v>0</v>
      </c>
      <c r="E40" s="689">
        <f ca="1">tertiair!D20</f>
        <v>2393.3733730408203</v>
      </c>
      <c r="F40" s="689">
        <f>tertiair!E20</f>
        <v>13.539019253556578</v>
      </c>
      <c r="G40" s="689">
        <f ca="1">tertiair!F20</f>
        <v>688.99884417402393</v>
      </c>
      <c r="H40" s="689">
        <f>tertiair!G20</f>
        <v>0</v>
      </c>
      <c r="I40" s="689">
        <f>tertiair!H20</f>
        <v>0</v>
      </c>
      <c r="J40" s="689">
        <f>tertiair!I20</f>
        <v>0</v>
      </c>
      <c r="K40" s="689">
        <f>tertiair!J20</f>
        <v>1.0542108228994587E-2</v>
      </c>
      <c r="L40" s="689">
        <f>tertiair!K20</f>
        <v>0</v>
      </c>
      <c r="M40" s="689">
        <f ca="1">tertiair!L20</f>
        <v>0</v>
      </c>
      <c r="N40" s="689">
        <f>tertiair!M20</f>
        <v>0</v>
      </c>
      <c r="O40" s="689">
        <f ca="1">tertiair!N20</f>
        <v>0</v>
      </c>
      <c r="P40" s="689">
        <f>tertiair!O20</f>
        <v>0</v>
      </c>
      <c r="Q40" s="772">
        <f>tertiair!P20</f>
        <v>0</v>
      </c>
      <c r="R40" s="852">
        <f t="shared" ca="1" si="4"/>
        <v>5563.6792106095818</v>
      </c>
    </row>
    <row r="41" spans="1:18">
      <c r="A41" s="824" t="s">
        <v>224</v>
      </c>
      <c r="B41" s="831"/>
      <c r="C41" s="689">
        <f ca="1">huishoudens!B12</f>
        <v>3631.8402259265335</v>
      </c>
      <c r="D41" s="689">
        <f ca="1">huishoudens!C12</f>
        <v>0</v>
      </c>
      <c r="E41" s="689">
        <f>huishoudens!D12</f>
        <v>8220.1687659020117</v>
      </c>
      <c r="F41" s="689">
        <f>huishoudens!E12</f>
        <v>1156.1190737028674</v>
      </c>
      <c r="G41" s="689">
        <f>huishoudens!F12</f>
        <v>1505.6762732067641</v>
      </c>
      <c r="H41" s="689">
        <f>huishoudens!G12</f>
        <v>0</v>
      </c>
      <c r="I41" s="689">
        <f>huishoudens!H12</f>
        <v>0</v>
      </c>
      <c r="J41" s="689">
        <f>huishoudens!I12</f>
        <v>0</v>
      </c>
      <c r="K41" s="689">
        <f>huishoudens!J12</f>
        <v>119.81142438976318</v>
      </c>
      <c r="L41" s="689">
        <f>huishoudens!K12</f>
        <v>0</v>
      </c>
      <c r="M41" s="689">
        <f>huishoudens!L12</f>
        <v>0</v>
      </c>
      <c r="N41" s="689">
        <f>huishoudens!M12</f>
        <v>0</v>
      </c>
      <c r="O41" s="689">
        <f>huishoudens!N12</f>
        <v>0</v>
      </c>
      <c r="P41" s="689">
        <f>huishoudens!O12</f>
        <v>0</v>
      </c>
      <c r="Q41" s="772">
        <f>huishoudens!P12</f>
        <v>0</v>
      </c>
      <c r="R41" s="852">
        <f t="shared" ca="1" si="4"/>
        <v>14633.615763127938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3691.5728461016452</v>
      </c>
      <c r="D43" s="689">
        <f ca="1">industrie!C22</f>
        <v>0</v>
      </c>
      <c r="E43" s="689">
        <f>industrie!D22</f>
        <v>3198.0284962330397</v>
      </c>
      <c r="F43" s="689">
        <f>industrie!E22</f>
        <v>21.287691361560039</v>
      </c>
      <c r="G43" s="689">
        <f>industrie!F22</f>
        <v>1034.6617291715122</v>
      </c>
      <c r="H43" s="689">
        <f>industrie!G22</f>
        <v>0</v>
      </c>
      <c r="I43" s="689">
        <f>industrie!H22</f>
        <v>0</v>
      </c>
      <c r="J43" s="689">
        <f>industrie!I22</f>
        <v>0</v>
      </c>
      <c r="K43" s="689">
        <f>industrie!J22</f>
        <v>1.9979022169477187</v>
      </c>
      <c r="L43" s="689">
        <f>industrie!K22</f>
        <v>0</v>
      </c>
      <c r="M43" s="689">
        <f>industrie!L22</f>
        <v>0</v>
      </c>
      <c r="N43" s="689">
        <f>industrie!M22</f>
        <v>0</v>
      </c>
      <c r="O43" s="689">
        <f>industrie!N22</f>
        <v>0</v>
      </c>
      <c r="P43" s="689">
        <f>industrie!O22</f>
        <v>0</v>
      </c>
      <c r="Q43" s="772">
        <f>industrie!P22</f>
        <v>0</v>
      </c>
      <c r="R43" s="851">
        <f t="shared" ca="1" si="4"/>
        <v>7947.5486650847042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9791.1705040611305</v>
      </c>
      <c r="D46" s="725">
        <f t="shared" ref="D46:Q46" ca="1" si="5">SUM(D39:D45)</f>
        <v>0</v>
      </c>
      <c r="E46" s="725">
        <f t="shared" ca="1" si="5"/>
        <v>13811.570635175871</v>
      </c>
      <c r="F46" s="725">
        <f t="shared" si="5"/>
        <v>1190.9457843179839</v>
      </c>
      <c r="G46" s="725">
        <f t="shared" ca="1" si="5"/>
        <v>3229.3368465522999</v>
      </c>
      <c r="H46" s="725">
        <f t="shared" si="5"/>
        <v>0</v>
      </c>
      <c r="I46" s="725">
        <f t="shared" si="5"/>
        <v>0</v>
      </c>
      <c r="J46" s="725">
        <f t="shared" si="5"/>
        <v>0</v>
      </c>
      <c r="K46" s="725">
        <f t="shared" si="5"/>
        <v>121.81986871493989</v>
      </c>
      <c r="L46" s="725">
        <f t="shared" si="5"/>
        <v>0</v>
      </c>
      <c r="M46" s="725">
        <f t="shared" ca="1" si="5"/>
        <v>0</v>
      </c>
      <c r="N46" s="725">
        <f t="shared" si="5"/>
        <v>0</v>
      </c>
      <c r="O46" s="725">
        <f t="shared" ca="1" si="5"/>
        <v>0</v>
      </c>
      <c r="P46" s="725">
        <f t="shared" si="5"/>
        <v>0</v>
      </c>
      <c r="Q46" s="725">
        <f t="shared" si="5"/>
        <v>0</v>
      </c>
      <c r="R46" s="725">
        <f ca="1">SUM(R39:R45)</f>
        <v>28144.843638822225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148.90380409691352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148.90380409691352</v>
      </c>
    </row>
    <row r="50" spans="1:18">
      <c r="A50" s="827" t="s">
        <v>306</v>
      </c>
      <c r="B50" s="837"/>
      <c r="C50" s="695">
        <f ca="1">transport!B18</f>
        <v>9.1256227939776586</v>
      </c>
      <c r="D50" s="695">
        <f>transport!C18</f>
        <v>0</v>
      </c>
      <c r="E50" s="695">
        <f>transport!D18</f>
        <v>35.857828401758361</v>
      </c>
      <c r="F50" s="695">
        <f>transport!E18</f>
        <v>21.63171461941841</v>
      </c>
      <c r="G50" s="695">
        <f>transport!F18</f>
        <v>0</v>
      </c>
      <c r="H50" s="695">
        <f>transport!G18</f>
        <v>13488.244843636929</v>
      </c>
      <c r="I50" s="695">
        <f>transport!H18</f>
        <v>2818.6499281539413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16373.509937606024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9.1256227939776586</v>
      </c>
      <c r="D52" s="725">
        <f t="shared" ref="D52:Q52" ca="1" si="6">SUM(D48:D51)</f>
        <v>0</v>
      </c>
      <c r="E52" s="725">
        <f t="shared" si="6"/>
        <v>35.857828401758361</v>
      </c>
      <c r="F52" s="725">
        <f t="shared" si="6"/>
        <v>21.63171461941841</v>
      </c>
      <c r="G52" s="725">
        <f t="shared" si="6"/>
        <v>0</v>
      </c>
      <c r="H52" s="725">
        <f t="shared" si="6"/>
        <v>13637.148647733842</v>
      </c>
      <c r="I52" s="725">
        <f t="shared" si="6"/>
        <v>2818.6499281539413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16522.413741702938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726.18024570286411</v>
      </c>
      <c r="D54" s="695">
        <f ca="1">+landbouw!C12</f>
        <v>7467.5495798319334</v>
      </c>
      <c r="E54" s="695">
        <f>+landbouw!D12</f>
        <v>1735.9502665878313</v>
      </c>
      <c r="F54" s="695">
        <f>+landbouw!E12</f>
        <v>29.769652669583333</v>
      </c>
      <c r="G54" s="695">
        <f>+landbouw!F12</f>
        <v>3046.237361610531</v>
      </c>
      <c r="H54" s="695">
        <f>+landbouw!G12</f>
        <v>0</v>
      </c>
      <c r="I54" s="695">
        <f>+landbouw!H12</f>
        <v>0</v>
      </c>
      <c r="J54" s="695">
        <f>+landbouw!I12</f>
        <v>0</v>
      </c>
      <c r="K54" s="695">
        <f>+landbouw!J12</f>
        <v>326.78389305432603</v>
      </c>
      <c r="L54" s="695">
        <f>+landbouw!K12</f>
        <v>0</v>
      </c>
      <c r="M54" s="695">
        <f>+landbouw!L12</f>
        <v>0</v>
      </c>
      <c r="N54" s="695">
        <f>+landbouw!M12</f>
        <v>0</v>
      </c>
      <c r="O54" s="695">
        <f>+landbouw!N12</f>
        <v>0</v>
      </c>
      <c r="P54" s="695">
        <f>+landbouw!O12</f>
        <v>0</v>
      </c>
      <c r="Q54" s="696">
        <f>+landbouw!P12</f>
        <v>0</v>
      </c>
      <c r="R54" s="724">
        <f ca="1">SUM(C54:Q54)</f>
        <v>13332.470999457069</v>
      </c>
    </row>
    <row r="55" spans="1:18" ht="15" thickBot="1">
      <c r="A55" s="827" t="s">
        <v>714</v>
      </c>
      <c r="B55" s="837"/>
      <c r="C55" s="695">
        <f ca="1">C25*'EF ele_warmte'!B12</f>
        <v>94.10457800201489</v>
      </c>
      <c r="D55" s="695"/>
      <c r="E55" s="695">
        <f>E25*EF_CO2_aardgas</f>
        <v>267.29740644975203</v>
      </c>
      <c r="F55" s="695"/>
      <c r="G55" s="695"/>
      <c r="H55" s="695"/>
      <c r="I55" s="695"/>
      <c r="J55" s="695"/>
      <c r="K55" s="695"/>
      <c r="L55" s="695"/>
      <c r="M55" s="695"/>
      <c r="N55" s="695"/>
      <c r="O55" s="695"/>
      <c r="P55" s="695"/>
      <c r="Q55" s="696"/>
      <c r="R55" s="724">
        <f ca="1">SUM(C55:Q55)</f>
        <v>361.40198445176691</v>
      </c>
    </row>
    <row r="56" spans="1:18" ht="15.75" thickBot="1">
      <c r="A56" s="825" t="s">
        <v>715</v>
      </c>
      <c r="B56" s="838"/>
      <c r="C56" s="725">
        <f ca="1">SUM(C54:C55)</f>
        <v>820.28482370487905</v>
      </c>
      <c r="D56" s="725">
        <f t="shared" ref="D56:Q56" ca="1" si="7">SUM(D54:D55)</f>
        <v>7467.5495798319334</v>
      </c>
      <c r="E56" s="725">
        <f t="shared" si="7"/>
        <v>2003.2476730375834</v>
      </c>
      <c r="F56" s="725">
        <f t="shared" si="7"/>
        <v>29.769652669583333</v>
      </c>
      <c r="G56" s="725">
        <f t="shared" si="7"/>
        <v>3046.237361610531</v>
      </c>
      <c r="H56" s="725">
        <f t="shared" si="7"/>
        <v>0</v>
      </c>
      <c r="I56" s="725">
        <f t="shared" si="7"/>
        <v>0</v>
      </c>
      <c r="J56" s="725">
        <f t="shared" si="7"/>
        <v>0</v>
      </c>
      <c r="K56" s="725">
        <f t="shared" si="7"/>
        <v>326.78389305432603</v>
      </c>
      <c r="L56" s="725">
        <f t="shared" si="7"/>
        <v>0</v>
      </c>
      <c r="M56" s="725">
        <f t="shared" si="7"/>
        <v>0</v>
      </c>
      <c r="N56" s="725">
        <f t="shared" si="7"/>
        <v>0</v>
      </c>
      <c r="O56" s="725">
        <f t="shared" si="7"/>
        <v>0</v>
      </c>
      <c r="P56" s="725">
        <f t="shared" si="7"/>
        <v>0</v>
      </c>
      <c r="Q56" s="726">
        <f t="shared" si="7"/>
        <v>0</v>
      </c>
      <c r="R56" s="727">
        <f ca="1">SUM(R54:R55)</f>
        <v>13693.872983908836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10620.580950559986</v>
      </c>
      <c r="D61" s="733">
        <f t="shared" ref="D61:Q61" ca="1" si="8">D46+D52+D56</f>
        <v>7467.5495798319334</v>
      </c>
      <c r="E61" s="733">
        <f t="shared" ca="1" si="8"/>
        <v>15850.676136615213</v>
      </c>
      <c r="F61" s="733">
        <f t="shared" si="8"/>
        <v>1242.3471516069858</v>
      </c>
      <c r="G61" s="733">
        <f t="shared" ca="1" si="8"/>
        <v>6275.5742081628305</v>
      </c>
      <c r="H61" s="733">
        <f t="shared" si="8"/>
        <v>13637.148647733842</v>
      </c>
      <c r="I61" s="733">
        <f t="shared" si="8"/>
        <v>2818.6499281539413</v>
      </c>
      <c r="J61" s="733">
        <f t="shared" si="8"/>
        <v>0</v>
      </c>
      <c r="K61" s="733">
        <f t="shared" si="8"/>
        <v>448.60376176926593</v>
      </c>
      <c r="L61" s="733">
        <f t="shared" si="8"/>
        <v>0</v>
      </c>
      <c r="M61" s="733">
        <f t="shared" ca="1" si="8"/>
        <v>0</v>
      </c>
      <c r="N61" s="733">
        <f t="shared" si="8"/>
        <v>0</v>
      </c>
      <c r="O61" s="733">
        <f t="shared" ca="1" si="8"/>
        <v>0</v>
      </c>
      <c r="P61" s="733">
        <f t="shared" si="8"/>
        <v>0</v>
      </c>
      <c r="Q61" s="733">
        <f t="shared" si="8"/>
        <v>0</v>
      </c>
      <c r="R61" s="733">
        <f ca="1">R46+R52+R56</f>
        <v>58361.130364433993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0.20650212536824844</v>
      </c>
      <c r="D63" s="779">
        <f t="shared" ca="1" si="9"/>
        <v>0.23764705882352941</v>
      </c>
      <c r="E63" s="973">
        <f t="shared" ca="1" si="9"/>
        <v>0.20199999999999996</v>
      </c>
      <c r="F63" s="779">
        <f t="shared" si="9"/>
        <v>0.22700000000000006</v>
      </c>
      <c r="G63" s="779">
        <f t="shared" ca="1" si="9"/>
        <v>0.26699999999999996</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5030.7999988334732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21996</v>
      </c>
      <c r="D76" s="956">
        <f>'lokale energieproductie'!C8</f>
        <v>25877.647058823532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5227.2847058823536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5030.7999988334732</v>
      </c>
      <c r="C78" s="751">
        <f>SUM(C72:C77)</f>
        <v>21996</v>
      </c>
      <c r="D78" s="752">
        <f t="shared" ref="D78:H78" si="10">SUM(D76:D77)</f>
        <v>25877.647058823532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5227.2847058823536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31422.857142857145</v>
      </c>
      <c r="D87" s="775">
        <f>'lokale energieproductie'!C17</f>
        <v>36968.067226890758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7467.5495798319334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31422.857142857145</v>
      </c>
      <c r="D90" s="751">
        <f t="shared" ref="D90:H90" si="12">SUM(D87:D89)</f>
        <v>36968.067226890758</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7467.5495798319334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5030.7999988334732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21996</v>
      </c>
      <c r="C8" s="551">
        <f>B49</f>
        <v>25877.647058823532</v>
      </c>
      <c r="D8" s="552"/>
      <c r="E8" s="552">
        <f>E49</f>
        <v>0</v>
      </c>
      <c r="F8" s="553"/>
      <c r="G8" s="554"/>
      <c r="H8" s="552">
        <f>I49</f>
        <v>0</v>
      </c>
      <c r="I8" s="552">
        <f>G49+F49</f>
        <v>0</v>
      </c>
      <c r="J8" s="552">
        <f>H49+D49+C49</f>
        <v>0</v>
      </c>
      <c r="K8" s="552"/>
      <c r="L8" s="552"/>
      <c r="M8" s="552"/>
      <c r="N8" s="555"/>
      <c r="O8" s="556">
        <f>C8*$C$12+D8*$D$12+E8*$E$12+F8*$F$12+G8*$G$12+H8*$H$12+I8*$I$12+J8*$J$12</f>
        <v>5227.2847058823536</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27026.799998833474</v>
      </c>
      <c r="C10" s="566">
        <f t="shared" ref="C10:L10" si="0">SUM(C8:C9)</f>
        <v>25877.647058823532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5227.2847058823536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31422.857142857145</v>
      </c>
      <c r="C17" s="582">
        <f>B50</f>
        <v>36968.067226890758</v>
      </c>
      <c r="D17" s="583"/>
      <c r="E17" s="583">
        <f>E50</f>
        <v>0</v>
      </c>
      <c r="F17" s="584"/>
      <c r="G17" s="585"/>
      <c r="H17" s="582">
        <f>I50</f>
        <v>0</v>
      </c>
      <c r="I17" s="583">
        <f>G50+F50</f>
        <v>0</v>
      </c>
      <c r="J17" s="583">
        <f>H50+D50+C50</f>
        <v>0</v>
      </c>
      <c r="K17" s="583"/>
      <c r="L17" s="583"/>
      <c r="M17" s="583"/>
      <c r="N17" s="970"/>
      <c r="O17" s="586">
        <f>C17*$C$22+E17*$E$22+H17*$H$22+I17*$I$22+J17*$J$22+D17*$D$22+F17*$F$22+G17*$G$22+K17*$K$22+L17*$L$22</f>
        <v>7467.5495798319334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31422.857142857145</v>
      </c>
      <c r="C20" s="565">
        <f>SUM(C17:C19)</f>
        <v>36968.067226890758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7467.5495798319334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36007</v>
      </c>
      <c r="C28" s="794">
        <v>8770</v>
      </c>
      <c r="D28" s="643" t="s">
        <v>865</v>
      </c>
      <c r="E28" s="642" t="s">
        <v>866</v>
      </c>
      <c r="F28" s="642" t="s">
        <v>867</v>
      </c>
      <c r="G28" s="642" t="s">
        <v>868</v>
      </c>
      <c r="H28" s="642" t="s">
        <v>869</v>
      </c>
      <c r="I28" s="642" t="s">
        <v>866</v>
      </c>
      <c r="J28" s="793">
        <v>41810</v>
      </c>
      <c r="K28" s="793">
        <v>40550</v>
      </c>
      <c r="L28" s="642" t="s">
        <v>870</v>
      </c>
      <c r="M28" s="642">
        <v>3488</v>
      </c>
      <c r="N28" s="642">
        <v>15696</v>
      </c>
      <c r="O28" s="642">
        <v>22422.857142857145</v>
      </c>
      <c r="P28" s="642">
        <v>44845.71428571429</v>
      </c>
      <c r="Q28" s="642">
        <v>0</v>
      </c>
      <c r="R28" s="642">
        <v>0</v>
      </c>
      <c r="S28" s="642">
        <v>0</v>
      </c>
      <c r="T28" s="642">
        <v>0</v>
      </c>
      <c r="U28" s="642">
        <v>0</v>
      </c>
      <c r="V28" s="642">
        <v>0</v>
      </c>
      <c r="W28" s="642">
        <v>0</v>
      </c>
      <c r="X28" s="642">
        <v>10</v>
      </c>
      <c r="Y28" s="642" t="s">
        <v>111</v>
      </c>
      <c r="Z28" s="644" t="s">
        <v>111</v>
      </c>
    </row>
    <row r="29" spans="1:26" s="596" customFormat="1" ht="25.5">
      <c r="A29" s="595"/>
      <c r="B29" s="794">
        <v>36007</v>
      </c>
      <c r="C29" s="794">
        <v>8770</v>
      </c>
      <c r="D29" s="643" t="s">
        <v>871</v>
      </c>
      <c r="E29" s="642" t="s">
        <v>872</v>
      </c>
      <c r="F29" s="642" t="s">
        <v>873</v>
      </c>
      <c r="G29" s="642" t="s">
        <v>868</v>
      </c>
      <c r="H29" s="642" t="s">
        <v>869</v>
      </c>
      <c r="I29" s="642" t="s">
        <v>872</v>
      </c>
      <c r="J29" s="793">
        <v>40681</v>
      </c>
      <c r="K29" s="793">
        <v>40681</v>
      </c>
      <c r="L29" s="642" t="s">
        <v>870</v>
      </c>
      <c r="M29" s="642">
        <v>1400</v>
      </c>
      <c r="N29" s="642">
        <v>6300</v>
      </c>
      <c r="O29" s="642">
        <v>9000</v>
      </c>
      <c r="P29" s="642">
        <v>18000</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4888</v>
      </c>
      <c r="N30" s="600">
        <f>SUM(N28:N29)</f>
        <v>21996</v>
      </c>
      <c r="O30" s="600">
        <f>SUM(O28:O29)</f>
        <v>31422.857142857145</v>
      </c>
      <c r="P30" s="600">
        <f>SUM(P28:P29)</f>
        <v>62845.71428571429</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0</v>
      </c>
      <c r="N32" s="600">
        <f ca="1">SUMIF($Z$28:AD29,"tertiair",N28:N29)</f>
        <v>0</v>
      </c>
      <c r="O32" s="600">
        <f ca="1">SUMIF($Z$28:AE29,"tertiair",O28:O29)</f>
        <v>0</v>
      </c>
      <c r="P32" s="600">
        <f ca="1">SUMIF($Z$28:AF29,"tertiair",P28:P29)</f>
        <v>0</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4888</v>
      </c>
      <c r="N33" s="605">
        <f>SUMIF($Z$28:$Z$29,"landbouw",N28:N29)</f>
        <v>21996</v>
      </c>
      <c r="O33" s="605">
        <f>SUMIF($Z$28:$Z$29,"landbouw",O28:O29)</f>
        <v>31422.857142857145</v>
      </c>
      <c r="P33" s="605">
        <f>SUMIF($Z$28:$Z$29,"landbouw",P28:P29)</f>
        <v>62845.71428571429</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25877.647058823532</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36968.067226890758</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17587.422983903882</v>
      </c>
      <c r="C4" s="455">
        <f>huishoudens!C8</f>
        <v>0</v>
      </c>
      <c r="D4" s="455">
        <f>huishoudens!D8</f>
        <v>40693.904781693127</v>
      </c>
      <c r="E4" s="455">
        <f>huishoudens!E8</f>
        <v>5093.0355669729834</v>
      </c>
      <c r="F4" s="455">
        <f>huishoudens!F8</f>
        <v>5639.2369783024869</v>
      </c>
      <c r="G4" s="455">
        <f>huishoudens!G8</f>
        <v>0</v>
      </c>
      <c r="H4" s="455">
        <f>huishoudens!H8</f>
        <v>0</v>
      </c>
      <c r="I4" s="455">
        <f>huishoudens!I8</f>
        <v>0</v>
      </c>
      <c r="J4" s="455">
        <f>huishoudens!J8</f>
        <v>338.45035138351182</v>
      </c>
      <c r="K4" s="455">
        <f>huishoudens!K8</f>
        <v>0</v>
      </c>
      <c r="L4" s="455">
        <f>huishoudens!L8</f>
        <v>0</v>
      </c>
      <c r="M4" s="455">
        <f>huishoudens!M8</f>
        <v>0</v>
      </c>
      <c r="N4" s="455">
        <f>huishoudens!N8</f>
        <v>14561.900149317526</v>
      </c>
      <c r="O4" s="455">
        <f>huishoudens!O8</f>
        <v>345.20873017334355</v>
      </c>
      <c r="P4" s="456">
        <f>huishoudens!P8</f>
        <v>284.41690130749561</v>
      </c>
      <c r="Q4" s="457">
        <f>SUM(B4:P4)</f>
        <v>84543.576443054364</v>
      </c>
    </row>
    <row r="5" spans="1:17">
      <c r="A5" s="454" t="s">
        <v>155</v>
      </c>
      <c r="B5" s="455">
        <f ca="1">tertiair!B16</f>
        <v>11164.602190292379</v>
      </c>
      <c r="C5" s="455">
        <f ca="1">tertiair!C16</f>
        <v>0</v>
      </c>
      <c r="D5" s="455">
        <f ca="1">tertiair!D16</f>
        <v>11848.383034855546</v>
      </c>
      <c r="E5" s="455">
        <f>tertiair!E16</f>
        <v>59.64325662359726</v>
      </c>
      <c r="F5" s="455">
        <f ca="1">tertiair!F16</f>
        <v>2580.5200156330484</v>
      </c>
      <c r="G5" s="455">
        <f>tertiair!G16</f>
        <v>0</v>
      </c>
      <c r="H5" s="455">
        <f>tertiair!H16</f>
        <v>0</v>
      </c>
      <c r="I5" s="455">
        <f>tertiair!I16</f>
        <v>0</v>
      </c>
      <c r="J5" s="455">
        <f>tertiair!J16</f>
        <v>2.9779966748572279E-2</v>
      </c>
      <c r="K5" s="455">
        <f>tertiair!K16</f>
        <v>0</v>
      </c>
      <c r="L5" s="455">
        <f ca="1">tertiair!L16</f>
        <v>0</v>
      </c>
      <c r="M5" s="455">
        <f>tertiair!M16</f>
        <v>0</v>
      </c>
      <c r="N5" s="455">
        <f ca="1">tertiair!N16</f>
        <v>1087.9571117941089</v>
      </c>
      <c r="O5" s="455">
        <f>tertiair!O16</f>
        <v>14.691782297523464</v>
      </c>
      <c r="P5" s="456">
        <f>tertiair!P16</f>
        <v>420.31310645196015</v>
      </c>
      <c r="Q5" s="454">
        <f t="shared" ref="Q5:Q14" ca="1" si="0">SUM(B5:P5)</f>
        <v>27176.140277914907</v>
      </c>
    </row>
    <row r="6" spans="1:17">
      <c r="A6" s="454" t="s">
        <v>193</v>
      </c>
      <c r="B6" s="455">
        <f>'openbare verlichting'!B8</f>
        <v>785.67399999999998</v>
      </c>
      <c r="C6" s="455"/>
      <c r="D6" s="455"/>
      <c r="E6" s="455"/>
      <c r="F6" s="455"/>
      <c r="G6" s="455"/>
      <c r="H6" s="455"/>
      <c r="I6" s="455"/>
      <c r="J6" s="455"/>
      <c r="K6" s="455"/>
      <c r="L6" s="455"/>
      <c r="M6" s="455"/>
      <c r="N6" s="455"/>
      <c r="O6" s="455"/>
      <c r="P6" s="456"/>
      <c r="Q6" s="454">
        <f t="shared" si="0"/>
        <v>785.67399999999998</v>
      </c>
    </row>
    <row r="7" spans="1:17">
      <c r="A7" s="454" t="s">
        <v>111</v>
      </c>
      <c r="B7" s="455">
        <f>landbouw!B8</f>
        <v>3516.5751655480099</v>
      </c>
      <c r="C7" s="455">
        <f>landbouw!C8</f>
        <v>31422.857142857145</v>
      </c>
      <c r="D7" s="455">
        <f>landbouw!D8</f>
        <v>8593.813200929857</v>
      </c>
      <c r="E7" s="455">
        <f>landbouw!E8</f>
        <v>131.14384435939795</v>
      </c>
      <c r="F7" s="455">
        <f>landbouw!F8</f>
        <v>11409.128695170528</v>
      </c>
      <c r="G7" s="455">
        <f>landbouw!G8</f>
        <v>0</v>
      </c>
      <c r="H7" s="455">
        <f>landbouw!H8</f>
        <v>0</v>
      </c>
      <c r="I7" s="455">
        <f>landbouw!I8</f>
        <v>0</v>
      </c>
      <c r="J7" s="455">
        <f>landbouw!J8</f>
        <v>923.11834196137306</v>
      </c>
      <c r="K7" s="455">
        <f>landbouw!K8</f>
        <v>0</v>
      </c>
      <c r="L7" s="455">
        <f>landbouw!L8</f>
        <v>0</v>
      </c>
      <c r="M7" s="455">
        <f>landbouw!M8</f>
        <v>0</v>
      </c>
      <c r="N7" s="455">
        <f>landbouw!N8</f>
        <v>0</v>
      </c>
      <c r="O7" s="455">
        <f>landbouw!O8</f>
        <v>0</v>
      </c>
      <c r="P7" s="456">
        <f>landbouw!P8</f>
        <v>0</v>
      </c>
      <c r="Q7" s="454">
        <f t="shared" si="0"/>
        <v>55996.636390826316</v>
      </c>
    </row>
    <row r="8" spans="1:17">
      <c r="A8" s="454" t="s">
        <v>626</v>
      </c>
      <c r="B8" s="455">
        <f>industrie!B18</f>
        <v>17876.682089923215</v>
      </c>
      <c r="C8" s="455">
        <f>industrie!C18</f>
        <v>0</v>
      </c>
      <c r="D8" s="455">
        <f>industrie!D18</f>
        <v>15831.824238777423</v>
      </c>
      <c r="E8" s="455">
        <f>industrie!E18</f>
        <v>93.778376042114701</v>
      </c>
      <c r="F8" s="455">
        <f>industrie!F18</f>
        <v>3875.1375624401207</v>
      </c>
      <c r="G8" s="455">
        <f>industrie!G18</f>
        <v>0</v>
      </c>
      <c r="H8" s="455">
        <f>industrie!H18</f>
        <v>0</v>
      </c>
      <c r="I8" s="455">
        <f>industrie!I18</f>
        <v>0</v>
      </c>
      <c r="J8" s="455">
        <f>industrie!J18</f>
        <v>5.6437915732986408</v>
      </c>
      <c r="K8" s="455">
        <f>industrie!K18</f>
        <v>0</v>
      </c>
      <c r="L8" s="455">
        <f>industrie!L18</f>
        <v>0</v>
      </c>
      <c r="M8" s="455">
        <f>industrie!M18</f>
        <v>0</v>
      </c>
      <c r="N8" s="455">
        <f>industrie!N18</f>
        <v>573.97616241393462</v>
      </c>
      <c r="O8" s="455">
        <f>industrie!O18</f>
        <v>0</v>
      </c>
      <c r="P8" s="456">
        <f>industrie!P18</f>
        <v>0</v>
      </c>
      <c r="Q8" s="454">
        <f t="shared" si="0"/>
        <v>38257.042221170101</v>
      </c>
    </row>
    <row r="9" spans="1:17" s="460" customFormat="1">
      <c r="A9" s="458" t="s">
        <v>552</v>
      </c>
      <c r="B9" s="459">
        <f>transport!B14</f>
        <v>44.191423103777922</v>
      </c>
      <c r="C9" s="459">
        <f>transport!C14</f>
        <v>0</v>
      </c>
      <c r="D9" s="459">
        <f>transport!D14</f>
        <v>177.51400198890278</v>
      </c>
      <c r="E9" s="459">
        <f>transport!E14</f>
        <v>95.29389700184322</v>
      </c>
      <c r="F9" s="459">
        <f>transport!F14</f>
        <v>0</v>
      </c>
      <c r="G9" s="459">
        <f>transport!G14</f>
        <v>50517.770949951038</v>
      </c>
      <c r="H9" s="459">
        <f>transport!H14</f>
        <v>11319.879229533901</v>
      </c>
      <c r="I9" s="459">
        <f>transport!I14</f>
        <v>0</v>
      </c>
      <c r="J9" s="459">
        <f>transport!J14</f>
        <v>0</v>
      </c>
      <c r="K9" s="459">
        <f>transport!K14</f>
        <v>0</v>
      </c>
      <c r="L9" s="459">
        <f>transport!L14</f>
        <v>0</v>
      </c>
      <c r="M9" s="459">
        <f>transport!M14</f>
        <v>3631.1361362834455</v>
      </c>
      <c r="N9" s="459">
        <f>transport!N14</f>
        <v>0</v>
      </c>
      <c r="O9" s="459">
        <f>transport!O14</f>
        <v>0</v>
      </c>
      <c r="P9" s="459">
        <f>transport!P14</f>
        <v>0</v>
      </c>
      <c r="Q9" s="458">
        <f>SUM(B9:P9)</f>
        <v>65785.785637862908</v>
      </c>
    </row>
    <row r="10" spans="1:17">
      <c r="A10" s="454" t="s">
        <v>542</v>
      </c>
      <c r="B10" s="455">
        <f>transport!B54</f>
        <v>0</v>
      </c>
      <c r="C10" s="455">
        <f>transport!C54</f>
        <v>0</v>
      </c>
      <c r="D10" s="455">
        <f>transport!D54</f>
        <v>0</v>
      </c>
      <c r="E10" s="455">
        <f>transport!E54</f>
        <v>0</v>
      </c>
      <c r="F10" s="455">
        <f>transport!F54</f>
        <v>0</v>
      </c>
      <c r="G10" s="455">
        <f>transport!G54</f>
        <v>557.69215017570605</v>
      </c>
      <c r="H10" s="455">
        <f>transport!H54</f>
        <v>0</v>
      </c>
      <c r="I10" s="455">
        <f>transport!I54</f>
        <v>0</v>
      </c>
      <c r="J10" s="455">
        <f>transport!J54</f>
        <v>0</v>
      </c>
      <c r="K10" s="455">
        <f>transport!K54</f>
        <v>0</v>
      </c>
      <c r="L10" s="455">
        <f>transport!L54</f>
        <v>0</v>
      </c>
      <c r="M10" s="455">
        <f>transport!M54</f>
        <v>30.263552453447502</v>
      </c>
      <c r="N10" s="455">
        <f>transport!N54</f>
        <v>0</v>
      </c>
      <c r="O10" s="455">
        <f>transport!O54</f>
        <v>0</v>
      </c>
      <c r="P10" s="456">
        <f>transport!P54</f>
        <v>0</v>
      </c>
      <c r="Q10" s="454">
        <f t="shared" si="0"/>
        <v>587.95570262915351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455.707551843359</v>
      </c>
      <c r="C14" s="462"/>
      <c r="D14" s="462">
        <f>'SEAP template'!E25</f>
        <v>1323.2544873750101</v>
      </c>
      <c r="E14" s="462"/>
      <c r="F14" s="462"/>
      <c r="G14" s="462"/>
      <c r="H14" s="462"/>
      <c r="I14" s="462"/>
      <c r="J14" s="462"/>
      <c r="K14" s="462"/>
      <c r="L14" s="462"/>
      <c r="M14" s="462"/>
      <c r="N14" s="462"/>
      <c r="O14" s="462"/>
      <c r="P14" s="463"/>
      <c r="Q14" s="454">
        <f t="shared" si="0"/>
        <v>1778.962039218369</v>
      </c>
    </row>
    <row r="15" spans="1:17" s="466" customFormat="1">
      <c r="A15" s="464" t="s">
        <v>546</v>
      </c>
      <c r="B15" s="465">
        <f ca="1">SUM(B4:B14)</f>
        <v>51430.855404614616</v>
      </c>
      <c r="C15" s="465">
        <f t="shared" ref="C15:Q15" ca="1" si="1">SUM(C4:C14)</f>
        <v>31422.857142857145</v>
      </c>
      <c r="D15" s="465">
        <f t="shared" ca="1" si="1"/>
        <v>78468.693745619879</v>
      </c>
      <c r="E15" s="465">
        <f t="shared" si="1"/>
        <v>5472.8949409999359</v>
      </c>
      <c r="F15" s="465">
        <f t="shared" ca="1" si="1"/>
        <v>23504.023251546183</v>
      </c>
      <c r="G15" s="465">
        <f t="shared" si="1"/>
        <v>51075.463100126741</v>
      </c>
      <c r="H15" s="465">
        <f t="shared" si="1"/>
        <v>11319.879229533901</v>
      </c>
      <c r="I15" s="465">
        <f t="shared" si="1"/>
        <v>0</v>
      </c>
      <c r="J15" s="465">
        <f t="shared" si="1"/>
        <v>1267.242264884932</v>
      </c>
      <c r="K15" s="465">
        <f t="shared" si="1"/>
        <v>0</v>
      </c>
      <c r="L15" s="465">
        <f t="shared" ca="1" si="1"/>
        <v>0</v>
      </c>
      <c r="M15" s="465">
        <f t="shared" si="1"/>
        <v>3661.399688736893</v>
      </c>
      <c r="N15" s="465">
        <f t="shared" ca="1" si="1"/>
        <v>16223.833423525568</v>
      </c>
      <c r="O15" s="465">
        <f t="shared" si="1"/>
        <v>359.900512470867</v>
      </c>
      <c r="P15" s="465">
        <f t="shared" si="1"/>
        <v>704.7300077594557</v>
      </c>
      <c r="Q15" s="465">
        <f t="shared" ca="1" si="1"/>
        <v>274911.77271267609</v>
      </c>
    </row>
    <row r="17" spans="1:17">
      <c r="A17" s="467" t="s">
        <v>547</v>
      </c>
      <c r="B17" s="784">
        <f ca="1">huishoudens!B10</f>
        <v>0.20650212536824844</v>
      </c>
      <c r="C17" s="784">
        <f ca="1">huishoudens!C10</f>
        <v>0.23764705882352941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3631.8402259265335</v>
      </c>
      <c r="C22" s="455">
        <f t="shared" ref="C22:C32" ca="1" si="3">C4*$C$17</f>
        <v>0</v>
      </c>
      <c r="D22" s="455">
        <f t="shared" ref="D22:D32" si="4">D4*$D$17</f>
        <v>8220.1687659020117</v>
      </c>
      <c r="E22" s="455">
        <f t="shared" ref="E22:E32" si="5">E4*$E$17</f>
        <v>1156.1190737028674</v>
      </c>
      <c r="F22" s="455">
        <f t="shared" ref="F22:F32" si="6">F4*$F$17</f>
        <v>1505.6762732067641</v>
      </c>
      <c r="G22" s="455">
        <f t="shared" ref="G22:G32" si="7">G4*$G$17</f>
        <v>0</v>
      </c>
      <c r="H22" s="455">
        <f t="shared" ref="H22:H32" si="8">H4*$H$17</f>
        <v>0</v>
      </c>
      <c r="I22" s="455">
        <f t="shared" ref="I22:I32" si="9">I4*$I$17</f>
        <v>0</v>
      </c>
      <c r="J22" s="455">
        <f t="shared" ref="J22:J32" si="10">J4*$J$17</f>
        <v>119.81142438976318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14633.615763127938</v>
      </c>
    </row>
    <row r="23" spans="1:17">
      <c r="A23" s="454" t="s">
        <v>155</v>
      </c>
      <c r="B23" s="455">
        <f t="shared" ca="1" si="2"/>
        <v>2305.514081186378</v>
      </c>
      <c r="C23" s="455">
        <f t="shared" ca="1" si="3"/>
        <v>0</v>
      </c>
      <c r="D23" s="455">
        <f t="shared" ca="1" si="4"/>
        <v>2393.3733730408203</v>
      </c>
      <c r="E23" s="455">
        <f t="shared" si="5"/>
        <v>13.539019253556578</v>
      </c>
      <c r="F23" s="455">
        <f t="shared" ca="1" si="6"/>
        <v>688.99884417402393</v>
      </c>
      <c r="G23" s="455">
        <f t="shared" si="7"/>
        <v>0</v>
      </c>
      <c r="H23" s="455">
        <f t="shared" si="8"/>
        <v>0</v>
      </c>
      <c r="I23" s="455">
        <f t="shared" si="9"/>
        <v>0</v>
      </c>
      <c r="J23" s="455">
        <f t="shared" si="10"/>
        <v>1.0542108228994587E-2</v>
      </c>
      <c r="K23" s="455">
        <f t="shared" si="11"/>
        <v>0</v>
      </c>
      <c r="L23" s="455">
        <f t="shared" ca="1" si="12"/>
        <v>0</v>
      </c>
      <c r="M23" s="455">
        <f t="shared" si="13"/>
        <v>0</v>
      </c>
      <c r="N23" s="455">
        <f t="shared" ca="1" si="14"/>
        <v>0</v>
      </c>
      <c r="O23" s="455">
        <f t="shared" si="15"/>
        <v>0</v>
      </c>
      <c r="P23" s="456">
        <f t="shared" si="16"/>
        <v>0</v>
      </c>
      <c r="Q23" s="454">
        <f t="shared" ref="Q23:Q31" ca="1" si="17">SUM(B23:P23)</f>
        <v>5401.4358597630089</v>
      </c>
    </row>
    <row r="24" spans="1:17">
      <c r="A24" s="454" t="s">
        <v>193</v>
      </c>
      <c r="B24" s="455">
        <f t="shared" ca="1" si="2"/>
        <v>162.24335084657321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162.24335084657321</v>
      </c>
    </row>
    <row r="25" spans="1:17">
      <c r="A25" s="454" t="s">
        <v>111</v>
      </c>
      <c r="B25" s="455">
        <f t="shared" ca="1" si="2"/>
        <v>726.18024570286411</v>
      </c>
      <c r="C25" s="455">
        <f t="shared" ca="1" si="3"/>
        <v>7467.5495798319334</v>
      </c>
      <c r="D25" s="455">
        <f t="shared" si="4"/>
        <v>1735.9502665878313</v>
      </c>
      <c r="E25" s="455">
        <f t="shared" si="5"/>
        <v>29.769652669583333</v>
      </c>
      <c r="F25" s="455">
        <f t="shared" si="6"/>
        <v>3046.237361610531</v>
      </c>
      <c r="G25" s="455">
        <f t="shared" si="7"/>
        <v>0</v>
      </c>
      <c r="H25" s="455">
        <f t="shared" si="8"/>
        <v>0</v>
      </c>
      <c r="I25" s="455">
        <f t="shared" si="9"/>
        <v>0</v>
      </c>
      <c r="J25" s="455">
        <f t="shared" si="10"/>
        <v>326.78389305432603</v>
      </c>
      <c r="K25" s="455">
        <f t="shared" si="11"/>
        <v>0</v>
      </c>
      <c r="L25" s="455">
        <f t="shared" si="12"/>
        <v>0</v>
      </c>
      <c r="M25" s="455">
        <f t="shared" si="13"/>
        <v>0</v>
      </c>
      <c r="N25" s="455">
        <f t="shared" si="14"/>
        <v>0</v>
      </c>
      <c r="O25" s="455">
        <f t="shared" si="15"/>
        <v>0</v>
      </c>
      <c r="P25" s="456">
        <f t="shared" si="16"/>
        <v>0</v>
      </c>
      <c r="Q25" s="454">
        <f t="shared" ca="1" si="17"/>
        <v>13332.470999457069</v>
      </c>
    </row>
    <row r="26" spans="1:17">
      <c r="A26" s="454" t="s">
        <v>626</v>
      </c>
      <c r="B26" s="455">
        <f t="shared" ca="1" si="2"/>
        <v>3691.5728461016452</v>
      </c>
      <c r="C26" s="455">
        <f t="shared" ca="1" si="3"/>
        <v>0</v>
      </c>
      <c r="D26" s="455">
        <f t="shared" si="4"/>
        <v>3198.0284962330397</v>
      </c>
      <c r="E26" s="455">
        <f t="shared" si="5"/>
        <v>21.287691361560039</v>
      </c>
      <c r="F26" s="455">
        <f t="shared" si="6"/>
        <v>1034.6617291715122</v>
      </c>
      <c r="G26" s="455">
        <f t="shared" si="7"/>
        <v>0</v>
      </c>
      <c r="H26" s="455">
        <f t="shared" si="8"/>
        <v>0</v>
      </c>
      <c r="I26" s="455">
        <f t="shared" si="9"/>
        <v>0</v>
      </c>
      <c r="J26" s="455">
        <f t="shared" si="10"/>
        <v>1.9979022169477187</v>
      </c>
      <c r="K26" s="455">
        <f t="shared" si="11"/>
        <v>0</v>
      </c>
      <c r="L26" s="455">
        <f t="shared" si="12"/>
        <v>0</v>
      </c>
      <c r="M26" s="455">
        <f t="shared" si="13"/>
        <v>0</v>
      </c>
      <c r="N26" s="455">
        <f t="shared" si="14"/>
        <v>0</v>
      </c>
      <c r="O26" s="455">
        <f t="shared" si="15"/>
        <v>0</v>
      </c>
      <c r="P26" s="456">
        <f t="shared" si="16"/>
        <v>0</v>
      </c>
      <c r="Q26" s="454">
        <f t="shared" ca="1" si="17"/>
        <v>7947.5486650847042</v>
      </c>
    </row>
    <row r="27" spans="1:17" s="460" customFormat="1">
      <c r="A27" s="458" t="s">
        <v>552</v>
      </c>
      <c r="B27" s="778">
        <f t="shared" ca="1" si="2"/>
        <v>9.1256227939776586</v>
      </c>
      <c r="C27" s="459">
        <f t="shared" ca="1" si="3"/>
        <v>0</v>
      </c>
      <c r="D27" s="459">
        <f t="shared" si="4"/>
        <v>35.857828401758361</v>
      </c>
      <c r="E27" s="459">
        <f t="shared" si="5"/>
        <v>21.63171461941841</v>
      </c>
      <c r="F27" s="459">
        <f t="shared" si="6"/>
        <v>0</v>
      </c>
      <c r="G27" s="459">
        <f t="shared" si="7"/>
        <v>13488.244843636929</v>
      </c>
      <c r="H27" s="459">
        <f t="shared" si="8"/>
        <v>2818.6499281539413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16373.509937606024</v>
      </c>
    </row>
    <row r="28" spans="1:17" ht="16.5" customHeight="1">
      <c r="A28" s="454" t="s">
        <v>542</v>
      </c>
      <c r="B28" s="455">
        <f t="shared" ca="1" si="2"/>
        <v>0</v>
      </c>
      <c r="C28" s="455">
        <f t="shared" ca="1" si="3"/>
        <v>0</v>
      </c>
      <c r="D28" s="455">
        <f t="shared" si="4"/>
        <v>0</v>
      </c>
      <c r="E28" s="455">
        <f t="shared" si="5"/>
        <v>0</v>
      </c>
      <c r="F28" s="455">
        <f t="shared" si="6"/>
        <v>0</v>
      </c>
      <c r="G28" s="455">
        <f t="shared" si="7"/>
        <v>148.90380409691352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148.90380409691352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94.10457800201489</v>
      </c>
      <c r="C32" s="455">
        <f t="shared" ca="1" si="3"/>
        <v>0</v>
      </c>
      <c r="D32" s="455">
        <f t="shared" si="4"/>
        <v>267.29740644975203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361.40198445176691</v>
      </c>
    </row>
    <row r="33" spans="1:17" s="466" customFormat="1">
      <c r="A33" s="464" t="s">
        <v>546</v>
      </c>
      <c r="B33" s="465">
        <f ca="1">SUM(B22:B32)</f>
        <v>10620.580950559986</v>
      </c>
      <c r="C33" s="465">
        <f t="shared" ref="C33:Q33" ca="1" si="19">SUM(C22:C32)</f>
        <v>7467.5495798319334</v>
      </c>
      <c r="D33" s="465">
        <f t="shared" ca="1" si="19"/>
        <v>15850.676136615213</v>
      </c>
      <c r="E33" s="465">
        <f t="shared" si="19"/>
        <v>1242.3471516069858</v>
      </c>
      <c r="F33" s="465">
        <f t="shared" ca="1" si="19"/>
        <v>6275.5742081628305</v>
      </c>
      <c r="G33" s="465">
        <f t="shared" si="19"/>
        <v>13637.148647733842</v>
      </c>
      <c r="H33" s="465">
        <f t="shared" si="19"/>
        <v>2818.6499281539413</v>
      </c>
      <c r="I33" s="465">
        <f t="shared" si="19"/>
        <v>0</v>
      </c>
      <c r="J33" s="465">
        <f t="shared" si="19"/>
        <v>448.60376176926587</v>
      </c>
      <c r="K33" s="465">
        <f t="shared" si="19"/>
        <v>0</v>
      </c>
      <c r="L33" s="465">
        <f t="shared" ca="1" si="19"/>
        <v>0</v>
      </c>
      <c r="M33" s="465">
        <f t="shared" si="19"/>
        <v>0</v>
      </c>
      <c r="N33" s="465">
        <f t="shared" ca="1" si="19"/>
        <v>0</v>
      </c>
      <c r="O33" s="465">
        <f t="shared" si="19"/>
        <v>0</v>
      </c>
      <c r="P33" s="465">
        <f t="shared" si="19"/>
        <v>0</v>
      </c>
      <c r="Q33" s="465">
        <f t="shared" ca="1" si="19"/>
        <v>58361.130364434001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5030.7999988334732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21996</v>
      </c>
      <c r="D8" s="1026">
        <f>'SEAP template'!D76</f>
        <v>25877.647058823532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5227.2847058823536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5030.7999988334732</v>
      </c>
      <c r="C10" s="1028">
        <f>SUM(C4:C9)</f>
        <v>21996</v>
      </c>
      <c r="D10" s="1028">
        <f t="shared" ref="D10:H10" si="0">SUM(D8:D9)</f>
        <v>25877.647058823532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5227.2847058823536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0.20650212536824844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31422.857142857145</v>
      </c>
      <c r="D17" s="1027">
        <f>'SEAP template'!D87</f>
        <v>36968.067226890758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7467.5495798319334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31422.857142857145</v>
      </c>
      <c r="D20" s="1028">
        <f t="shared" ref="D20:H20" si="2">SUM(D17:D19)</f>
        <v>36968.067226890758</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7467.5495798319334</v>
      </c>
    </row>
    <row r="21" spans="1:16">
      <c r="B21" s="890"/>
    </row>
    <row r="22" spans="1:16">
      <c r="A22" s="467" t="s">
        <v>773</v>
      </c>
      <c r="B22" s="784" t="s">
        <v>771</v>
      </c>
      <c r="C22" s="784">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0.20650212536824844</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2020-06-20T15:22:54Z</dcterms:modified>
</cp:coreProperties>
</file>