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<sst xmlns="http://schemas.openxmlformats.org/spreadsheetml/2006/main" count="2366" uniqueCount="865">
  <si>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</si>
  <si>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</si>
  <si>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</si>
  <si>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</si>
  <si>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</si>
  <si>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</si>
  <si>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</si>
  <si>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</si>
  <si>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</si>
  <si>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</si>
  <si>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</si>
  <si>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</si>
  <si>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</si>
  <si>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</si>
  <si>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</si>
  <si>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</si>
  <si>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</si>
  <si>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</si>
  <si>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</si>
  <si>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</si>
  <si>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</si>
  <si>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</si>
  <si>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</si>
  <si>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</si>
  <si>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</si>
  <si>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</si>
  <si>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</si>
  <si>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</si>
  <si>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</si>
  <si>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</si>
  <si>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</si>
  <si>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</si>
  <si>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</si>
  <si>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</si>
  <si>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</si>
  <si>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</si>
  <si>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</si>
  <si>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</si>
  <si>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</si>
  <si>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</si>
  <si>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</si>
  <si>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</si>
  <si>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</si>
  <si>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</si>
  <si>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</si>
  <si>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</si>
  <si>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</si>
  <si>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</si>
  <si>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</si>
  <si>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</si>
  <si>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</si>
  <si>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</si>
  <si>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</si>
  <si>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</si>
  <si>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</si>
  <si>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</si>
  <si>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</si>
  <si>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</si>
  <si>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</si>
  <si>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</si>
  <si>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</si>
  <si>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</si>
  <si>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</si>
  <si>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</si>
  <si>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</si>
  <si>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</si>
  <si>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</si>
  <si>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</si>
  <si>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</si>
  <si>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</si>
  <si>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</si>
  <si>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</si>
  <si>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</si>
  <si>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</si>
  <si>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</si>
  <si>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</si>
  <si>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</si>
  <si>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</si>
  <si>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</si>
  <si>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</si>
  <si>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</si>
  <si>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</si>
  <si>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</si>
  <si>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</si>
  <si>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</si>
  <si>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</si>
  <si>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</si>
  <si>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</si>
  <si>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</si>
  <si>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</si>
  <si>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</si>
  <si>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</si>
  <si>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</si>
  <si>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</si>
  <si>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</si>
  <si>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</si>
  <si>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</si>
  <si>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</si>
  <si>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</si>
  <si>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</si>
  <si>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</si>
  <si>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</si>
  <si>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</si>
  <si>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</si>
  <si>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</si>
  <si>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</si>
  <si>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</si>
  <si>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</si>
  <si>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</si>
  <si>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</si>
  <si>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</si>
  <si>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</si>
  <si>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</si>
  <si>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</si>
  <si>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</si>
  <si>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</si>
  <si>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</si>
  <si>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</si>
  <si>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</si>
  <si>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</si>
  <si>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</si>
  <si>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</si>
  <si>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</si>
  <si>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</si>
  <si>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</si>
  <si>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</si>
  <si>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</si>
  <si>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</si>
  <si>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</si>
  <si>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</si>
  <si>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</si>
  <si>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</si>
  <si>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</si>
  <si>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</si>
  <si>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</si>
  <si>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</si>
  <si>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</si>
  <si>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</si>
  <si>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</si>
  <si>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</si>
  <si>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</si>
  <si>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</si>
  <si>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</si>
  <si>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</si>
  <si>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</si>
  <si>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</si>
  <si>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</si>
  <si>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</si>
  <si>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</si>
  <si>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</si>
  <si>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</si>
  <si>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</si>
  <si>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</si>
  <si>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</si>
  <si>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</si>
  <si>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</si>
  <si>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</si>
  <si>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</si>
  <si>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</si>
  <si>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</si>
  <si>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</si>
  <si>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</si>
  <si>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</si>
  <si>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</si>
  <si>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</si>
  <si>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</si>
  <si>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</si>
  <si>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</si>
  <si>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</si>
  <si>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</si>
  <si>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</si>
  <si>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</si>
  <si>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</si>
  <si>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</si>
  <si>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</si>
  <si>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</si>
  <si>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</si>
  <si>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</si>
  <si>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</si>
  <si>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</si>
  <si>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</si>
  <si>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</si>
  <si>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</si>
  <si>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</si>
  <si>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</si>
  <si>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</si>
  <si>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</si>
  <si>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</si>
  <si>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</si>
  <si>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</si>
  <si>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</si>
  <si>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</si>
  <si>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</si>
  <si>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</si>
  <si>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</si>
  <si>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</si>
  <si>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</si>
  <si>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</si>
  <si>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</si>
  <si>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</si>
  <si>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</si>
  <si>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</si>
  <si>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</si>
  <si>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</si>
  <si>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</si>
  <si>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</si>
  <si>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</si>
  <si>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</si>
  <si>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</si>
  <si>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</si>
  <si>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</si>
  <si>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</si>
  <si>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</si>
  <si>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</si>
  <si>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</si>
  <si>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</si>
  <si>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</si>
  <si>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</si>
  <si>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</si>
  <si>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</si>
  <si>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</si>
  <si>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</si>
  <si>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</si>
  <si>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</si>
  <si>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</si>
  <si>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</si>
  <si>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</si>
  <si>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</si>
  <si>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</si>
  <si>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</si>
  <si>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</si>
  <si>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</si>
  <si>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</si>
  <si>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</si>
  <si>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</si>
  <si>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</si>
  <si>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</si>
  <si>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</si>
  <si>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</si>
  <si>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</si>
  <si>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</si>
  <si>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</si>
  <si>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</si>
  <si>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</si>
  <si>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</si>
  <si>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</si>
  <si>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</si>
  <si>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</si>
  <si>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</si>
  <si>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</si>
  <si>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</si>
  <si>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</si>
  <si>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</si>
  <si>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</si>
  <si>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</si>
  <si>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</si>
  <si>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</si>
  <si>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</si>
  <si>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</si>
  <si>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</si>
  <si>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</si>
  <si>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</si>
  <si>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</si>
  <si>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</si>
  <si>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</si>
  <si>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</si>
  <si>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</si>
  <si>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</si>
  <si>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</si>
  <si>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</si>
  <si>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</si>
  <si>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</si>
  <si>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</si>
  <si>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</si>
  <si>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</si>
  <si>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</si>
  <si>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</si>
  <si>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</si>
  <si>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</si>
  <si>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</si>
  <si>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</si>
  <si>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</si>
  <si>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</si>
  <si>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</si>
  <si>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</si>
  <si>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</si>
  <si>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</si>
  <si>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</si>
  <si>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</si>
  <si>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</si>
  <si>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</si>
  <si>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</si>
  <si>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</si>
  <si>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</si>
  <si>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</si>
  <si>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</si>
  <si>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</si>
  <si>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</si>
  <si>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</si>
  <si>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</si>
  <si>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</si>
  <si>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</si>
  <si>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</si>
  <si>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</si>
  <si>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</si>
  <si>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</si>
  <si>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</si>
  <si>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</si>
  <si>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</si>
  <si>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</si>
  <si>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</si>
  <si>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</si>
  <si>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</si>
  <si>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</si>
  <si>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</si>
  <si>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</si>
  <si>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</si>
  <si>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</si>
  <si>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</si>
  <si>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</si>
  <si>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</si>
  <si>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</si>
  <si>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</si>
  <si>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</si>
  <si>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</si>
  <si>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</si>
  <si>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</si>
  <si>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</si>
  <si>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</si>
  <si>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</si>
  <si>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</si>
  <si>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</si>
  <si>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</si>
  <si>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</si>
  <si>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</si>
  <si>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</si>
  <si>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</si>
  <si>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</si>
  <si>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</si>
  <si>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</si>
  <si>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</si>
  <si>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</si>
  <si>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</si>
  <si>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</si>
  <si>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</si>
  <si>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</si>
  <si>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</si>
  <si>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</si>
  <si>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</si>
  <si>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</si>
  <si>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</si>
  <si>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</si>
  <si>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</si>
  <si>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</si>
  <si>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</si>
  <si>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</si>
  <si>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</si>
  <si>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</si>
  <si>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</si>
  <si>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</si>
  <si>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</si>
  <si>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</si>
  <si>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</si>
  <si>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</si>
  <si>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</si>
  <si>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</si>
  <si>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</si>
  <si>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</si>
  <si>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</si>
  <si>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</si>
  <si>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</si>
  <si>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</si>
  <si>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</si>
  <si>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</si>
  <si>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</si>
  <si>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</si>
  <si>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</si>
  <si>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</si>
  <si>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</si>
  <si>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</si>
  <si>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</si>
  <si>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</si>
  <si>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</si>
  <si>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</si>
  <si>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</si>
  <si>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</si>
  <si>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</si>
  <si>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</si>
  <si>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</si>
  <si>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</si>
  <si>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</si>
  <si>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</si>
  <si>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</si>
  <si>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</si>
  <si>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</si>
  <si>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</si>
  <si>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</si>
  <si>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</si>
  <si>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</si>
  <si>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</si>
  <si>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</si>
  <si>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</si>
  <si>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</si>
  <si>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</si>
  <si>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</si>
  <si>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</si>
  <si>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</si>
  <si>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</si>
  <si>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</si>
  <si>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</si>
  <si>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</si>
  <si>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</si>
  <si>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</si>
  <si>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</si>
  <si>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</si>
  <si>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</si>
  <si>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</si>
  <si>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</si>
  <si>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</si>
  <si>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</si>
  <si>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</si>
  <si>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</si>
  <si>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</si>
  <si>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</si>
  <si>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</si>
  <si>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</si>
  <si>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</si>
  <si>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</si>
  <si>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</si>
  <si>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</si>
  <si>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</si>
  <si>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</si>
  <si>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</si>
  <si>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</si>
  <si>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</si>
  <si>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</si>
  <si>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</si>
  <si>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</si>
  <si>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</si>
  <si>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</si>
  <si>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</si>
  <si>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</si>
  <si>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</si>
  <si>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</si>
  <si>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</si>
  <si>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</si>
  <si>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</si>
  <si>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</si>
  <si>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</si>
  <si>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</si>
  <si>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</si>
  <si>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</si>
  <si>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</si>
  <si>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</si>
  <si>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</si>
  <si>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</si>
  <si>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</si>
  <si>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</si>
  <si>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</si>
  <si>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</si>
  <si>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</si>
  <si>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</si>
  <si>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</si>
  <si>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</si>
  <si>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</si>
  <si>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</si>
  <si>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</si>
  <si>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</si>
  <si>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</si>
  <si>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</si>
  <si>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</si>
  <si>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</si>
  <si>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</si>
  <si>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</si>
  <si>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</si>
  <si>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</si>
  <si>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</si>
  <si>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</si>
  <si>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</si>
  <si>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</si>
  <si>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</si>
  <si>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</si>
  <si>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</si>
  <si>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</si>
  <si>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</si>
  <si>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</si>
  <si>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</si>
  <si>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</si>
  <si>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</si>
  <si>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</si>
  <si>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</si>
  <si>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</si>
  <si>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</si>
  <si>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</si>
  <si>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</si>
  <si>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</si>
  <si>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</si>
  <si>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</si>
  <si>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</si>
  <si>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</si>
  <si>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</si>
  <si>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</si>
  <si>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</si>
  <si>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</si>
  <si>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</si>
  <si>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</si>
  <si>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</si>
  <si>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</si>
  <si>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</si>
  <si>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</si>
  <si>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</si>
  <si>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</si>
  <si>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</si>
  <si>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</si>
  <si>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</si>
  <si>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</si>
  <si>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</si>
  <si>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</si>
  <si>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</si>
  <si>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</si>
  <si>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</si>
  <si>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</si>
  <si>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</si>
  <si>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</si>
  <si>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</si>
  <si>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</si>
  <si>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</si>
  <si>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</si>
  <si>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</si>
  <si>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</si>
  <si>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</si>
  <si>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</si>
  <si>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</si>
  <si>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</si>
  <si>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</si>
  <si>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</si>
  <si>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</si>
  <si>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</si>
  <si>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</si>
  <si>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</si>
  <si>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</si>
  <si>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</si>
  <si>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</si>
  <si>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</si>
  <si>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</si>
  <si>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</si>
  <si>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</si>
  <si>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</si>
  <si>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</si>
  <si>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</si>
  <si>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</si>
  <si>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</si>
  <si>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</si>
  <si>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</si>
  <si>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</si>
  <si>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</si>
  <si>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</si>
  <si>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</si>
  <si>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</si>
  <si>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</si>
  <si>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</si>
  <si>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</si>
  <si>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</si>
  <si>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</si>
  <si>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</si>
  <si>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</si>
  <si>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</si>
  <si>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</si>
  <si>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</si>
  <si>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</si>
  <si>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</si>
  <si>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</si>
  <si>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</si>
  <si>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</si>
  <si>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</si>
  <si>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</si>
  <si>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</si>
  <si>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</si>
  <si>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</si>
  <si>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</si>
  <si>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</si>
  <si>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</si>
  <si>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</si>
  <si>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</si>
  <si>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</si>
  <si>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</si>
  <si>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</si>
  <si>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</si>
  <si>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</si>
  <si>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</si>
  <si>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</si>
  <si>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</si>
  <si>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</si>
  <si>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</si>
  <si>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</si>
  <si>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</si>
  <si>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</si>
  <si>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</si>
  <si>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</si>
  <si>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</si>
  <si>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</si>
  <si>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</si>
  <si>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</si>
  <si>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</si>
  <si>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</si>
  <si>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</si>
  <si>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</si>
  <si>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</si>
  <si>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</si>
  <si>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</si>
  <si>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</si>
  <si>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</si>
  <si>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</si>
  <si>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</si>
  <si>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</si>
  <si>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</si>
  <si>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</si>
  <si>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</si>
  <si>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</si>
  <si>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</si>
  <si>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</si>
  <si>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</si>
  <si>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</si>
  <si>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</si>
  <si>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</si>
  <si>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</si>
  <si>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</si>
  <si>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</si>
  <si>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</si>
  <si>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</si>
  <si>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</si>
  <si>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</si>
  <si>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</si>
  <si>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</si>
  <si>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</si>
  <si>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</si>
  <si>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</si>
  <si>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</si>
  <si>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</si>
  <si>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</si>
  <si>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</si>
  <si>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</si>
  <si>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</si>
  <si>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</si>
  <si>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</si>
  <si>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</si>
  <si>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</si>
  <si>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</si>
  <si>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</si>
  <si>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</si>
  <si>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</si>
  <si>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</si>
  <si>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</si>
  <si>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</si>
  <si>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</si>
  <si>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</si>
  <si>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</si>
  <si>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</si>
  <si>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</si>
  <si>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</si>
  <si>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</si>
  <si>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</si>
  <si>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</si>
  <si>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</si>
  <si>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</si>
  <si>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</si>
  <si>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</si>
  <si>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</si>
  <si>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</si>
  <si>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</si>
  <si>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</si>
  <si>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</si>
  <si>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</si>
  <si>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</si>
  <si>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</si>
  <si>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</si>
  <si>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</si>
  <si>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</si>
  <si>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</si>
  <si>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</si>
  <si>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</si>
  <si>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</si>
  <si>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</si>
  <si>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</si>
  <si>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</si>
  <si>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</si>
  <si>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</si>
  <si>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</si>
  <si>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</si>
  <si>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</si>
  <si>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</si>
  <si>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</si>
  <si>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</si>
  <si>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</si>
  <si>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</si>
  <si>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</si>
  <si>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</si>
  <si>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</si>
  <si>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</si>
  <si>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</si>
  <si>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</si>
  <si>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</si>
  <si>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</si>
  <si>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</si>
  <si>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</si>
  <si>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</si>
  <si>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</si>
  <si>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</si>
  <si>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</si>
  <si>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</si>
  <si>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</si>
  <si>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</si>
  <si>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</si>
  <si>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</si>
  <si>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</si>
  <si>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</si>
  <si>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</si>
  <si>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</si>
  <si>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</si>
  <si>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</si>
  <si>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</si>
  <si>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</si>
  <si>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</si>
  <si>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</si>
  <si>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</si>
  <si>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</si>
  <si>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</si>
  <si>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</si>
  <si>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</si>
  <si>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</si>
  <si>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</si>
  <si>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</si>
  <si>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</si>
  <si>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</si>
  <si>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</si>
  <si>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</si>
  <si>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</si>
  <si>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</si>
  <si>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</si>
  <si>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</si>
  <si>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</si>
  <si>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</si>
  <si>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</si>
  <si>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</si>
  <si>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</si>
  <si>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</si>
  <si>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</si>
  <si>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</si>
  <si>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</si>
  <si>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</si>
  <si>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</si>
  <si>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</si>
  <si>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</si>
  <si>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</si>
  <si>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</si>
  <si>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</si>
  <si>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</si>
  <si>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</si>
  <si>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</si>
  <si>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</si>
  <si>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</si>
  <si>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</si>
  <si>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</si>
  <si>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</si>
  <si>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</si>
  <si>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</si>
  <si>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</si>
  <si>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</si>
  <si>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</si>
  <si>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</si>
  <si>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</si>
  <si>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</si>
  <si>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</si>
  <si>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</si>
  <si>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</si>
  <si>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</si>
  <si>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</si>
  <si>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</si>
  <si>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</si>
  <si>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</si>
  <si>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</si>
  <si>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</si>
  <si>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</si>
  <si>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</si>
  <si>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</si>
  <si>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</si>
  <si>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</si>
  <si>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</si>
  <si>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</si>
  <si>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</si>
  <si>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</si>
  <si>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</si>
  <si>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</si>
  <si>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</si>
  <si>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</si>
  <si>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</si>
  <si>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</si>
  <si>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</si>
  <si>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</si>
  <si>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</si>
  <si>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</si>
  <si>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</si>
  <si>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</si>
  <si>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</si>
  <si>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</si>
  <si>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</si>
  <si>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</si>
  <si>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</si>
  <si>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</si>
  <si>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</si>
  <si>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</si>
  <si>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</si>
  <si>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</si>
  <si>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</si>
  <si>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</si>
  <si>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</si>
  <si>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</si>
  <si>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</si>
  <si>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</si>
  <si>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</si>
  <si>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</si>
  <si>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</si>
  <si>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</si>
  <si>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</si>
  <si>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</si>
  <si>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</si>
  <si>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</si>
  <si>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</si>
  <si>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</si>
  <si>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</si>
  <si>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</si>
  <si>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</si>
  <si>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</si>
  <si>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</si>
  <si>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</si>
  <si>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</si>
  <si>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</si>
  <si>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</si>
  <si>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</si>
  <si>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</si>
  <si>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</si>
  <si>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</si>
  <si>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</si>
  <si>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</si>
  <si>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</si>
  <si>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</si>
  <si>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</si>
  <si>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</si>
  <si>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</si>
  <si>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</si>
  <si>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</si>
  <si>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</si>
  <si>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</si>
  <si>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</si>
  <si>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</si>
  <si>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</si>
  <si>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</si>
  <si>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</si>
  <si>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</si>
  <si>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</si>
  <si>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</si>
  <si>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</si>
  <si>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35011</t>
  </si>
  <si>
    <t>MIDDELKERKE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</si>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</sst>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131974.04885187422</c:v>
                </c:pt>
                <c:pt idx="1">
                  <c:v>73309.517888280563</c:v>
                </c:pt>
                <c:pt idx="2">
                  <c:v>1357.716731</c:v>
                </c:pt>
                <c:pt idx="3">
                  <c:v>12895.769810536423</c:v>
                </c:pt>
                <c:pt idx="4">
                  <c:v>9419.7923307875935</c:v>
                </c:pt>
                <c:pt idx="5">
                  <c:v>193103.63862125107</c:v>
                </c:pt>
                <c:pt idx="6">
                  <c:v>3148.0208999452107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131974.04885187422</c:v>
                </c:pt>
                <c:pt idx="1">
                  <c:v>73309.517888280563</c:v>
                </c:pt>
                <c:pt idx="2">
                  <c:v>1357.716731</c:v>
                </c:pt>
                <c:pt idx="3">
                  <c:v>12895.769810536423</c:v>
                </c:pt>
                <c:pt idx="4">
                  <c:v>9419.7923307875935</c:v>
                </c:pt>
                <c:pt idx="5">
                  <c:v>193103.63862125107</c:v>
                </c:pt>
                <c:pt idx="6">
                  <c:v>3148.0208999452107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25594.612595689861</c:v>
                </c:pt>
                <c:pt idx="1">
                  <c:v>14601.536668682709</c:v>
                </c:pt>
                <c:pt idx="2">
                  <c:v>264.30465283192694</c:v>
                </c:pt>
                <c:pt idx="3">
                  <c:v>3269.3253875486116</c:v>
                </c:pt>
                <c:pt idx="4">
                  <c:v>1939.0414818093659</c:v>
                </c:pt>
                <c:pt idx="5">
                  <c:v>48187.21066081462</c:v>
                </c:pt>
                <c:pt idx="6">
                  <c:v>701.24175368139549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25594.612595689861</c:v>
                </c:pt>
                <c:pt idx="1">
                  <c:v>14601.536668682709</c:v>
                </c:pt>
                <c:pt idx="2">
                  <c:v>264.30465283192694</c:v>
                </c:pt>
                <c:pt idx="3">
                  <c:v>3269.3253875486116</c:v>
                </c:pt>
                <c:pt idx="4">
                  <c:v>1939.0414818093659</c:v>
                </c:pt>
                <c:pt idx="5">
                  <c:v>48187.21066081462</c:v>
                </c:pt>
                <c:pt idx="6">
                  <c:v>701.24175368139549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35011</v>
      </c>
      <c r="B6" s="392"/>
      <c r="C6" s="393"/>
    </row>
    <row r="7" spans="1:7" s="390" customFormat="1" ht="15.75" customHeight="1">
      <c r="A7" s="394" t="str">
        <f>txtMunicipality</f>
        <v>MIDDELKERKE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32994.880961000003</v>
      </c>
      <c r="D10" s="689">
        <f ca="1">tertiair!C16</f>
        <v>0</v>
      </c>
      <c r="E10" s="689">
        <f ca="1">tertiair!D16</f>
        <v>35637.345865190997</v>
      </c>
      <c r="F10" s="689">
        <f>tertiair!E16</f>
        <v>83.078923535548796</v>
      </c>
      <c r="G10" s="689">
        <f ca="1">tertiair!F16</f>
        <v>4588.6259714786565</v>
      </c>
      <c r="H10" s="689">
        <f>tertiair!G16</f>
        <v>0</v>
      </c>
      <c r="I10" s="689">
        <f>tertiair!H16</f>
        <v>0</v>
      </c>
      <c r="J10" s="689">
        <f>tertiair!I16</f>
        <v>0</v>
      </c>
      <c r="K10" s="689">
        <f>tertiair!J16</f>
        <v>3.4093772727256215E-2</v>
      </c>
      <c r="L10" s="689">
        <f>tertiair!K16</f>
        <v>0</v>
      </c>
      <c r="M10" s="689">
        <f ca="1">tertiair!L16</f>
        <v>0</v>
      </c>
      <c r="N10" s="689">
        <f>tertiair!M16</f>
        <v>0</v>
      </c>
      <c r="O10" s="689">
        <f ca="1">tertiair!N16</f>
        <v>1251.9625368060344</v>
      </c>
      <c r="P10" s="689">
        <f>tertiair!O16</f>
        <v>58.767129190093854</v>
      </c>
      <c r="Q10" s="690">
        <f>tertiair!P16</f>
        <v>52.539138306495019</v>
      </c>
      <c r="R10" s="692">
        <f ca="1">SUM(C10:Q10)</f>
        <v>74667.234619280571</v>
      </c>
      <c r="S10" s="67"/>
    </row>
    <row r="11" spans="1:19" s="451" customFormat="1">
      <c r="A11" s="811" t="s">
        <v>224</v>
      </c>
      <c r="B11" s="816"/>
      <c r="C11" s="689">
        <f>huishoudens!B8</f>
        <v>51419.767363360588</v>
      </c>
      <c r="D11" s="689">
        <f>huishoudens!C8</f>
        <v>0</v>
      </c>
      <c r="E11" s="689">
        <f>huishoudens!D8</f>
        <v>74642.552393640013</v>
      </c>
      <c r="F11" s="689">
        <f>huishoudens!E8</f>
        <v>2233.5199878233479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2995.7722254438854</v>
      </c>
      <c r="P11" s="689">
        <f>huishoudens!O8</f>
        <v>376.95206168353604</v>
      </c>
      <c r="Q11" s="690">
        <f>huishoudens!P8</f>
        <v>305.48481992286571</v>
      </c>
      <c r="R11" s="692">
        <f>SUM(C11:Q11)</f>
        <v>131974.04885187422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4202.2851659999988</v>
      </c>
      <c r="D13" s="689">
        <f>industrie!C18</f>
        <v>0</v>
      </c>
      <c r="E13" s="689">
        <f>industrie!D18</f>
        <v>3568.7179575389996</v>
      </c>
      <c r="F13" s="689">
        <f>industrie!E18</f>
        <v>19.266257647732903</v>
      </c>
      <c r="G13" s="689">
        <f>industrie!F18</f>
        <v>1481.7081656548899</v>
      </c>
      <c r="H13" s="689">
        <f>industrie!G18</f>
        <v>0</v>
      </c>
      <c r="I13" s="689">
        <f>industrie!H18</f>
        <v>0</v>
      </c>
      <c r="J13" s="689">
        <f>industrie!I18</f>
        <v>0</v>
      </c>
      <c r="K13" s="689">
        <f>industrie!J18</f>
        <v>0.33465032467231048</v>
      </c>
      <c r="L13" s="689">
        <f>industrie!K18</f>
        <v>0</v>
      </c>
      <c r="M13" s="689">
        <f>industrie!L18</f>
        <v>0</v>
      </c>
      <c r="N13" s="689">
        <f>industrie!M18</f>
        <v>0</v>
      </c>
      <c r="O13" s="689">
        <f>industrie!N18</f>
        <v>147.4801336212997</v>
      </c>
      <c r="P13" s="689">
        <f>industrie!O18</f>
        <v>0</v>
      </c>
      <c r="Q13" s="690">
        <f>industrie!P18</f>
        <v>0</v>
      </c>
      <c r="R13" s="692">
        <f>SUM(C13:Q13)</f>
        <v>9419.7923307875935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88616.933490360592</v>
      </c>
      <c r="D16" s="725">
        <f t="shared" ref="D16:R16" ca="1" si="0">SUM(D9:D15)</f>
        <v>0</v>
      </c>
      <c r="E16" s="725">
        <f t="shared" ca="1" si="0"/>
        <v>113848.61621637001</v>
      </c>
      <c r="F16" s="725">
        <f t="shared" si="0"/>
        <v>2335.8651690066295</v>
      </c>
      <c r="G16" s="725">
        <f t="shared" ca="1" si="0"/>
        <v>6070.3341371335464</v>
      </c>
      <c r="H16" s="725">
        <f t="shared" si="0"/>
        <v>0</v>
      </c>
      <c r="I16" s="725">
        <f t="shared" si="0"/>
        <v>0</v>
      </c>
      <c r="J16" s="725">
        <f t="shared" si="0"/>
        <v>0</v>
      </c>
      <c r="K16" s="725">
        <f t="shared" si="0"/>
        <v>0.36874409739956671</v>
      </c>
      <c r="L16" s="725">
        <f t="shared" si="0"/>
        <v>0</v>
      </c>
      <c r="M16" s="725">
        <f t="shared" ca="1" si="0"/>
        <v>0</v>
      </c>
      <c r="N16" s="725">
        <f t="shared" si="0"/>
        <v>0</v>
      </c>
      <c r="O16" s="725">
        <f t="shared" ca="1" si="0"/>
        <v>4395.2148958712196</v>
      </c>
      <c r="P16" s="725">
        <f t="shared" si="0"/>
        <v>435.71919087362988</v>
      </c>
      <c r="Q16" s="725">
        <f t="shared" si="0"/>
        <v>358.02395822936074</v>
      </c>
      <c r="R16" s="725">
        <f t="shared" ca="1" si="0"/>
        <v>216061.07580194241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1638.8250902912418</v>
      </c>
      <c r="D19" s="689">
        <f>transport!C54</f>
        <v>0</v>
      </c>
      <c r="E19" s="689">
        <f>transport!D54</f>
        <v>0</v>
      </c>
      <c r="F19" s="689">
        <f>transport!E54</f>
        <v>0</v>
      </c>
      <c r="G19" s="689">
        <f>transport!F54</f>
        <v>0</v>
      </c>
      <c r="H19" s="689">
        <f>transport!G54</f>
        <v>1431.5137217964179</v>
      </c>
      <c r="I19" s="689">
        <f>transport!H54</f>
        <v>0</v>
      </c>
      <c r="J19" s="689">
        <f>transport!I54</f>
        <v>0</v>
      </c>
      <c r="K19" s="689">
        <f>transport!J54</f>
        <v>0</v>
      </c>
      <c r="L19" s="689">
        <f>transport!K54</f>
        <v>0</v>
      </c>
      <c r="M19" s="689">
        <f>transport!L54</f>
        <v>0</v>
      </c>
      <c r="N19" s="689">
        <f>transport!M54</f>
        <v>77.682087857551053</v>
      </c>
      <c r="O19" s="689">
        <f>transport!N54</f>
        <v>0</v>
      </c>
      <c r="P19" s="689">
        <f>transport!O54</f>
        <v>0</v>
      </c>
      <c r="Q19" s="690">
        <f>transport!P54</f>
        <v>0</v>
      </c>
      <c r="R19" s="692">
        <f>SUM(C19:Q19)</f>
        <v>3148.0208999452107</v>
      </c>
      <c r="S19" s="67"/>
    </row>
    <row r="20" spans="1:19" s="451" customFormat="1">
      <c r="A20" s="811" t="s">
        <v>306</v>
      </c>
      <c r="B20" s="816"/>
      <c r="C20" s="689">
        <f>transport!B14</f>
        <v>113.74868903271728</v>
      </c>
      <c r="D20" s="689">
        <f>transport!C14</f>
        <v>0</v>
      </c>
      <c r="E20" s="689">
        <f>transport!D14</f>
        <v>423.51551785878979</v>
      </c>
      <c r="F20" s="689">
        <f>transport!E14</f>
        <v>253.81233652083117</v>
      </c>
      <c r="G20" s="689">
        <f>transport!F14</f>
        <v>0</v>
      </c>
      <c r="H20" s="689">
        <f>transport!G14</f>
        <v>154130.24582906745</v>
      </c>
      <c r="I20" s="689">
        <f>transport!H14</f>
        <v>27586.8522289754</v>
      </c>
      <c r="J20" s="689">
        <f>transport!I14</f>
        <v>0</v>
      </c>
      <c r="K20" s="689">
        <f>transport!J14</f>
        <v>0</v>
      </c>
      <c r="L20" s="689">
        <f>transport!K14</f>
        <v>0</v>
      </c>
      <c r="M20" s="689">
        <f>transport!L14</f>
        <v>0</v>
      </c>
      <c r="N20" s="689">
        <f>transport!M14</f>
        <v>10595.464019795878</v>
      </c>
      <c r="O20" s="689">
        <f>transport!N14</f>
        <v>0</v>
      </c>
      <c r="P20" s="689">
        <f>transport!O14</f>
        <v>0</v>
      </c>
      <c r="Q20" s="690">
        <f>transport!P14</f>
        <v>0</v>
      </c>
      <c r="R20" s="692">
        <f>SUM(C20:Q20)</f>
        <v>193103.63862125107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1752.5737793239591</v>
      </c>
      <c r="D22" s="814">
        <f t="shared" ref="D22:R22" si="1">SUM(D18:D21)</f>
        <v>0</v>
      </c>
      <c r="E22" s="814">
        <f t="shared" si="1"/>
        <v>423.51551785878979</v>
      </c>
      <c r="F22" s="814">
        <f t="shared" si="1"/>
        <v>253.81233652083117</v>
      </c>
      <c r="G22" s="814">
        <f t="shared" si="1"/>
        <v>0</v>
      </c>
      <c r="H22" s="814">
        <f t="shared" si="1"/>
        <v>155561.75955086388</v>
      </c>
      <c r="I22" s="814">
        <f t="shared" si="1"/>
        <v>27586.8522289754</v>
      </c>
      <c r="J22" s="814">
        <f t="shared" si="1"/>
        <v>0</v>
      </c>
      <c r="K22" s="814">
        <f t="shared" si="1"/>
        <v>0</v>
      </c>
      <c r="L22" s="814">
        <f t="shared" si="1"/>
        <v>0</v>
      </c>
      <c r="M22" s="814">
        <f t="shared" si="1"/>
        <v>0</v>
      </c>
      <c r="N22" s="814">
        <f t="shared" si="1"/>
        <v>10673.146107653429</v>
      </c>
      <c r="O22" s="814">
        <f t="shared" si="1"/>
        <v>0</v>
      </c>
      <c r="P22" s="814">
        <f t="shared" si="1"/>
        <v>0</v>
      </c>
      <c r="Q22" s="814">
        <f t="shared" si="1"/>
        <v>0</v>
      </c>
      <c r="R22" s="814">
        <f t="shared" si="1"/>
        <v>196251.65952119627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2718.560199</v>
      </c>
      <c r="D24" s="689">
        <f>+landbouw!C8</f>
        <v>0</v>
      </c>
      <c r="E24" s="689">
        <f>+landbouw!D8</f>
        <v>542.13093414900004</v>
      </c>
      <c r="F24" s="689">
        <f>+landbouw!E8</f>
        <v>101.38342530316733</v>
      </c>
      <c r="G24" s="689">
        <f>+landbouw!F8</f>
        <v>8820.0597785675163</v>
      </c>
      <c r="H24" s="689">
        <f>+landbouw!G8</f>
        <v>0</v>
      </c>
      <c r="I24" s="689">
        <f>+landbouw!H8</f>
        <v>0</v>
      </c>
      <c r="J24" s="689">
        <f>+landbouw!I8</f>
        <v>0</v>
      </c>
      <c r="K24" s="689">
        <f>+landbouw!J8</f>
        <v>713.63547351673958</v>
      </c>
      <c r="L24" s="689">
        <f>+landbouw!K8</f>
        <v>0</v>
      </c>
      <c r="M24" s="689">
        <f>+landbouw!L8</f>
        <v>0</v>
      </c>
      <c r="N24" s="689">
        <f>+landbouw!M8</f>
        <v>0</v>
      </c>
      <c r="O24" s="689">
        <f>+landbouw!N8</f>
        <v>0</v>
      </c>
      <c r="P24" s="689">
        <f>+landbouw!O8</f>
        <v>0</v>
      </c>
      <c r="Q24" s="690">
        <f>+landbouw!P8</f>
        <v>0</v>
      </c>
      <c r="R24" s="692">
        <f>SUM(C24:Q24)</f>
        <v>12895.769810536423</v>
      </c>
      <c r="S24" s="67"/>
    </row>
    <row r="25" spans="1:19" s="451" customFormat="1" ht="15" thickBot="1">
      <c r="A25" s="833" t="s">
        <v>714</v>
      </c>
      <c r="B25" s="947"/>
      <c r="C25" s="948">
        <f>IF(Onbekend_ele_kWh="---",0,Onbekend_ele_kWh)/1000+IF(REST_rest_ele_kWh="---",0,REST_rest_ele_kWh)/1000</f>
        <v>6200.0126269999901</v>
      </c>
      <c r="D25" s="948"/>
      <c r="E25" s="948">
        <f>IF(onbekend_gas_kWh="---",0,onbekend_gas_kWh)/1000+IF(REST_rest_gas_kWh="---",0,REST_rest_gas_kWh)/1000</f>
        <v>8796.9664659999999</v>
      </c>
      <c r="F25" s="948"/>
      <c r="G25" s="948"/>
      <c r="H25" s="948"/>
      <c r="I25" s="948"/>
      <c r="J25" s="948"/>
      <c r="K25" s="948"/>
      <c r="L25" s="948"/>
      <c r="M25" s="948"/>
      <c r="N25" s="948"/>
      <c r="O25" s="948"/>
      <c r="P25" s="948"/>
      <c r="Q25" s="949"/>
      <c r="R25" s="692">
        <f>SUM(C25:Q25)</f>
        <v>14996.979092999991</v>
      </c>
      <c r="S25" s="67"/>
    </row>
    <row r="26" spans="1:19" s="451" customFormat="1" ht="15.75" thickBot="1">
      <c r="A26" s="697" t="s">
        <v>715</v>
      </c>
      <c r="B26" s="819"/>
      <c r="C26" s="814">
        <f>SUM(C24:C25)</f>
        <v>8918.5728259999905</v>
      </c>
      <c r="D26" s="814">
        <f t="shared" ref="D26:R26" si="2">SUM(D24:D25)</f>
        <v>0</v>
      </c>
      <c r="E26" s="814">
        <f t="shared" si="2"/>
        <v>9339.0974001489994</v>
      </c>
      <c r="F26" s="814">
        <f t="shared" si="2"/>
        <v>101.38342530316733</v>
      </c>
      <c r="G26" s="814">
        <f t="shared" si="2"/>
        <v>8820.0597785675163</v>
      </c>
      <c r="H26" s="814">
        <f t="shared" si="2"/>
        <v>0</v>
      </c>
      <c r="I26" s="814">
        <f t="shared" si="2"/>
        <v>0</v>
      </c>
      <c r="J26" s="814">
        <f t="shared" si="2"/>
        <v>0</v>
      </c>
      <c r="K26" s="814">
        <f t="shared" si="2"/>
        <v>713.63547351673958</v>
      </c>
      <c r="L26" s="814">
        <f t="shared" si="2"/>
        <v>0</v>
      </c>
      <c r="M26" s="814">
        <f t="shared" si="2"/>
        <v>0</v>
      </c>
      <c r="N26" s="814">
        <f t="shared" si="2"/>
        <v>0</v>
      </c>
      <c r="O26" s="814">
        <f t="shared" si="2"/>
        <v>0</v>
      </c>
      <c r="P26" s="814">
        <f t="shared" si="2"/>
        <v>0</v>
      </c>
      <c r="Q26" s="814">
        <f t="shared" si="2"/>
        <v>0</v>
      </c>
      <c r="R26" s="814">
        <f t="shared" si="2"/>
        <v>27892.748903536412</v>
      </c>
      <c r="S26" s="67"/>
    </row>
    <row r="27" spans="1:19" s="451" customFormat="1" ht="17.25" thickTop="1" thickBot="1">
      <c r="A27" s="698" t="s">
        <v>115</v>
      </c>
      <c r="B27" s="806"/>
      <c r="C27" s="699">
        <f ca="1">C22+C16+C26</f>
        <v>99288.080095684534</v>
      </c>
      <c r="D27" s="699">
        <f t="shared" ref="D27:R27" ca="1" si="3">D22+D16+D26</f>
        <v>0</v>
      </c>
      <c r="E27" s="699">
        <f t="shared" ca="1" si="3"/>
        <v>123611.22913437779</v>
      </c>
      <c r="F27" s="699">
        <f t="shared" si="3"/>
        <v>2691.060930830628</v>
      </c>
      <c r="G27" s="699">
        <f t="shared" ca="1" si="3"/>
        <v>14890.393915701063</v>
      </c>
      <c r="H27" s="699">
        <f t="shared" si="3"/>
        <v>155561.75955086388</v>
      </c>
      <c r="I27" s="699">
        <f t="shared" si="3"/>
        <v>27586.8522289754</v>
      </c>
      <c r="J27" s="699">
        <f t="shared" si="3"/>
        <v>0</v>
      </c>
      <c r="K27" s="699">
        <f t="shared" si="3"/>
        <v>714.00421761413918</v>
      </c>
      <c r="L27" s="699">
        <f t="shared" si="3"/>
        <v>0</v>
      </c>
      <c r="M27" s="699">
        <f t="shared" ca="1" si="3"/>
        <v>0</v>
      </c>
      <c r="N27" s="699">
        <f t="shared" si="3"/>
        <v>10673.146107653429</v>
      </c>
      <c r="O27" s="699">
        <f t="shared" ca="1" si="3"/>
        <v>4395.2148958712196</v>
      </c>
      <c r="P27" s="699">
        <f t="shared" si="3"/>
        <v>435.71919087362988</v>
      </c>
      <c r="Q27" s="699">
        <f t="shared" si="3"/>
        <v>358.02395822936074</v>
      </c>
      <c r="R27" s="699">
        <f t="shared" ca="1" si="3"/>
        <v>440205.48422667506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6423.0633375231373</v>
      </c>
      <c r="D40" s="689">
        <f ca="1">tertiair!C20</f>
        <v>0</v>
      </c>
      <c r="E40" s="689">
        <f ca="1">tertiair!D20</f>
        <v>7198.7438647685822</v>
      </c>
      <c r="F40" s="689">
        <f>tertiair!E20</f>
        <v>18.858915642569578</v>
      </c>
      <c r="G40" s="689">
        <f ca="1">tertiair!F20</f>
        <v>1225.1631343848014</v>
      </c>
      <c r="H40" s="689">
        <f>tertiair!G20</f>
        <v>0</v>
      </c>
      <c r="I40" s="689">
        <f>tertiair!H20</f>
        <v>0</v>
      </c>
      <c r="J40" s="689">
        <f>tertiair!I20</f>
        <v>0</v>
      </c>
      <c r="K40" s="689">
        <f>tertiair!J20</f>
        <v>1.20691955454487E-2</v>
      </c>
      <c r="L40" s="689">
        <f>tertiair!K20</f>
        <v>0</v>
      </c>
      <c r="M40" s="689">
        <f ca="1">tertiair!L20</f>
        <v>0</v>
      </c>
      <c r="N40" s="689">
        <f>tertiair!M20</f>
        <v>0</v>
      </c>
      <c r="O40" s="689">
        <f ca="1">tertiair!N20</f>
        <v>0</v>
      </c>
      <c r="P40" s="689">
        <f>tertiair!O20</f>
        <v>0</v>
      </c>
      <c r="Q40" s="772">
        <f>tertiair!P20</f>
        <v>0</v>
      </c>
      <c r="R40" s="852">
        <f t="shared" ca="1" si="4"/>
        <v>14865.841321514636</v>
      </c>
    </row>
    <row r="41" spans="1:18">
      <c r="A41" s="824" t="s">
        <v>224</v>
      </c>
      <c r="B41" s="831"/>
      <c r="C41" s="689">
        <f ca="1">huishoudens!B12</f>
        <v>10009.807974938676</v>
      </c>
      <c r="D41" s="689">
        <f ca="1">huishoudens!C12</f>
        <v>0</v>
      </c>
      <c r="E41" s="689">
        <f>huishoudens!D12</f>
        <v>15077.795583515284</v>
      </c>
      <c r="F41" s="689">
        <f>huishoudens!E12</f>
        <v>507.0090372359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25594.612595689861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818.05246745566274</v>
      </c>
      <c r="D43" s="689">
        <f ca="1">industrie!C22</f>
        <v>0</v>
      </c>
      <c r="E43" s="689">
        <f>industrie!D22</f>
        <v>720.88102742287799</v>
      </c>
      <c r="F43" s="689">
        <f>industrie!E22</f>
        <v>4.3734404860353688</v>
      </c>
      <c r="G43" s="689">
        <f>industrie!F22</f>
        <v>395.61608022985564</v>
      </c>
      <c r="H43" s="689">
        <f>industrie!G22</f>
        <v>0</v>
      </c>
      <c r="I43" s="689">
        <f>industrie!H22</f>
        <v>0</v>
      </c>
      <c r="J43" s="689">
        <f>industrie!I22</f>
        <v>0</v>
      </c>
      <c r="K43" s="689">
        <f>industrie!J22</f>
        <v>0.11846621493399791</v>
      </c>
      <c r="L43" s="689">
        <f>industrie!K22</f>
        <v>0</v>
      </c>
      <c r="M43" s="689">
        <f>industrie!L22</f>
        <v>0</v>
      </c>
      <c r="N43" s="689">
        <f>industrie!M22</f>
        <v>0</v>
      </c>
      <c r="O43" s="689">
        <f>industrie!N22</f>
        <v>0</v>
      </c>
      <c r="P43" s="689">
        <f>industrie!O22</f>
        <v>0</v>
      </c>
      <c r="Q43" s="772">
        <f>industrie!P22</f>
        <v>0</v>
      </c>
      <c r="R43" s="851">
        <f t="shared" ca="1" si="4"/>
        <v>1939.0414818093659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17250.923779917477</v>
      </c>
      <c r="D46" s="725">
        <f t="shared" ref="D46:Q46" ca="1" si="5">SUM(D39:D45)</f>
        <v>0</v>
      </c>
      <c r="E46" s="725">
        <f t="shared" ca="1" si="5"/>
        <v>22997.420475706745</v>
      </c>
      <c r="F46" s="725">
        <f t="shared" si="5"/>
        <v>530.24139336450503</v>
      </c>
      <c r="G46" s="725">
        <f t="shared" ca="1" si="5"/>
        <v>1620.7792146146571</v>
      </c>
      <c r="H46" s="725">
        <f t="shared" si="5"/>
        <v>0</v>
      </c>
      <c r="I46" s="725">
        <f t="shared" si="5"/>
        <v>0</v>
      </c>
      <c r="J46" s="725">
        <f t="shared" si="5"/>
        <v>0</v>
      </c>
      <c r="K46" s="725">
        <f t="shared" si="5"/>
        <v>0.13053541047944661</v>
      </c>
      <c r="L46" s="725">
        <f t="shared" si="5"/>
        <v>0</v>
      </c>
      <c r="M46" s="725">
        <f t="shared" ca="1" si="5"/>
        <v>0</v>
      </c>
      <c r="N46" s="725">
        <f t="shared" si="5"/>
        <v>0</v>
      </c>
      <c r="O46" s="725">
        <f t="shared" ca="1" si="5"/>
        <v>0</v>
      </c>
      <c r="P46" s="725">
        <f t="shared" si="5"/>
        <v>0</v>
      </c>
      <c r="Q46" s="725">
        <f t="shared" si="5"/>
        <v>0</v>
      </c>
      <c r="R46" s="725">
        <f ca="1">SUM(R39:R45)</f>
        <v>42399.49539901386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319.0275899617518</v>
      </c>
      <c r="D49" s="689">
        <f ca="1">transport!C58</f>
        <v>0</v>
      </c>
      <c r="E49" s="689">
        <f>transport!D58</f>
        <v>0</v>
      </c>
      <c r="F49" s="689">
        <f>transport!E58</f>
        <v>0</v>
      </c>
      <c r="G49" s="689">
        <f>transport!F58</f>
        <v>0</v>
      </c>
      <c r="H49" s="689">
        <f>transport!G58</f>
        <v>382.21416371964364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701.24175368139549</v>
      </c>
    </row>
    <row r="50" spans="1:18">
      <c r="A50" s="827" t="s">
        <v>306</v>
      </c>
      <c r="B50" s="837"/>
      <c r="C50" s="695">
        <f ca="1">transport!B18</f>
        <v>22.143284441030548</v>
      </c>
      <c r="D50" s="695">
        <f>transport!C18</f>
        <v>0</v>
      </c>
      <c r="E50" s="695">
        <f>transport!D18</f>
        <v>85.550134607475542</v>
      </c>
      <c r="F50" s="695">
        <f>transport!E18</f>
        <v>57.615400390228679</v>
      </c>
      <c r="G50" s="695">
        <f>transport!F18</f>
        <v>0</v>
      </c>
      <c r="H50" s="695">
        <f>transport!G18</f>
        <v>41152.77563636101</v>
      </c>
      <c r="I50" s="695">
        <f>transport!H18</f>
        <v>6869.1262050148744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48187.21066081462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341.17087440278237</v>
      </c>
      <c r="D52" s="725">
        <f t="shared" ref="D52:Q52" ca="1" si="6">SUM(D48:D51)</f>
        <v>0</v>
      </c>
      <c r="E52" s="725">
        <f t="shared" si="6"/>
        <v>85.550134607475542</v>
      </c>
      <c r="F52" s="725">
        <f t="shared" si="6"/>
        <v>57.615400390228679</v>
      </c>
      <c r="G52" s="725">
        <f t="shared" si="6"/>
        <v>0</v>
      </c>
      <c r="H52" s="725">
        <f t="shared" si="6"/>
        <v>41534.98980008065</v>
      </c>
      <c r="I52" s="725">
        <f t="shared" si="6"/>
        <v>6869.1262050148744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48888.452414496016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529.21798280424173</v>
      </c>
      <c r="D54" s="695">
        <f ca="1">+landbouw!C12</f>
        <v>0</v>
      </c>
      <c r="E54" s="695">
        <f>+landbouw!D12</f>
        <v>109.51044869809802</v>
      </c>
      <c r="F54" s="695">
        <f>+landbouw!E12</f>
        <v>23.014037543818983</v>
      </c>
      <c r="G54" s="695">
        <f>+landbouw!F12</f>
        <v>2354.9559608775271</v>
      </c>
      <c r="H54" s="695">
        <f>+landbouw!G12</f>
        <v>0</v>
      </c>
      <c r="I54" s="695">
        <f>+landbouw!H12</f>
        <v>0</v>
      </c>
      <c r="J54" s="695">
        <f>+landbouw!I12</f>
        <v>0</v>
      </c>
      <c r="K54" s="695">
        <f>+landbouw!J12</f>
        <v>252.62695762492581</v>
      </c>
      <c r="L54" s="695">
        <f>+landbouw!K12</f>
        <v>0</v>
      </c>
      <c r="M54" s="695">
        <f>+landbouw!L12</f>
        <v>0</v>
      </c>
      <c r="N54" s="695">
        <f>+landbouw!M12</f>
        <v>0</v>
      </c>
      <c r="O54" s="695">
        <f>+landbouw!N12</f>
        <v>0</v>
      </c>
      <c r="P54" s="695">
        <f>+landbouw!O12</f>
        <v>0</v>
      </c>
      <c r="Q54" s="696">
        <f>+landbouw!P12</f>
        <v>0</v>
      </c>
      <c r="R54" s="724">
        <f ca="1">SUM(C54:Q54)</f>
        <v>3269.3253875486116</v>
      </c>
    </row>
    <row r="55" spans="1:18" ht="15" thickBot="1">
      <c r="A55" s="827" t="s">
        <v>714</v>
      </c>
      <c r="B55" s="837"/>
      <c r="C55" s="695">
        <f ca="1">C25*'EF ele_warmte'!B12</f>
        <v>1206.9470365337907</v>
      </c>
      <c r="D55" s="695"/>
      <c r="E55" s="695">
        <f>E25*EF_CO2_aardgas</f>
        <v>1776.9872261320002</v>
      </c>
      <c r="F55" s="695"/>
      <c r="G55" s="695"/>
      <c r="H55" s="695"/>
      <c r="I55" s="695"/>
      <c r="J55" s="695"/>
      <c r="K55" s="695"/>
      <c r="L55" s="695"/>
      <c r="M55" s="695"/>
      <c r="N55" s="695"/>
      <c r="O55" s="695"/>
      <c r="P55" s="695"/>
      <c r="Q55" s="696"/>
      <c r="R55" s="724">
        <f ca="1">SUM(C55:Q55)</f>
        <v>2983.9342626657908</v>
      </c>
    </row>
    <row r="56" spans="1:18" ht="15.75" thickBot="1">
      <c r="A56" s="825" t="s">
        <v>715</v>
      </c>
      <c r="B56" s="838"/>
      <c r="C56" s="725">
        <f ca="1">SUM(C54:C55)</f>
        <v>1736.1650193380324</v>
      </c>
      <c r="D56" s="725">
        <f t="shared" ref="D56:Q56" ca="1" si="7">SUM(D54:D55)</f>
        <v>0</v>
      </c>
      <c r="E56" s="725">
        <f t="shared" si="7"/>
        <v>1886.4976748300983</v>
      </c>
      <c r="F56" s="725">
        <f t="shared" si="7"/>
        <v>23.014037543818983</v>
      </c>
      <c r="G56" s="725">
        <f t="shared" si="7"/>
        <v>2354.9559608775271</v>
      </c>
      <c r="H56" s="725">
        <f t="shared" si="7"/>
        <v>0</v>
      </c>
      <c r="I56" s="725">
        <f t="shared" si="7"/>
        <v>0</v>
      </c>
      <c r="J56" s="725">
        <f t="shared" si="7"/>
        <v>0</v>
      </c>
      <c r="K56" s="725">
        <f t="shared" si="7"/>
        <v>252.62695762492581</v>
      </c>
      <c r="L56" s="725">
        <f t="shared" si="7"/>
        <v>0</v>
      </c>
      <c r="M56" s="725">
        <f t="shared" si="7"/>
        <v>0</v>
      </c>
      <c r="N56" s="725">
        <f t="shared" si="7"/>
        <v>0</v>
      </c>
      <c r="O56" s="725">
        <f t="shared" si="7"/>
        <v>0</v>
      </c>
      <c r="P56" s="725">
        <f t="shared" si="7"/>
        <v>0</v>
      </c>
      <c r="Q56" s="726">
        <f t="shared" si="7"/>
        <v>0</v>
      </c>
      <c r="R56" s="727">
        <f ca="1">SUM(R54:R55)</f>
        <v>6253.2596502144024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19328.259673658293</v>
      </c>
      <c r="D61" s="733">
        <f t="shared" ref="D61:Q61" ca="1" si="8">D46+D52+D56</f>
        <v>0</v>
      </c>
      <c r="E61" s="733">
        <f t="shared" ca="1" si="8"/>
        <v>24969.468285144318</v>
      </c>
      <c r="F61" s="733">
        <f t="shared" si="8"/>
        <v>610.87083129855273</v>
      </c>
      <c r="G61" s="733">
        <f t="shared" ca="1" si="8"/>
        <v>3975.7351754921842</v>
      </c>
      <c r="H61" s="733">
        <f t="shared" si="8"/>
        <v>41534.98980008065</v>
      </c>
      <c r="I61" s="733">
        <f t="shared" si="8"/>
        <v>6869.1262050148744</v>
      </c>
      <c r="J61" s="733">
        <f t="shared" si="8"/>
        <v>0</v>
      </c>
      <c r="K61" s="733">
        <f t="shared" si="8"/>
        <v>252.75749303540525</v>
      </c>
      <c r="L61" s="733">
        <f t="shared" si="8"/>
        <v>0</v>
      </c>
      <c r="M61" s="733">
        <f t="shared" ca="1" si="8"/>
        <v>0</v>
      </c>
      <c r="N61" s="733">
        <f t="shared" si="8"/>
        <v>0</v>
      </c>
      <c r="O61" s="733">
        <f t="shared" ca="1" si="8"/>
        <v>0</v>
      </c>
      <c r="P61" s="733">
        <f t="shared" si="8"/>
        <v>0</v>
      </c>
      <c r="Q61" s="733">
        <f t="shared" si="8"/>
        <v>0</v>
      </c>
      <c r="R61" s="733">
        <f ca="1">R46+R52+R56</f>
        <v>97541.207463724277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0.19466848039595014</v>
      </c>
      <c r="D63" s="779">
        <f t="shared" ca="1" si="9"/>
        <v>0</v>
      </c>
      <c r="E63" s="973">
        <f t="shared" ca="1" si="9"/>
        <v>0.20200000000000004</v>
      </c>
      <c r="F63" s="779">
        <f t="shared" si="9"/>
        <v>0.22700000000000006</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4401.571366987002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7428.3201601079872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11829.891527094989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51419.767363360588</v>
      </c>
      <c r="C4" s="455">
        <f>huishoudens!C8</f>
        <v>0</v>
      </c>
      <c r="D4" s="455">
        <f>huishoudens!D8</f>
        <v>74642.552393640013</v>
      </c>
      <c r="E4" s="455">
        <f>huishoudens!E8</f>
        <v>2233.5199878233479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2995.7722254438854</v>
      </c>
      <c r="O4" s="455">
        <f>huishoudens!O8</f>
        <v>376.95206168353604</v>
      </c>
      <c r="P4" s="456">
        <f>huishoudens!P8</f>
        <v>305.48481992286571</v>
      </c>
      <c r="Q4" s="457">
        <f>SUM(B4:P4)</f>
        <v>131974.04885187422</v>
      </c>
    </row>
    <row r="5" spans="1:17">
      <c r="A5" s="454" t="s">
        <v>155</v>
      </c>
      <c r="B5" s="455">
        <f ca="1">tertiair!B16</f>
        <v>31637.164230000006</v>
      </c>
      <c r="C5" s="455">
        <f ca="1">tertiair!C16</f>
        <v>0</v>
      </c>
      <c r="D5" s="455">
        <f ca="1">tertiair!D16</f>
        <v>35637.345865190997</v>
      </c>
      <c r="E5" s="455">
        <f>tertiair!E16</f>
        <v>83.078923535548796</v>
      </c>
      <c r="F5" s="455">
        <f ca="1">tertiair!F16</f>
        <v>4588.6259714786565</v>
      </c>
      <c r="G5" s="455">
        <f>tertiair!G16</f>
        <v>0</v>
      </c>
      <c r="H5" s="455">
        <f>tertiair!H16</f>
        <v>0</v>
      </c>
      <c r="I5" s="455">
        <f>tertiair!I16</f>
        <v>0</v>
      </c>
      <c r="J5" s="455">
        <f>tertiair!J16</f>
        <v>3.4093772727256215E-2</v>
      </c>
      <c r="K5" s="455">
        <f>tertiair!K16</f>
        <v>0</v>
      </c>
      <c r="L5" s="455">
        <f ca="1">tertiair!L16</f>
        <v>0</v>
      </c>
      <c r="M5" s="455">
        <f>tertiair!M16</f>
        <v>0</v>
      </c>
      <c r="N5" s="455">
        <f ca="1">tertiair!N16</f>
        <v>1251.9625368060344</v>
      </c>
      <c r="O5" s="455">
        <f>tertiair!O16</f>
        <v>58.767129190093854</v>
      </c>
      <c r="P5" s="456">
        <f>tertiair!P16</f>
        <v>52.539138306495019</v>
      </c>
      <c r="Q5" s="454">
        <f t="shared" ref="Q5:Q14" ca="1" si="0">SUM(B5:P5)</f>
        <v>73309.517888280563</v>
      </c>
    </row>
    <row r="6" spans="1:17">
      <c r="A6" s="454" t="s">
        <v>193</v>
      </c>
      <c r="B6" s="455">
        <f>'openbare verlichting'!B8</f>
        <v>1357.716731</v>
      </c>
      <c r="C6" s="455"/>
      <c r="D6" s="455"/>
      <c r="E6" s="455"/>
      <c r="F6" s="455"/>
      <c r="G6" s="455"/>
      <c r="H6" s="455"/>
      <c r="I6" s="455"/>
      <c r="J6" s="455"/>
      <c r="K6" s="455"/>
      <c r="L6" s="455"/>
      <c r="M6" s="455"/>
      <c r="N6" s="455"/>
      <c r="O6" s="455"/>
      <c r="P6" s="456"/>
      <c r="Q6" s="454">
        <f t="shared" si="0"/>
        <v>1357.716731</v>
      </c>
    </row>
    <row r="7" spans="1:17">
      <c r="A7" s="454" t="s">
        <v>111</v>
      </c>
      <c r="B7" s="455">
        <f>landbouw!B8</f>
        <v>2718.560199</v>
      </c>
      <c r="C7" s="455">
        <f>landbouw!C8</f>
        <v>0</v>
      </c>
      <c r="D7" s="455">
        <f>landbouw!D8</f>
        <v>542.13093414900004</v>
      </c>
      <c r="E7" s="455">
        <f>landbouw!E8</f>
        <v>101.38342530316733</v>
      </c>
      <c r="F7" s="455">
        <f>landbouw!F8</f>
        <v>8820.0597785675163</v>
      </c>
      <c r="G7" s="455">
        <f>landbouw!G8</f>
        <v>0</v>
      </c>
      <c r="H7" s="455">
        <f>landbouw!H8</f>
        <v>0</v>
      </c>
      <c r="I7" s="455">
        <f>landbouw!I8</f>
        <v>0</v>
      </c>
      <c r="J7" s="455">
        <f>landbouw!J8</f>
        <v>713.63547351673958</v>
      </c>
      <c r="K7" s="455">
        <f>landbouw!K8</f>
        <v>0</v>
      </c>
      <c r="L7" s="455">
        <f>landbouw!L8</f>
        <v>0</v>
      </c>
      <c r="M7" s="455">
        <f>landbouw!M8</f>
        <v>0</v>
      </c>
      <c r="N7" s="455">
        <f>landbouw!N8</f>
        <v>0</v>
      </c>
      <c r="O7" s="455">
        <f>landbouw!O8</f>
        <v>0</v>
      </c>
      <c r="P7" s="456">
        <f>landbouw!P8</f>
        <v>0</v>
      </c>
      <c r="Q7" s="454">
        <f t="shared" si="0"/>
        <v>12895.769810536423</v>
      </c>
    </row>
    <row r="8" spans="1:17">
      <c r="A8" s="454" t="s">
        <v>626</v>
      </c>
      <c r="B8" s="455">
        <f>industrie!B18</f>
        <v>4202.2851659999988</v>
      </c>
      <c r="C8" s="455">
        <f>industrie!C18</f>
        <v>0</v>
      </c>
      <c r="D8" s="455">
        <f>industrie!D18</f>
        <v>3568.7179575389996</v>
      </c>
      <c r="E8" s="455">
        <f>industrie!E18</f>
        <v>19.266257647732903</v>
      </c>
      <c r="F8" s="455">
        <f>industrie!F18</f>
        <v>1481.7081656548899</v>
      </c>
      <c r="G8" s="455">
        <f>industrie!G18</f>
        <v>0</v>
      </c>
      <c r="H8" s="455">
        <f>industrie!H18</f>
        <v>0</v>
      </c>
      <c r="I8" s="455">
        <f>industrie!I18</f>
        <v>0</v>
      </c>
      <c r="J8" s="455">
        <f>industrie!J18</f>
        <v>0.33465032467231048</v>
      </c>
      <c r="K8" s="455">
        <f>industrie!K18</f>
        <v>0</v>
      </c>
      <c r="L8" s="455">
        <f>industrie!L18</f>
        <v>0</v>
      </c>
      <c r="M8" s="455">
        <f>industrie!M18</f>
        <v>0</v>
      </c>
      <c r="N8" s="455">
        <f>industrie!N18</f>
        <v>147.4801336212997</v>
      </c>
      <c r="O8" s="455">
        <f>industrie!O18</f>
        <v>0</v>
      </c>
      <c r="P8" s="456">
        <f>industrie!P18</f>
        <v>0</v>
      </c>
      <c r="Q8" s="454">
        <f t="shared" si="0"/>
        <v>9419.7923307875935</v>
      </c>
    </row>
    <row r="9" spans="1:17" s="460" customFormat="1">
      <c r="A9" s="458" t="s">
        <v>552</v>
      </c>
      <c r="B9" s="459">
        <f>transport!B14</f>
        <v>113.74868903271728</v>
      </c>
      <c r="C9" s="459">
        <f>transport!C14</f>
        <v>0</v>
      </c>
      <c r="D9" s="459">
        <f>transport!D14</f>
        <v>423.51551785878979</v>
      </c>
      <c r="E9" s="459">
        <f>transport!E14</f>
        <v>253.81233652083117</v>
      </c>
      <c r="F9" s="459">
        <f>transport!F14</f>
        <v>0</v>
      </c>
      <c r="G9" s="459">
        <f>transport!G14</f>
        <v>154130.24582906745</v>
      </c>
      <c r="H9" s="459">
        <f>transport!H14</f>
        <v>27586.8522289754</v>
      </c>
      <c r="I9" s="459">
        <f>transport!I14</f>
        <v>0</v>
      </c>
      <c r="J9" s="459">
        <f>transport!J14</f>
        <v>0</v>
      </c>
      <c r="K9" s="459">
        <f>transport!K14</f>
        <v>0</v>
      </c>
      <c r="L9" s="459">
        <f>transport!L14</f>
        <v>0</v>
      </c>
      <c r="M9" s="459">
        <f>transport!M14</f>
        <v>10595.464019795878</v>
      </c>
      <c r="N9" s="459">
        <f>transport!N14</f>
        <v>0</v>
      </c>
      <c r="O9" s="459">
        <f>transport!O14</f>
        <v>0</v>
      </c>
      <c r="P9" s="459">
        <f>transport!P14</f>
        <v>0</v>
      </c>
      <c r="Q9" s="458">
        <f>SUM(B9:P9)</f>
        <v>193103.63862125107</v>
      </c>
    </row>
    <row r="10" spans="1:17">
      <c r="A10" s="454" t="s">
        <v>542</v>
      </c>
      <c r="B10" s="455">
        <f>transport!B54</f>
        <v>1638.8250902912418</v>
      </c>
      <c r="C10" s="455">
        <f>transport!C54</f>
        <v>0</v>
      </c>
      <c r="D10" s="455">
        <f>transport!D54</f>
        <v>0</v>
      </c>
      <c r="E10" s="455">
        <f>transport!E54</f>
        <v>0</v>
      </c>
      <c r="F10" s="455">
        <f>transport!F54</f>
        <v>0</v>
      </c>
      <c r="G10" s="455">
        <f>transport!G54</f>
        <v>1431.5137217964179</v>
      </c>
      <c r="H10" s="455">
        <f>transport!H54</f>
        <v>0</v>
      </c>
      <c r="I10" s="455">
        <f>transport!I54</f>
        <v>0</v>
      </c>
      <c r="J10" s="455">
        <f>transport!J54</f>
        <v>0</v>
      </c>
      <c r="K10" s="455">
        <f>transport!K54</f>
        <v>0</v>
      </c>
      <c r="L10" s="455">
        <f>transport!L54</f>
        <v>0</v>
      </c>
      <c r="M10" s="455">
        <f>transport!M54</f>
        <v>77.682087857551053</v>
      </c>
      <c r="N10" s="455">
        <f>transport!N54</f>
        <v>0</v>
      </c>
      <c r="O10" s="455">
        <f>transport!O54</f>
        <v>0</v>
      </c>
      <c r="P10" s="456">
        <f>transport!P54</f>
        <v>0</v>
      </c>
      <c r="Q10" s="454">
        <f t="shared" si="0"/>
        <v>3148.0208999452107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6200.0126269999901</v>
      </c>
      <c r="C14" s="462"/>
      <c r="D14" s="462">
        <f>'SEAP template'!E25</f>
        <v>8796.9664659999999</v>
      </c>
      <c r="E14" s="462"/>
      <c r="F14" s="462"/>
      <c r="G14" s="462"/>
      <c r="H14" s="462"/>
      <c r="I14" s="462"/>
      <c r="J14" s="462"/>
      <c r="K14" s="462"/>
      <c r="L14" s="462"/>
      <c r="M14" s="462"/>
      <c r="N14" s="462"/>
      <c r="O14" s="462"/>
      <c r="P14" s="463"/>
      <c r="Q14" s="454">
        <f t="shared" si="0"/>
        <v>14996.979092999991</v>
      </c>
    </row>
    <row r="15" spans="1:17" s="466" customFormat="1">
      <c r="A15" s="464" t="s">
        <v>546</v>
      </c>
      <c r="B15" s="465">
        <f ca="1">SUM(B4:B14)</f>
        <v>99288.080095684534</v>
      </c>
      <c r="C15" s="465">
        <f t="shared" ref="C15:Q15" ca="1" si="1">SUM(C4:C14)</f>
        <v>0</v>
      </c>
      <c r="D15" s="465">
        <f t="shared" ca="1" si="1"/>
        <v>123611.22913437779</v>
      </c>
      <c r="E15" s="465">
        <f t="shared" si="1"/>
        <v>2691.060930830628</v>
      </c>
      <c r="F15" s="465">
        <f t="shared" ca="1" si="1"/>
        <v>14890.393915701065</v>
      </c>
      <c r="G15" s="465">
        <f t="shared" si="1"/>
        <v>155561.75955086388</v>
      </c>
      <c r="H15" s="465">
        <f t="shared" si="1"/>
        <v>27586.8522289754</v>
      </c>
      <c r="I15" s="465">
        <f t="shared" si="1"/>
        <v>0</v>
      </c>
      <c r="J15" s="465">
        <f t="shared" si="1"/>
        <v>714.00421761413918</v>
      </c>
      <c r="K15" s="465">
        <f t="shared" si="1"/>
        <v>0</v>
      </c>
      <c r="L15" s="465">
        <f t="shared" ca="1" si="1"/>
        <v>0</v>
      </c>
      <c r="M15" s="465">
        <f t="shared" si="1"/>
        <v>10673.146107653429</v>
      </c>
      <c r="N15" s="465">
        <f t="shared" ca="1" si="1"/>
        <v>4395.2148958712196</v>
      </c>
      <c r="O15" s="465">
        <f t="shared" si="1"/>
        <v>435.71919087362988</v>
      </c>
      <c r="P15" s="465">
        <f t="shared" si="1"/>
        <v>358.02395822936074</v>
      </c>
      <c r="Q15" s="465">
        <f t="shared" ca="1" si="1"/>
        <v>440205.48422667512</v>
      </c>
    </row>
    <row r="17" spans="1:17">
      <c r="A17" s="467" t="s">
        <v>547</v>
      </c>
      <c r="B17" s="784">
        <f ca="1">huishoudens!B10</f>
        <v>0.19466848039595011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10009.807974938676</v>
      </c>
      <c r="C22" s="455">
        <f t="shared" ref="C22:C32" ca="1" si="3">C4*$C$17</f>
        <v>0</v>
      </c>
      <c r="D22" s="455">
        <f t="shared" ref="D22:D32" si="4">D4*$D$17</f>
        <v>15077.795583515284</v>
      </c>
      <c r="E22" s="455">
        <f t="shared" ref="E22:E32" si="5">E4*$E$17</f>
        <v>507.0090372359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25594.612595689861</v>
      </c>
    </row>
    <row r="23" spans="1:17">
      <c r="A23" s="454" t="s">
        <v>155</v>
      </c>
      <c r="B23" s="455">
        <f t="shared" ca="1" si="2"/>
        <v>6158.75868469121</v>
      </c>
      <c r="C23" s="455">
        <f t="shared" ca="1" si="3"/>
        <v>0</v>
      </c>
      <c r="D23" s="455">
        <f t="shared" ca="1" si="4"/>
        <v>7198.7438647685822</v>
      </c>
      <c r="E23" s="455">
        <f t="shared" si="5"/>
        <v>18.858915642569578</v>
      </c>
      <c r="F23" s="455">
        <f t="shared" ca="1" si="6"/>
        <v>1225.1631343848014</v>
      </c>
      <c r="G23" s="455">
        <f t="shared" si="7"/>
        <v>0</v>
      </c>
      <c r="H23" s="455">
        <f t="shared" si="8"/>
        <v>0</v>
      </c>
      <c r="I23" s="455">
        <f t="shared" si="9"/>
        <v>0</v>
      </c>
      <c r="J23" s="455">
        <f t="shared" si="10"/>
        <v>1.20691955454487E-2</v>
      </c>
      <c r="K23" s="455">
        <f t="shared" si="11"/>
        <v>0</v>
      </c>
      <c r="L23" s="455">
        <f t="shared" ca="1" si="12"/>
        <v>0</v>
      </c>
      <c r="M23" s="455">
        <f t="shared" si="13"/>
        <v>0</v>
      </c>
      <c r="N23" s="455">
        <f t="shared" ca="1" si="14"/>
        <v>0</v>
      </c>
      <c r="O23" s="455">
        <f t="shared" si="15"/>
        <v>0</v>
      </c>
      <c r="P23" s="456">
        <f t="shared" si="16"/>
        <v>0</v>
      </c>
      <c r="Q23" s="454">
        <f t="shared" ref="Q23:Q31" ca="1" si="17">SUM(B23:P23)</f>
        <v>14601.536668682709</v>
      </c>
    </row>
    <row r="24" spans="1:17">
      <c r="A24" s="454" t="s">
        <v>193</v>
      </c>
      <c r="B24" s="455">
        <f t="shared" ca="1" si="2"/>
        <v>264.30465283192694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264.30465283192694</v>
      </c>
    </row>
    <row r="25" spans="1:17">
      <c r="A25" s="454" t="s">
        <v>111</v>
      </c>
      <c r="B25" s="455">
        <f t="shared" ca="1" si="2"/>
        <v>529.21798280424173</v>
      </c>
      <c r="C25" s="455">
        <f t="shared" ca="1" si="3"/>
        <v>0</v>
      </c>
      <c r="D25" s="455">
        <f t="shared" si="4"/>
        <v>109.51044869809802</v>
      </c>
      <c r="E25" s="455">
        <f t="shared" si="5"/>
        <v>23.014037543818983</v>
      </c>
      <c r="F25" s="455">
        <f t="shared" si="6"/>
        <v>2354.9559608775271</v>
      </c>
      <c r="G25" s="455">
        <f t="shared" si="7"/>
        <v>0</v>
      </c>
      <c r="H25" s="455">
        <f t="shared" si="8"/>
        <v>0</v>
      </c>
      <c r="I25" s="455">
        <f t="shared" si="9"/>
        <v>0</v>
      </c>
      <c r="J25" s="455">
        <f t="shared" si="10"/>
        <v>252.62695762492581</v>
      </c>
      <c r="K25" s="455">
        <f t="shared" si="11"/>
        <v>0</v>
      </c>
      <c r="L25" s="455">
        <f t="shared" si="12"/>
        <v>0</v>
      </c>
      <c r="M25" s="455">
        <f t="shared" si="13"/>
        <v>0</v>
      </c>
      <c r="N25" s="455">
        <f t="shared" si="14"/>
        <v>0</v>
      </c>
      <c r="O25" s="455">
        <f t="shared" si="15"/>
        <v>0</v>
      </c>
      <c r="P25" s="456">
        <f t="shared" si="16"/>
        <v>0</v>
      </c>
      <c r="Q25" s="454">
        <f t="shared" ca="1" si="17"/>
        <v>3269.3253875486116</v>
      </c>
    </row>
    <row r="26" spans="1:17">
      <c r="A26" s="454" t="s">
        <v>626</v>
      </c>
      <c r="B26" s="455">
        <f t="shared" ca="1" si="2"/>
        <v>818.05246745566274</v>
      </c>
      <c r="C26" s="455">
        <f t="shared" ca="1" si="3"/>
        <v>0</v>
      </c>
      <c r="D26" s="455">
        <f t="shared" si="4"/>
        <v>720.88102742287799</v>
      </c>
      <c r="E26" s="455">
        <f t="shared" si="5"/>
        <v>4.3734404860353688</v>
      </c>
      <c r="F26" s="455">
        <f t="shared" si="6"/>
        <v>395.61608022985564</v>
      </c>
      <c r="G26" s="455">
        <f t="shared" si="7"/>
        <v>0</v>
      </c>
      <c r="H26" s="455">
        <f t="shared" si="8"/>
        <v>0</v>
      </c>
      <c r="I26" s="455">
        <f t="shared" si="9"/>
        <v>0</v>
      </c>
      <c r="J26" s="455">
        <f t="shared" si="10"/>
        <v>0.11846621493399791</v>
      </c>
      <c r="K26" s="455">
        <f t="shared" si="11"/>
        <v>0</v>
      </c>
      <c r="L26" s="455">
        <f t="shared" si="12"/>
        <v>0</v>
      </c>
      <c r="M26" s="455">
        <f t="shared" si="13"/>
        <v>0</v>
      </c>
      <c r="N26" s="455">
        <f t="shared" si="14"/>
        <v>0</v>
      </c>
      <c r="O26" s="455">
        <f t="shared" si="15"/>
        <v>0</v>
      </c>
      <c r="P26" s="456">
        <f t="shared" si="16"/>
        <v>0</v>
      </c>
      <c r="Q26" s="454">
        <f t="shared" ca="1" si="17"/>
        <v>1939.0414818093659</v>
      </c>
    </row>
    <row r="27" spans="1:17" s="460" customFormat="1">
      <c r="A27" s="458" t="s">
        <v>552</v>
      </c>
      <c r="B27" s="778">
        <f t="shared" ca="1" si="2"/>
        <v>22.143284441030548</v>
      </c>
      <c r="C27" s="459">
        <f t="shared" ca="1" si="3"/>
        <v>0</v>
      </c>
      <c r="D27" s="459">
        <f t="shared" si="4"/>
        <v>85.550134607475542</v>
      </c>
      <c r="E27" s="459">
        <f t="shared" si="5"/>
        <v>57.615400390228679</v>
      </c>
      <c r="F27" s="459">
        <f t="shared" si="6"/>
        <v>0</v>
      </c>
      <c r="G27" s="459">
        <f t="shared" si="7"/>
        <v>41152.77563636101</v>
      </c>
      <c r="H27" s="459">
        <f t="shared" si="8"/>
        <v>6869.1262050148744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48187.21066081462</v>
      </c>
    </row>
    <row r="28" spans="1:17" ht="16.5" customHeight="1">
      <c r="A28" s="454" t="s">
        <v>542</v>
      </c>
      <c r="B28" s="455">
        <f t="shared" ca="1" si="2"/>
        <v>319.0275899617518</v>
      </c>
      <c r="C28" s="455">
        <f t="shared" ca="1" si="3"/>
        <v>0</v>
      </c>
      <c r="D28" s="455">
        <f t="shared" si="4"/>
        <v>0</v>
      </c>
      <c r="E28" s="455">
        <f t="shared" si="5"/>
        <v>0</v>
      </c>
      <c r="F28" s="455">
        <f t="shared" si="6"/>
        <v>0</v>
      </c>
      <c r="G28" s="455">
        <f t="shared" si="7"/>
        <v>382.21416371964364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701.24175368139549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1206.9470365337907</v>
      </c>
      <c r="C32" s="455">
        <f t="shared" ca="1" si="3"/>
        <v>0</v>
      </c>
      <c r="D32" s="455">
        <f t="shared" si="4"/>
        <v>1776.9872261320002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2983.9342626657908</v>
      </c>
    </row>
    <row r="33" spans="1:17" s="466" customFormat="1">
      <c r="A33" s="464" t="s">
        <v>546</v>
      </c>
      <c r="B33" s="465">
        <f ca="1">SUM(B22:B32)</f>
        <v>19328.259673658293</v>
      </c>
      <c r="C33" s="465">
        <f t="shared" ref="C33:Q33" ca="1" si="19">SUM(C22:C32)</f>
        <v>0</v>
      </c>
      <c r="D33" s="465">
        <f t="shared" ca="1" si="19"/>
        <v>24969.468285144318</v>
      </c>
      <c r="E33" s="465">
        <f t="shared" si="19"/>
        <v>610.87083129855273</v>
      </c>
      <c r="F33" s="465">
        <f t="shared" ca="1" si="19"/>
        <v>3975.7351754921838</v>
      </c>
      <c r="G33" s="465">
        <f t="shared" si="19"/>
        <v>41534.98980008065</v>
      </c>
      <c r="H33" s="465">
        <f t="shared" si="19"/>
        <v>6869.1262050148744</v>
      </c>
      <c r="I33" s="465">
        <f t="shared" si="19"/>
        <v>0</v>
      </c>
      <c r="J33" s="465">
        <f t="shared" si="19"/>
        <v>252.75749303540525</v>
      </c>
      <c r="K33" s="465">
        <f t="shared" si="19"/>
        <v>0</v>
      </c>
      <c r="L33" s="465">
        <f t="shared" ca="1" si="19"/>
        <v>0</v>
      </c>
      <c r="M33" s="465">
        <f t="shared" si="19"/>
        <v>0</v>
      </c>
      <c r="N33" s="465">
        <f t="shared" ca="1" si="19"/>
        <v>0</v>
      </c>
      <c r="O33" s="465">
        <f t="shared" si="19"/>
        <v>0</v>
      </c>
      <c r="P33" s="465">
        <f t="shared" si="19"/>
        <v>0</v>
      </c>
      <c r="Q33" s="465">
        <f t="shared" ca="1" si="19"/>
        <v>97541.207463724262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4401.571366987002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7428.3201601079872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11829.891527094989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0.19466848039595011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0.19466848039595011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0.19466848039595011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0.19466848039595011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9954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5764.68</v>
      </c>
      <c r="C14" s="332"/>
      <c r="D14" s="332"/>
      <c r="E14" s="332"/>
      <c r="F14" s="332"/>
    </row>
    <row r="15" spans="1:6">
      <c r="A15" s="1310" t="s">
        <v>183</v>
      </c>
      <c r="B15" s="1311">
        <v>52</v>
      </c>
      <c r="C15" s="332"/>
      <c r="D15" s="332"/>
      <c r="E15" s="332"/>
      <c r="F15" s="332"/>
    </row>
    <row r="16" spans="1:6">
      <c r="A16" s="1310" t="s">
        <v>6</v>
      </c>
      <c r="B16" s="1311">
        <v>1809</v>
      </c>
      <c r="C16" s="332"/>
      <c r="D16" s="332"/>
      <c r="E16" s="332"/>
      <c r="F16" s="332"/>
    </row>
    <row r="17" spans="1:6">
      <c r="A17" s="1310" t="s">
        <v>7</v>
      </c>
      <c r="B17" s="1311">
        <v>1676</v>
      </c>
      <c r="C17" s="332"/>
      <c r="D17" s="332"/>
      <c r="E17" s="332"/>
      <c r="F17" s="332"/>
    </row>
    <row r="18" spans="1:6">
      <c r="A18" s="1310" t="s">
        <v>8</v>
      </c>
      <c r="B18" s="1311">
        <v>2201</v>
      </c>
      <c r="C18" s="332"/>
      <c r="D18" s="332"/>
      <c r="E18" s="332"/>
      <c r="F18" s="332"/>
    </row>
    <row r="19" spans="1:6">
      <c r="A19" s="1310" t="s">
        <v>9</v>
      </c>
      <c r="B19" s="1311">
        <v>2055</v>
      </c>
      <c r="C19" s="332"/>
      <c r="D19" s="332"/>
      <c r="E19" s="332"/>
      <c r="F19" s="332"/>
    </row>
    <row r="20" spans="1:6">
      <c r="A20" s="1310" t="s">
        <v>10</v>
      </c>
      <c r="B20" s="1311">
        <v>1441</v>
      </c>
      <c r="C20" s="332"/>
      <c r="D20" s="332"/>
      <c r="E20" s="332"/>
      <c r="F20" s="332"/>
    </row>
    <row r="21" spans="1:6">
      <c r="A21" s="1310" t="s">
        <v>11</v>
      </c>
      <c r="B21" s="1311">
        <v>15612</v>
      </c>
      <c r="C21" s="332"/>
      <c r="D21" s="332"/>
      <c r="E21" s="332"/>
      <c r="F21" s="332"/>
    </row>
    <row r="22" spans="1:6">
      <c r="A22" s="1310" t="s">
        <v>12</v>
      </c>
      <c r="B22" s="1311">
        <v>26183</v>
      </c>
      <c r="C22" s="332"/>
      <c r="D22" s="332"/>
      <c r="E22" s="332"/>
      <c r="F22" s="332"/>
    </row>
    <row r="23" spans="1:6">
      <c r="A23" s="1310" t="s">
        <v>13</v>
      </c>
      <c r="B23" s="1311">
        <v>571</v>
      </c>
      <c r="C23" s="332"/>
      <c r="D23" s="332"/>
      <c r="E23" s="332"/>
      <c r="F23" s="332"/>
    </row>
    <row r="24" spans="1:6">
      <c r="A24" s="1310" t="s">
        <v>14</v>
      </c>
      <c r="B24" s="1311">
        <v>164</v>
      </c>
      <c r="C24" s="332"/>
      <c r="D24" s="332"/>
      <c r="E24" s="332"/>
      <c r="F24" s="332"/>
    </row>
    <row r="25" spans="1:6">
      <c r="A25" s="1310" t="s">
        <v>15</v>
      </c>
      <c r="B25" s="1311">
        <v>3572</v>
      </c>
      <c r="C25" s="332"/>
      <c r="D25" s="332"/>
      <c r="E25" s="332"/>
      <c r="F25" s="332"/>
    </row>
    <row r="26" spans="1:6">
      <c r="A26" s="1310" t="s">
        <v>16</v>
      </c>
      <c r="B26" s="1311">
        <v>293</v>
      </c>
      <c r="C26" s="332"/>
      <c r="D26" s="332"/>
      <c r="E26" s="332"/>
      <c r="F26" s="332"/>
    </row>
    <row r="27" spans="1:6">
      <c r="A27" s="1310" t="s">
        <v>17</v>
      </c>
      <c r="B27" s="1311">
        <v>929</v>
      </c>
      <c r="C27" s="332"/>
      <c r="D27" s="332"/>
      <c r="E27" s="332"/>
      <c r="F27" s="332"/>
    </row>
    <row r="28" spans="1:6" s="43" customFormat="1">
      <c r="A28" s="1312" t="s">
        <v>18</v>
      </c>
      <c r="B28" s="1313">
        <v>99209</v>
      </c>
      <c r="C28" s="338"/>
      <c r="D28" s="338"/>
      <c r="E28" s="338"/>
      <c r="F28" s="338"/>
    </row>
    <row r="29" spans="1:6">
      <c r="A29" s="1312" t="s">
        <v>699</v>
      </c>
      <c r="B29" s="1313">
        <v>265</v>
      </c>
      <c r="C29" s="338"/>
      <c r="D29" s="338"/>
      <c r="E29" s="338"/>
      <c r="F29" s="338"/>
    </row>
    <row r="30" spans="1:6">
      <c r="A30" s="1305" t="s">
        <v>700</v>
      </c>
      <c r="B30" s="1314">
        <v>85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113373.875</v>
      </c>
      <c r="E36" s="1311">
        <v>18</v>
      </c>
      <c r="F36" s="1311">
        <v>577378.27399999998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8915</v>
      </c>
      <c r="D39" s="1311">
        <v>82656996.421000004</v>
      </c>
      <c r="E39" s="1311">
        <v>22594</v>
      </c>
      <c r="F39" s="1311">
        <v>47309384.421000004</v>
      </c>
    </row>
    <row r="40" spans="1:6">
      <c r="A40" s="1310" t="s">
        <v>29</v>
      </c>
      <c r="B40" s="1310" t="s">
        <v>28</v>
      </c>
      <c r="C40" s="1311">
        <v>2</v>
      </c>
      <c r="D40" s="1311">
        <v>3637.4589999999998</v>
      </c>
      <c r="E40" s="1311">
        <v>0</v>
      </c>
      <c r="F40" s="1311">
        <v>0</v>
      </c>
    </row>
    <row r="41" spans="1:6">
      <c r="A41" s="1310" t="s">
        <v>31</v>
      </c>
      <c r="B41" s="1310" t="s">
        <v>32</v>
      </c>
      <c r="C41" s="1311">
        <v>187</v>
      </c>
      <c r="D41" s="1311">
        <v>2250525.1340000001</v>
      </c>
      <c r="E41" s="1311">
        <v>435</v>
      </c>
      <c r="F41" s="1311">
        <v>2347060.7289999998</v>
      </c>
    </row>
    <row r="42" spans="1:6">
      <c r="A42" s="1310" t="s">
        <v>31</v>
      </c>
      <c r="B42" s="1310" t="s">
        <v>33</v>
      </c>
      <c r="C42" s="1311">
        <v>0</v>
      </c>
      <c r="D42" s="1311">
        <v>0</v>
      </c>
      <c r="E42" s="1311">
        <v>4</v>
      </c>
      <c r="F42" s="1311">
        <v>121279.81200000001</v>
      </c>
    </row>
    <row r="43" spans="1:6">
      <c r="A43" s="1310" t="s">
        <v>31</v>
      </c>
      <c r="B43" s="1310" t="s">
        <v>34</v>
      </c>
      <c r="C43" s="1311">
        <v>0</v>
      </c>
      <c r="D43" s="1311">
        <v>0</v>
      </c>
      <c r="E43" s="1311">
        <v>0</v>
      </c>
      <c r="F43" s="1311">
        <v>0</v>
      </c>
    </row>
    <row r="44" spans="1:6">
      <c r="A44" s="1310" t="s">
        <v>31</v>
      </c>
      <c r="B44" s="1310" t="s">
        <v>35</v>
      </c>
      <c r="C44" s="1311">
        <v>7</v>
      </c>
      <c r="D44" s="1311">
        <v>114746.508</v>
      </c>
      <c r="E44" s="1311">
        <v>28</v>
      </c>
      <c r="F44" s="1311">
        <v>258709.64199999999</v>
      </c>
    </row>
    <row r="45" spans="1:6">
      <c r="A45" s="1310" t="s">
        <v>31</v>
      </c>
      <c r="B45" s="1310" t="s">
        <v>36</v>
      </c>
      <c r="C45" s="1311">
        <v>0</v>
      </c>
      <c r="D45" s="1311">
        <v>0</v>
      </c>
      <c r="E45" s="1311">
        <v>3</v>
      </c>
      <c r="F45" s="1311">
        <v>14805.894</v>
      </c>
    </row>
    <row r="46" spans="1:6">
      <c r="A46" s="1310" t="s">
        <v>31</v>
      </c>
      <c r="B46" s="1310" t="s">
        <v>37</v>
      </c>
      <c r="C46" s="1311">
        <v>0</v>
      </c>
      <c r="D46" s="1311">
        <v>0</v>
      </c>
      <c r="E46" s="1311">
        <v>0</v>
      </c>
      <c r="F46" s="1311">
        <v>0</v>
      </c>
    </row>
    <row r="47" spans="1:6">
      <c r="A47" s="1310" t="s">
        <v>31</v>
      </c>
      <c r="B47" s="1310" t="s">
        <v>38</v>
      </c>
      <c r="C47" s="1311">
        <v>0</v>
      </c>
      <c r="D47" s="1311">
        <v>0</v>
      </c>
      <c r="E47" s="1311">
        <v>8</v>
      </c>
      <c r="F47" s="1311">
        <v>72562.255000000005</v>
      </c>
    </row>
    <row r="48" spans="1:6">
      <c r="A48" s="1310" t="s">
        <v>31</v>
      </c>
      <c r="B48" s="1310" t="s">
        <v>28</v>
      </c>
      <c r="C48" s="1311">
        <v>6</v>
      </c>
      <c r="D48" s="1311">
        <v>507985.15899999999</v>
      </c>
      <c r="E48" s="1311">
        <v>3</v>
      </c>
      <c r="F48" s="1311">
        <v>50590.114000000001</v>
      </c>
    </row>
    <row r="49" spans="1:6">
      <c r="A49" s="1310" t="s">
        <v>31</v>
      </c>
      <c r="B49" s="1310" t="s">
        <v>39</v>
      </c>
      <c r="C49" s="1311">
        <v>0</v>
      </c>
      <c r="D49" s="1311">
        <v>0</v>
      </c>
      <c r="E49" s="1311">
        <v>0</v>
      </c>
      <c r="F49" s="1311">
        <v>0</v>
      </c>
    </row>
    <row r="50" spans="1:6">
      <c r="A50" s="1310" t="s">
        <v>31</v>
      </c>
      <c r="B50" s="1310" t="s">
        <v>40</v>
      </c>
      <c r="C50" s="1311">
        <v>19</v>
      </c>
      <c r="D50" s="1311">
        <v>1078811.8119999999</v>
      </c>
      <c r="E50" s="1311">
        <v>34</v>
      </c>
      <c r="F50" s="1311">
        <v>1337276.72</v>
      </c>
    </row>
    <row r="51" spans="1:6">
      <c r="A51" s="1310" t="s">
        <v>41</v>
      </c>
      <c r="B51" s="1310" t="s">
        <v>42</v>
      </c>
      <c r="C51" s="1311">
        <v>18</v>
      </c>
      <c r="D51" s="1311">
        <v>600366.48300000001</v>
      </c>
      <c r="E51" s="1311">
        <v>208</v>
      </c>
      <c r="F51" s="1311">
        <v>2718560.199</v>
      </c>
    </row>
    <row r="52" spans="1:6">
      <c r="A52" s="1310" t="s">
        <v>41</v>
      </c>
      <c r="B52" s="1310" t="s">
        <v>28</v>
      </c>
      <c r="C52" s="1311">
        <v>0</v>
      </c>
      <c r="D52" s="1311">
        <v>0</v>
      </c>
      <c r="E52" s="1311">
        <v>0</v>
      </c>
      <c r="F52" s="1311">
        <v>0</v>
      </c>
    </row>
    <row r="53" spans="1:6">
      <c r="A53" s="1310" t="s">
        <v>43</v>
      </c>
      <c r="B53" s="1310" t="s">
        <v>44</v>
      </c>
      <c r="C53" s="1311">
        <v>560</v>
      </c>
      <c r="D53" s="1311">
        <v>8796966.466</v>
      </c>
      <c r="E53" s="1311">
        <v>2159</v>
      </c>
      <c r="F53" s="1311">
        <v>6200012.6269999901</v>
      </c>
    </row>
    <row r="54" spans="1:6">
      <c r="A54" s="1310" t="s">
        <v>45</v>
      </c>
      <c r="B54" s="1310" t="s">
        <v>46</v>
      </c>
      <c r="C54" s="1311">
        <v>0</v>
      </c>
      <c r="D54" s="1311">
        <v>0</v>
      </c>
      <c r="E54" s="1311">
        <v>1</v>
      </c>
      <c r="F54" s="1311">
        <v>1357716.7309999999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107</v>
      </c>
      <c r="D57" s="1311">
        <v>6484206.1869999999</v>
      </c>
      <c r="E57" s="1311">
        <v>287</v>
      </c>
      <c r="F57" s="1311">
        <v>3452247.2420000001</v>
      </c>
    </row>
    <row r="58" spans="1:6">
      <c r="A58" s="1310" t="s">
        <v>48</v>
      </c>
      <c r="B58" s="1310" t="s">
        <v>50</v>
      </c>
      <c r="C58" s="1311">
        <v>38</v>
      </c>
      <c r="D58" s="1311">
        <v>2438129.6320000002</v>
      </c>
      <c r="E58" s="1311">
        <v>107</v>
      </c>
      <c r="F58" s="1311">
        <v>1267377.841</v>
      </c>
    </row>
    <row r="59" spans="1:6">
      <c r="A59" s="1310" t="s">
        <v>48</v>
      </c>
      <c r="B59" s="1310" t="s">
        <v>51</v>
      </c>
      <c r="C59" s="1311">
        <v>181</v>
      </c>
      <c r="D59" s="1311">
        <v>6315015.8930000002</v>
      </c>
      <c r="E59" s="1311">
        <v>437</v>
      </c>
      <c r="F59" s="1311">
        <v>9164065.6510000005</v>
      </c>
    </row>
    <row r="60" spans="1:6">
      <c r="A60" s="1310" t="s">
        <v>48</v>
      </c>
      <c r="B60" s="1310" t="s">
        <v>52</v>
      </c>
      <c r="C60" s="1311">
        <v>225</v>
      </c>
      <c r="D60" s="1311">
        <v>10106038.067</v>
      </c>
      <c r="E60" s="1311">
        <v>368</v>
      </c>
      <c r="F60" s="1311">
        <v>11582433.101</v>
      </c>
    </row>
    <row r="61" spans="1:6">
      <c r="A61" s="1310" t="s">
        <v>48</v>
      </c>
      <c r="B61" s="1310" t="s">
        <v>53</v>
      </c>
      <c r="C61" s="1311">
        <v>298</v>
      </c>
      <c r="D61" s="1311">
        <v>13823984.140000001</v>
      </c>
      <c r="E61" s="1311">
        <v>1204</v>
      </c>
      <c r="F61" s="1311">
        <v>5962364.5710000005</v>
      </c>
    </row>
    <row r="62" spans="1:6">
      <c r="A62" s="1310" t="s">
        <v>48</v>
      </c>
      <c r="B62" s="1310" t="s">
        <v>54</v>
      </c>
      <c r="C62" s="1311">
        <v>7</v>
      </c>
      <c r="D62" s="1311">
        <v>298125.37800000003</v>
      </c>
      <c r="E62" s="1311">
        <v>18</v>
      </c>
      <c r="F62" s="1311">
        <v>208675.82399999999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4</v>
      </c>
      <c r="D65" s="1311">
        <v>122795.399</v>
      </c>
      <c r="E65" s="1311">
        <v>1</v>
      </c>
      <c r="F65" s="1311">
        <v>29922.625</v>
      </c>
    </row>
    <row r="66" spans="1:6">
      <c r="A66" s="1310" t="s">
        <v>55</v>
      </c>
      <c r="B66" s="1310" t="s">
        <v>57</v>
      </c>
      <c r="C66" s="1311">
        <v>0</v>
      </c>
      <c r="D66" s="1311">
        <v>0</v>
      </c>
      <c r="E66" s="1311">
        <v>26</v>
      </c>
      <c r="F66" s="1311">
        <v>260545.345</v>
      </c>
    </row>
    <row r="67" spans="1:6">
      <c r="A67" s="1312" t="s">
        <v>55</v>
      </c>
      <c r="B67" s="1312" t="s">
        <v>58</v>
      </c>
      <c r="C67" s="1311">
        <v>0</v>
      </c>
      <c r="D67" s="1311">
        <v>0</v>
      </c>
      <c r="E67" s="1311">
        <v>0</v>
      </c>
      <c r="F67" s="1311">
        <v>0</v>
      </c>
    </row>
    <row r="68" spans="1:6">
      <c r="A68" s="1305" t="s">
        <v>55</v>
      </c>
      <c r="B68" s="1305" t="s">
        <v>59</v>
      </c>
      <c r="C68" s="1314">
        <v>0</v>
      </c>
      <c r="D68" s="1314">
        <v>0</v>
      </c>
      <c r="E68" s="1314">
        <v>29</v>
      </c>
      <c r="F68" s="1314">
        <v>1884767.8870000001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86793017</v>
      </c>
      <c r="E73" s="453"/>
      <c r="F73" s="332"/>
    </row>
    <row r="74" spans="1:6">
      <c r="A74" s="1310" t="s">
        <v>63</v>
      </c>
      <c r="B74" s="1310" t="s">
        <v>648</v>
      </c>
      <c r="C74" s="1324" t="s">
        <v>650</v>
      </c>
      <c r="D74" s="1325">
        <v>9936800.8684127461</v>
      </c>
      <c r="E74" s="453"/>
      <c r="F74" s="332"/>
    </row>
    <row r="75" spans="1:6">
      <c r="A75" s="1310" t="s">
        <v>64</v>
      </c>
      <c r="B75" s="1310" t="s">
        <v>647</v>
      </c>
      <c r="C75" s="1324" t="s">
        <v>651</v>
      </c>
      <c r="D75" s="1325">
        <v>7040410</v>
      </c>
      <c r="E75" s="453"/>
      <c r="F75" s="332"/>
    </row>
    <row r="76" spans="1:6">
      <c r="A76" s="1310" t="s">
        <v>64</v>
      </c>
      <c r="B76" s="1310" t="s">
        <v>648</v>
      </c>
      <c r="C76" s="1324" t="s">
        <v>652</v>
      </c>
      <c r="D76" s="1325">
        <v>279891.868412746</v>
      </c>
      <c r="E76" s="453"/>
      <c r="F76" s="332"/>
    </row>
    <row r="77" spans="1:6">
      <c r="A77" s="1310" t="s">
        <v>65</v>
      </c>
      <c r="B77" s="1310" t="s">
        <v>647</v>
      </c>
      <c r="C77" s="1324" t="s">
        <v>653</v>
      </c>
      <c r="D77" s="1325">
        <v>74555129</v>
      </c>
      <c r="E77" s="453"/>
      <c r="F77" s="332"/>
    </row>
    <row r="78" spans="1:6">
      <c r="A78" s="1305" t="s">
        <v>65</v>
      </c>
      <c r="B78" s="1305" t="s">
        <v>648</v>
      </c>
      <c r="C78" s="1305" t="s">
        <v>654</v>
      </c>
      <c r="D78" s="1326">
        <v>20770876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418614.263174508</v>
      </c>
      <c r="C83" s="453"/>
      <c r="D83" s="332"/>
      <c r="E83" s="332"/>
      <c r="F83" s="332"/>
    </row>
    <row r="84" spans="1:6">
      <c r="A84" s="1305" t="s">
        <v>336</v>
      </c>
      <c r="B84" s="1326">
        <v>464914.91923155799</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4401.571366987002</v>
      </c>
      <c r="C90" s="332"/>
      <c r="D90" s="332"/>
      <c r="E90" s="332"/>
      <c r="F90" s="332"/>
    </row>
    <row r="91" spans="1:6">
      <c r="A91" s="1310" t="s">
        <v>67</v>
      </c>
      <c r="B91" s="1311">
        <v>4110.3829423605894</v>
      </c>
      <c r="C91" s="332"/>
      <c r="D91" s="332"/>
      <c r="E91" s="332"/>
      <c r="F91" s="332"/>
    </row>
    <row r="92" spans="1:6">
      <c r="A92" s="1305" t="s">
        <v>68</v>
      </c>
      <c r="B92" s="1306">
        <v>3317.9372177473983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3729</v>
      </c>
      <c r="C97" s="332"/>
      <c r="D97" s="332"/>
      <c r="E97" s="332"/>
      <c r="F97" s="332"/>
    </row>
    <row r="98" spans="1:6">
      <c r="A98" s="1310" t="s">
        <v>71</v>
      </c>
      <c r="B98" s="1311">
        <v>1</v>
      </c>
      <c r="C98" s="332"/>
      <c r="D98" s="332"/>
      <c r="E98" s="332"/>
      <c r="F98" s="332"/>
    </row>
    <row r="99" spans="1:6">
      <c r="A99" s="1310" t="s">
        <v>72</v>
      </c>
      <c r="B99" s="1311">
        <v>109</v>
      </c>
      <c r="C99" s="332"/>
      <c r="D99" s="332"/>
      <c r="E99" s="332"/>
      <c r="F99" s="332"/>
    </row>
    <row r="100" spans="1:6">
      <c r="A100" s="1310" t="s">
        <v>73</v>
      </c>
      <c r="B100" s="1311">
        <v>1582</v>
      </c>
      <c r="C100" s="332"/>
      <c r="D100" s="332"/>
      <c r="E100" s="332"/>
      <c r="F100" s="332"/>
    </row>
    <row r="101" spans="1:6">
      <c r="A101" s="1310" t="s">
        <v>74</v>
      </c>
      <c r="B101" s="1311">
        <v>78</v>
      </c>
      <c r="C101" s="332"/>
      <c r="D101" s="332"/>
      <c r="E101" s="332"/>
      <c r="F101" s="332"/>
    </row>
    <row r="102" spans="1:6">
      <c r="A102" s="1310" t="s">
        <v>75</v>
      </c>
      <c r="B102" s="1311">
        <v>201</v>
      </c>
      <c r="C102" s="332"/>
      <c r="D102" s="332"/>
      <c r="E102" s="332"/>
      <c r="F102" s="332"/>
    </row>
    <row r="103" spans="1:6">
      <c r="A103" s="1310" t="s">
        <v>76</v>
      </c>
      <c r="B103" s="1311">
        <v>138</v>
      </c>
      <c r="C103" s="332"/>
      <c r="D103" s="332"/>
      <c r="E103" s="332"/>
      <c r="F103" s="332"/>
    </row>
    <row r="104" spans="1:6">
      <c r="A104" s="1310" t="s">
        <v>77</v>
      </c>
      <c r="B104" s="1311">
        <v>1599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14</v>
      </c>
      <c r="C123" s="1311">
        <v>26</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163</v>
      </c>
      <c r="C129" s="332"/>
      <c r="D129" s="332"/>
      <c r="E129" s="332"/>
      <c r="F129" s="332"/>
    </row>
    <row r="130" spans="1:6">
      <c r="A130" s="1310" t="s">
        <v>294</v>
      </c>
      <c r="B130" s="1311">
        <v>12</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99288.080095684534</v>
      </c>
      <c r="C3" s="43" t="s">
        <v>169</v>
      </c>
      <c r="D3" s="43"/>
      <c r="E3" s="154"/>
      <c r="F3" s="43"/>
      <c r="G3" s="43"/>
      <c r="H3" s="43"/>
      <c r="I3" s="43"/>
      <c r="J3" s="43"/>
      <c r="K3" s="96"/>
    </row>
    <row r="4" spans="1:11">
      <c r="A4" s="360" t="s">
        <v>170</v>
      </c>
      <c r="B4" s="49">
        <f>IF(ISERROR('SEAP template'!B78+'SEAP template'!C78),0,'SEAP template'!B78+'SEAP template'!C78)</f>
        <v>11829.891527094989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0.19466848039595011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1357.716731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1357.716731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0.19466848039595011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264.30465283192694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47309.384421000002</v>
      </c>
      <c r="C5" s="17">
        <f>IF(ISERROR('Eigen informatie GS &amp; warmtenet'!B59),0,'Eigen informatie GS &amp; warmtenet'!B59)</f>
        <v>0</v>
      </c>
      <c r="D5" s="30">
        <f>(SUM(HH_hh_gas_kWh,HH_rest_gas_kWh)/1000)*0.903</f>
        <v>74642.552393640013</v>
      </c>
      <c r="E5" s="17">
        <f>B46*B57</f>
        <v>2233.5199878233479</v>
      </c>
      <c r="F5" s="17">
        <f>B51*B62</f>
        <v>0</v>
      </c>
      <c r="G5" s="18"/>
      <c r="H5" s="17"/>
      <c r="I5" s="17"/>
      <c r="J5" s="17">
        <f>B50*B61+C50*C61</f>
        <v>0</v>
      </c>
      <c r="K5" s="17"/>
      <c r="L5" s="17"/>
      <c r="M5" s="17"/>
      <c r="N5" s="17">
        <f>B48*B59+C48*C59</f>
        <v>2995.7722254438854</v>
      </c>
      <c r="O5" s="17">
        <f>B69*B70*B71</f>
        <v>376.95206168353604</v>
      </c>
      <c r="P5" s="17">
        <f>B77*B78*B79/1000-B77*B78*B79/1000/B80</f>
        <v>305.48481992286571</v>
      </c>
    </row>
    <row r="6" spans="1:16">
      <c r="A6" s="16" t="s">
        <v>612</v>
      </c>
      <c r="B6" s="786">
        <f>kWh_PV_kleiner_dan_10kW</f>
        <v>4110.3829423605894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51419.767363360588</v>
      </c>
      <c r="C8" s="21">
        <f>C5</f>
        <v>0</v>
      </c>
      <c r="D8" s="21">
        <f>D5</f>
        <v>74642.552393640013</v>
      </c>
      <c r="E8" s="21">
        <f>E5</f>
        <v>2233.5199878233479</v>
      </c>
      <c r="F8" s="21">
        <f>F5</f>
        <v>0</v>
      </c>
      <c r="G8" s="21"/>
      <c r="H8" s="21"/>
      <c r="I8" s="21"/>
      <c r="J8" s="21">
        <f>J5</f>
        <v>0</v>
      </c>
      <c r="K8" s="21"/>
      <c r="L8" s="21">
        <f>L5</f>
        <v>0</v>
      </c>
      <c r="M8" s="21">
        <f>M5</f>
        <v>0</v>
      </c>
      <c r="N8" s="21">
        <f>N5</f>
        <v>2995.7722254438854</v>
      </c>
      <c r="O8" s="21">
        <f>O5</f>
        <v>376.95206168353604</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0.19466848039595011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10009.807974938676</v>
      </c>
      <c r="C12" s="23">
        <f ca="1">C10*C8</f>
        <v>0</v>
      </c>
      <c r="D12" s="23">
        <f>D8*D10</f>
        <v>15077.795583515284</v>
      </c>
      <c r="E12" s="23">
        <f>E10*E8</f>
        <v>507.0090372359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9954</v>
      </c>
      <c r="C28" s="36"/>
      <c r="D28" s="228"/>
    </row>
    <row r="29" spans="1:7" s="15" customFormat="1">
      <c r="A29" s="230" t="s">
        <v>839</v>
      </c>
      <c r="B29" s="37">
        <f>SUM(HH_hh_gas_aantal,HH_rest_gas_aantal)</f>
        <v>8917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8917</v>
      </c>
      <c r="C32" s="167">
        <f>IF(ISERROR(B32/SUM($B$32,$B$34,$B$35,$B$36,$B$38,$B$39)*100),0,B32/SUM($B$32,$B$34,$B$35,$B$36,$B$38,$B$39)*100)</f>
        <v>89.843828715365234</v>
      </c>
      <c r="D32" s="233"/>
      <c r="G32" s="15"/>
    </row>
    <row r="33" spans="1:7">
      <c r="A33" s="171" t="s">
        <v>71</v>
      </c>
      <c r="B33" s="34" t="s">
        <v>110</v>
      </c>
      <c r="C33" s="167"/>
      <c r="D33" s="233"/>
      <c r="G33" s="15"/>
    </row>
    <row r="34" spans="1:7">
      <c r="A34" s="171" t="s">
        <v>72</v>
      </c>
      <c r="B34" s="33">
        <f>IF((($B$28-$B$32-$B$39-$B$77-$B$38)*C20/100)&lt;0,0,($B$28-$B$32-$B$39-$B$77-$B$38)*C20/100)</f>
        <v>62.109666478236292</v>
      </c>
      <c r="C34" s="167">
        <f>IF(ISERROR(B34/SUM($B$32,$B$34,$B$35,$B$36,$B$38,$B$39)*100),0,B34/SUM($B$32,$B$34,$B$35,$B$36,$B$38,$B$39)*100)</f>
        <v>0.62579009046081913</v>
      </c>
      <c r="D34" s="233"/>
      <c r="G34" s="15"/>
    </row>
    <row r="35" spans="1:7">
      <c r="A35" s="171" t="s">
        <v>73</v>
      </c>
      <c r="B35" s="33">
        <f>IF((($B$28-$B$32-$B$39-$B$77-$B$38)*C21/100)&lt;0,0,($B$28-$B$32-$B$39-$B$77-$B$38)*C21/100)</f>
        <v>901.44488411531938</v>
      </c>
      <c r="C35" s="167">
        <f>IF(ISERROR(B35/SUM($B$32,$B$34,$B$35,$B$36,$B$38,$B$39)*100),0,B35/SUM($B$32,$B$34,$B$35,$B$36,$B$38,$B$39)*100)</f>
        <v>9.082568101917575</v>
      </c>
      <c r="D35" s="233"/>
      <c r="G35" s="15"/>
    </row>
    <row r="36" spans="1:7">
      <c r="A36" s="171" t="s">
        <v>74</v>
      </c>
      <c r="B36" s="33">
        <f>IF((($B$28-$B$32-$B$39-$B$77-$B$38)*C22/100)&lt;0,0,($B$28-$B$32-$B$39-$B$77-$B$38)*C22/100)</f>
        <v>44.445449406444325</v>
      </c>
      <c r="C36" s="167">
        <f>IF(ISERROR(B36/SUM($B$32,$B$34,$B$35,$B$36,$B$38,$B$39)*100),0,B36/SUM($B$32,$B$34,$B$35,$B$36,$B$38,$B$39)*100)</f>
        <v>0.44781309225636601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8917</v>
      </c>
      <c r="C44" s="34" t="s">
        <v>110</v>
      </c>
      <c r="D44" s="174"/>
    </row>
    <row r="45" spans="1:7">
      <c r="A45" s="171" t="s">
        <v>71</v>
      </c>
      <c r="B45" s="33" t="str">
        <f t="shared" si="0"/>
        <v>-</v>
      </c>
      <c r="C45" s="34" t="s">
        <v>110</v>
      </c>
      <c r="D45" s="174"/>
    </row>
    <row r="46" spans="1:7">
      <c r="A46" s="171" t="s">
        <v>72</v>
      </c>
      <c r="B46" s="33">
        <f t="shared" si="0"/>
        <v>62.109666478236292</v>
      </c>
      <c r="C46" s="34" t="s">
        <v>110</v>
      </c>
      <c r="D46" s="174"/>
    </row>
    <row r="47" spans="1:7">
      <c r="A47" s="171" t="s">
        <v>73</v>
      </c>
      <c r="B47" s="33">
        <f t="shared" si="0"/>
        <v>901.44488411531938</v>
      </c>
      <c r="C47" s="34" t="s">
        <v>110</v>
      </c>
      <c r="D47" s="174"/>
    </row>
    <row r="48" spans="1:7">
      <c r="A48" s="171" t="s">
        <v>74</v>
      </c>
      <c r="B48" s="33">
        <f t="shared" si="0"/>
        <v>44.445449406444325</v>
      </c>
      <c r="C48" s="33">
        <f>B48*10</f>
        <v>444.45449406444322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31637.164230000006</v>
      </c>
      <c r="C5" s="17">
        <f>IF(ISERROR('Eigen informatie GS &amp; warmtenet'!B60),0,'Eigen informatie GS &amp; warmtenet'!B60)</f>
        <v>0</v>
      </c>
      <c r="D5" s="30">
        <f>SUM(D6:D12)</f>
        <v>35637.345865190997</v>
      </c>
      <c r="E5" s="17">
        <f>SUM(E6:E12)</f>
        <v>83.078923535548796</v>
      </c>
      <c r="F5" s="17">
        <f>SUM(F6:F12)</f>
        <v>4588.6259714786565</v>
      </c>
      <c r="G5" s="18"/>
      <c r="H5" s="17"/>
      <c r="I5" s="17"/>
      <c r="J5" s="17">
        <f>SUM(J6:J12)</f>
        <v>3.4093772727256215E-2</v>
      </c>
      <c r="K5" s="17"/>
      <c r="L5" s="17"/>
      <c r="M5" s="17"/>
      <c r="N5" s="17">
        <f>SUM(N6:N12)</f>
        <v>1251.9625368060344</v>
      </c>
      <c r="O5" s="17">
        <f>B38*B39*B40</f>
        <v>58.767129190093854</v>
      </c>
      <c r="P5" s="17">
        <f>B46*B47*B48/1000-B46*B47*B48/1000/B49</f>
        <v>52.539138306495019</v>
      </c>
      <c r="R5" s="32"/>
    </row>
    <row r="6" spans="1:18">
      <c r="A6" s="32" t="s">
        <v>53</v>
      </c>
      <c r="B6" s="37">
        <f>B26</f>
        <v>5962.3645710000001</v>
      </c>
      <c r="C6" s="33"/>
      <c r="D6" s="37">
        <f>IF(ISERROR(TER_kantoor_gas_kWh/1000),0,TER_kantoor_gas_kWh/1000)*0.903</f>
        <v>12483.05767842</v>
      </c>
      <c r="E6" s="33">
        <f>$C$26*'E Balans VL '!I12/100/3.6*1000000</f>
        <v>1.4284408280771912</v>
      </c>
      <c r="F6" s="33">
        <f>$C$26*('E Balans VL '!L12+'E Balans VL '!N12)/100/3.6*1000000</f>
        <v>565.40402928366177</v>
      </c>
      <c r="G6" s="34"/>
      <c r="H6" s="33"/>
      <c r="I6" s="33"/>
      <c r="J6" s="33">
        <f>$C$26*('E Balans VL '!D12+'E Balans VL '!E12)/100/3.6*1000000</f>
        <v>0</v>
      </c>
      <c r="K6" s="33"/>
      <c r="L6" s="33"/>
      <c r="M6" s="33"/>
      <c r="N6" s="33">
        <f>$C$26*'E Balans VL '!Y12/100/3.6*1000000</f>
        <v>3.0285728065365292</v>
      </c>
      <c r="O6" s="33"/>
      <c r="P6" s="33"/>
      <c r="R6" s="32"/>
    </row>
    <row r="7" spans="1:18">
      <c r="A7" s="32" t="s">
        <v>52</v>
      </c>
      <c r="B7" s="37">
        <f t="shared" ref="B7:B12" si="0">B27</f>
        <v>11582.433101000001</v>
      </c>
      <c r="C7" s="33"/>
      <c r="D7" s="37">
        <f>IF(ISERROR(TER_horeca_gas_kWh/1000),0,TER_horeca_gas_kWh/1000)*0.903</f>
        <v>9125.7523745010003</v>
      </c>
      <c r="E7" s="33">
        <f>$C$27*'E Balans VL '!I9/100/3.6*1000000</f>
        <v>0</v>
      </c>
      <c r="F7" s="33">
        <f>$C$27*('E Balans VL '!L9+'E Balans VL '!N9)/100/3.6*1000000</f>
        <v>949.73228758046071</v>
      </c>
      <c r="G7" s="34"/>
      <c r="H7" s="33"/>
      <c r="I7" s="33"/>
      <c r="J7" s="33">
        <f>$C$27*('E Balans VL '!D9+'E Balans VL '!E9)/100/3.6*1000000</f>
        <v>0</v>
      </c>
      <c r="K7" s="33"/>
      <c r="L7" s="33"/>
      <c r="M7" s="33"/>
      <c r="N7" s="33">
        <f>$C$27*'E Balans VL '!Y9/100/3.6*1000000</f>
        <v>3.5504810934928148</v>
      </c>
      <c r="O7" s="33"/>
      <c r="P7" s="33"/>
      <c r="R7" s="32"/>
    </row>
    <row r="8" spans="1:18">
      <c r="A8" s="6" t="s">
        <v>51</v>
      </c>
      <c r="B8" s="37">
        <f t="shared" si="0"/>
        <v>9164.0656510000008</v>
      </c>
      <c r="C8" s="33"/>
      <c r="D8" s="37">
        <f>IF(ISERROR(TER_handel_gas_kWh/1000),0,TER_handel_gas_kWh/1000)*0.903</f>
        <v>5702.4593513789996</v>
      </c>
      <c r="E8" s="33">
        <f>$C$28*'E Balans VL '!I13/100/3.6*1000000</f>
        <v>32.206682114753363</v>
      </c>
      <c r="F8" s="33">
        <f>$C$28*('E Balans VL '!L13+'E Balans VL '!N13)/100/3.6*1000000</f>
        <v>838.49554994047469</v>
      </c>
      <c r="G8" s="34"/>
      <c r="H8" s="33"/>
      <c r="I8" s="33"/>
      <c r="J8" s="33">
        <f>$C$28*('E Balans VL '!D13+'E Balans VL '!E13)/100/3.6*1000000</f>
        <v>0</v>
      </c>
      <c r="K8" s="33"/>
      <c r="L8" s="33"/>
      <c r="M8" s="33"/>
      <c r="N8" s="33">
        <f>$C$28*'E Balans VL '!Y13/100/3.6*1000000</f>
        <v>3.3188300510008659</v>
      </c>
      <c r="O8" s="33"/>
      <c r="P8" s="33"/>
      <c r="R8" s="32"/>
    </row>
    <row r="9" spans="1:18">
      <c r="A9" s="32" t="s">
        <v>50</v>
      </c>
      <c r="B9" s="37">
        <f t="shared" si="0"/>
        <v>1267.377841</v>
      </c>
      <c r="C9" s="33"/>
      <c r="D9" s="37">
        <f>IF(ISERROR(TER_gezond_gas_kWh/1000),0,TER_gezond_gas_kWh/1000)*0.903</f>
        <v>2201.631057696</v>
      </c>
      <c r="E9" s="33">
        <f>$C$29*'E Balans VL '!I10/100/3.6*1000000</f>
        <v>0</v>
      </c>
      <c r="F9" s="33">
        <f>$C$29*('E Balans VL '!L10+'E Balans VL '!N10)/100/3.6*1000000</f>
        <v>155.35725051285482</v>
      </c>
      <c r="G9" s="34"/>
      <c r="H9" s="33"/>
      <c r="I9" s="33"/>
      <c r="J9" s="33">
        <f>$C$29*('E Balans VL '!D10+'E Balans VL '!E10)/100/3.6*1000000</f>
        <v>0</v>
      </c>
      <c r="K9" s="33"/>
      <c r="L9" s="33"/>
      <c r="M9" s="33"/>
      <c r="N9" s="33">
        <f>$C$29*'E Balans VL '!Y10/100/3.6*1000000</f>
        <v>9.3460283989983122</v>
      </c>
      <c r="O9" s="33"/>
      <c r="P9" s="33"/>
      <c r="R9" s="32"/>
    </row>
    <row r="10" spans="1:18">
      <c r="A10" s="32" t="s">
        <v>49</v>
      </c>
      <c r="B10" s="37">
        <f t="shared" si="0"/>
        <v>3452.2472419999999</v>
      </c>
      <c r="C10" s="33"/>
      <c r="D10" s="37">
        <f>IF(ISERROR(TER_ander_gas_kWh/1000),0,TER_ander_gas_kWh/1000)*0.903</f>
        <v>5855.238186861</v>
      </c>
      <c r="E10" s="33">
        <f>$C$30*'E Balans VL '!I14/100/3.6*1000000</f>
        <v>49.44380059271824</v>
      </c>
      <c r="F10" s="33">
        <f>$C$30*('E Balans VL '!L14+'E Balans VL '!N14)/100/3.6*1000000</f>
        <v>2055.2401653377542</v>
      </c>
      <c r="G10" s="34"/>
      <c r="H10" s="33"/>
      <c r="I10" s="33"/>
      <c r="J10" s="33">
        <f>$C$30*('E Balans VL '!D14+'E Balans VL '!E14)/100/3.6*1000000</f>
        <v>3.4093772727256215E-2</v>
      </c>
      <c r="K10" s="33"/>
      <c r="L10" s="33"/>
      <c r="M10" s="33"/>
      <c r="N10" s="33">
        <f>$C$30*'E Balans VL '!Y14/100/3.6*1000000</f>
        <v>1232.1310172981209</v>
      </c>
      <c r="O10" s="33"/>
      <c r="P10" s="33"/>
      <c r="R10" s="32"/>
    </row>
    <row r="11" spans="1:18">
      <c r="A11" s="32" t="s">
        <v>54</v>
      </c>
      <c r="B11" s="37">
        <f t="shared" si="0"/>
        <v>208.67582400000001</v>
      </c>
      <c r="C11" s="33"/>
      <c r="D11" s="37">
        <f>IF(ISERROR(TER_onderwijs_gas_kWh/1000),0,TER_onderwijs_gas_kWh/1000)*0.903</f>
        <v>269.20721633400001</v>
      </c>
      <c r="E11" s="33">
        <f>$C$31*'E Balans VL '!I11/100/3.6*1000000</f>
        <v>0</v>
      </c>
      <c r="F11" s="33">
        <f>$C$31*('E Balans VL '!L11+'E Balans VL '!N11)/100/3.6*1000000</f>
        <v>24.396688823451136</v>
      </c>
      <c r="G11" s="34"/>
      <c r="H11" s="33"/>
      <c r="I11" s="33"/>
      <c r="J11" s="33">
        <f>$C$31*('E Balans VL '!D11+'E Balans VL '!E11)/100/3.6*1000000</f>
        <v>0</v>
      </c>
      <c r="K11" s="33"/>
      <c r="L11" s="33"/>
      <c r="M11" s="33"/>
      <c r="N11" s="33">
        <f>$C$31*'E Balans VL '!Y11/100/3.6*1000000</f>
        <v>0.58760715788511098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31637.164230000006</v>
      </c>
      <c r="C16" s="21">
        <f t="shared" ca="1" si="1"/>
        <v>0</v>
      </c>
      <c r="D16" s="21">
        <f t="shared" ca="1" si="1"/>
        <v>35637.345865190997</v>
      </c>
      <c r="E16" s="21">
        <f t="shared" si="1"/>
        <v>83.078923535548796</v>
      </c>
      <c r="F16" s="21">
        <f t="shared" ca="1" si="1"/>
        <v>4588.6259714786565</v>
      </c>
      <c r="G16" s="21">
        <f t="shared" si="1"/>
        <v>0</v>
      </c>
      <c r="H16" s="21">
        <f t="shared" si="1"/>
        <v>0</v>
      </c>
      <c r="I16" s="21">
        <f t="shared" si="1"/>
        <v>0</v>
      </c>
      <c r="J16" s="21">
        <f t="shared" si="1"/>
        <v>3.4093772727256215E-2</v>
      </c>
      <c r="K16" s="21">
        <f t="shared" si="1"/>
        <v>0</v>
      </c>
      <c r="L16" s="21">
        <f t="shared" ca="1" si="1"/>
        <v>0</v>
      </c>
      <c r="M16" s="21">
        <f t="shared" si="1"/>
        <v>0</v>
      </c>
      <c r="N16" s="21">
        <f t="shared" ca="1" si="1"/>
        <v>1251.9625368060344</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0.19466848039595011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6158.75868469121</v>
      </c>
      <c r="C20" s="23">
        <f t="shared" ref="C20:P20" ca="1" si="2">C16*C18</f>
        <v>0</v>
      </c>
      <c r="D20" s="23">
        <f t="shared" ca="1" si="2"/>
        <v>7198.7438647685822</v>
      </c>
      <c r="E20" s="23">
        <f t="shared" si="2"/>
        <v>18.858915642569578</v>
      </c>
      <c r="F20" s="23">
        <f t="shared" ca="1" si="2"/>
        <v>1225.1631343848014</v>
      </c>
      <c r="G20" s="23">
        <f t="shared" si="2"/>
        <v>0</v>
      </c>
      <c r="H20" s="23">
        <f t="shared" si="2"/>
        <v>0</v>
      </c>
      <c r="I20" s="23">
        <f t="shared" si="2"/>
        <v>0</v>
      </c>
      <c r="J20" s="23">
        <f t="shared" si="2"/>
        <v>1.20691955454487E-2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5962.3645710000001</v>
      </c>
      <c r="C26" s="39">
        <f>IF(ISERROR(B26*3.6/1000000/'E Balans VL '!Z12*100),0,B26*3.6/1000000/'E Balans VL '!Z12*100)</f>
        <v>0.168154470042991</v>
      </c>
      <c r="D26" s="237" t="s">
        <v>702</v>
      </c>
      <c r="F26" s="6"/>
    </row>
    <row r="27" spans="1:18">
      <c r="A27" s="231" t="s">
        <v>52</v>
      </c>
      <c r="B27" s="33">
        <f>IF(ISERROR(TER_horeca_ele_kWh/1000),0,TER_horeca_ele_kWh/1000)</f>
        <v>11582.433101000001</v>
      </c>
      <c r="C27" s="39">
        <f>IF(ISERROR(B27*3.6/1000000/'E Balans VL '!Z9*100),0,B27*3.6/1000000/'E Balans VL '!Z9*100)</f>
        <v>0.85869512798696268</v>
      </c>
      <c r="D27" s="237" t="s">
        <v>702</v>
      </c>
      <c r="F27" s="6"/>
    </row>
    <row r="28" spans="1:18">
      <c r="A28" s="171" t="s">
        <v>51</v>
      </c>
      <c r="B28" s="33">
        <f>IF(ISERROR(TER_handel_ele_kWh/1000),0,TER_handel_ele_kWh/1000)</f>
        <v>9164.0656510000008</v>
      </c>
      <c r="C28" s="39">
        <f>IF(ISERROR(B28*3.6/1000000/'E Balans VL '!Z13*100),0,B28*3.6/1000000/'E Balans VL '!Z13*100)</f>
        <v>0.27453361852438818</v>
      </c>
      <c r="D28" s="237" t="s">
        <v>702</v>
      </c>
      <c r="F28" s="6"/>
    </row>
    <row r="29" spans="1:18">
      <c r="A29" s="231" t="s">
        <v>50</v>
      </c>
      <c r="B29" s="33">
        <f>IF(ISERROR(TER_gezond_ele_kWh/1000),0,TER_gezond_ele_kWh/1000)</f>
        <v>1267.377841</v>
      </c>
      <c r="C29" s="39">
        <f>IF(ISERROR(B29*3.6/1000000/'E Balans VL '!Z10*100),0,B29*3.6/1000000/'E Balans VL '!Z10*100)</f>
        <v>0.12531881766443184</v>
      </c>
      <c r="D29" s="237" t="s">
        <v>702</v>
      </c>
      <c r="F29" s="6"/>
    </row>
    <row r="30" spans="1:18">
      <c r="A30" s="231" t="s">
        <v>49</v>
      </c>
      <c r="B30" s="33">
        <f>IF(ISERROR(TER_ander_ele_kWh/1000),0,TER_ander_ele_kWh/1000)</f>
        <v>3452.2472419999999</v>
      </c>
      <c r="C30" s="39">
        <f>IF(ISERROR(B30*3.6/1000000/'E Balans VL '!Z14*100),0,B30*3.6/1000000/'E Balans VL '!Z14*100)</f>
        <v>0.13963319888296061</v>
      </c>
      <c r="D30" s="237" t="s">
        <v>702</v>
      </c>
      <c r="F30" s="6"/>
    </row>
    <row r="31" spans="1:18">
      <c r="A31" s="231" t="s">
        <v>54</v>
      </c>
      <c r="B31" s="33">
        <f>IF(ISERROR(TER_onderwijs_ele_kWh/1000),0,TER_onderwijs_ele_kWh/1000)</f>
        <v>208.67582400000001</v>
      </c>
      <c r="C31" s="39">
        <f>IF(ISERROR(B31*3.6/1000000/'E Balans VL '!Z11*100),0,B31*3.6/1000000/'E Balans VL '!Z11*100)</f>
        <v>5.733237521401266E-2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4202.2851659999988</v>
      </c>
      <c r="C5" s="17">
        <f>IF(ISERROR('Eigen informatie GS &amp; warmtenet'!B61),0,'Eigen informatie GS &amp; warmtenet'!B61)</f>
        <v>0</v>
      </c>
      <c r="D5" s="30">
        <f>SUM(D6:D15)</f>
        <v>3568.7179575389996</v>
      </c>
      <c r="E5" s="17">
        <f>SUM(E6:E15)</f>
        <v>19.266257647732903</v>
      </c>
      <c r="F5" s="17">
        <f>SUM(F6:F15)</f>
        <v>1481.7081656548899</v>
      </c>
      <c r="G5" s="18"/>
      <c r="H5" s="17"/>
      <c r="I5" s="17"/>
      <c r="J5" s="17">
        <f>SUM(J6:J15)</f>
        <v>0.33465032467231048</v>
      </c>
      <c r="K5" s="17"/>
      <c r="L5" s="17"/>
      <c r="M5" s="17"/>
      <c r="N5" s="17">
        <f>SUM(N6:N15)</f>
        <v>147.4801336212997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258.70964199999997</v>
      </c>
      <c r="C8" s="33"/>
      <c r="D8" s="37">
        <f>IF( ISERROR(IND_metaal_Gas_kWH/1000),0,IND_metaal_Gas_kWH/1000)*0.903</f>
        <v>103.616096724</v>
      </c>
      <c r="E8" s="33">
        <f>C30*'E Balans VL '!I18/100/3.6*1000000</f>
        <v>1.304459154447916</v>
      </c>
      <c r="F8" s="33">
        <f>C30*'E Balans VL '!L18/100/3.6*1000000+C30*'E Balans VL '!N18/100/3.6*1000000</f>
        <v>17.675571401923694</v>
      </c>
      <c r="G8" s="34"/>
      <c r="H8" s="33"/>
      <c r="I8" s="33"/>
      <c r="J8" s="40">
        <f>C30*'E Balans VL '!D18/100/3.6*1000000+C30*'E Balans VL '!E18/100/3.6*1000000</f>
        <v>0.22936816584975583</v>
      </c>
      <c r="K8" s="33"/>
      <c r="L8" s="33"/>
      <c r="M8" s="33"/>
      <c r="N8" s="33">
        <f>C30*'E Balans VL '!Y18/100/3.6*1000000</f>
        <v>3.4382526774994302</v>
      </c>
      <c r="O8" s="33"/>
      <c r="P8" s="33"/>
      <c r="R8" s="32"/>
    </row>
    <row r="9" spans="1:18">
      <c r="A9" s="6" t="s">
        <v>32</v>
      </c>
      <c r="B9" s="37">
        <f t="shared" si="0"/>
        <v>2347.0607289999998</v>
      </c>
      <c r="C9" s="33"/>
      <c r="D9" s="37">
        <f>IF( ISERROR(IND_andere_gas_kWh/1000),0,IND_andere_gas_kWh/1000)*0.903</f>
        <v>2032.2241960020001</v>
      </c>
      <c r="E9" s="33">
        <f>C31*'E Balans VL '!I19/100/3.6*1000000</f>
        <v>7.3984901298989501</v>
      </c>
      <c r="F9" s="33">
        <f>C31*'E Balans VL '!L19/100/3.6*1000000+C31*'E Balans VL '!N19/100/3.6*1000000</f>
        <v>1436.7718639439472</v>
      </c>
      <c r="G9" s="34"/>
      <c r="H9" s="33"/>
      <c r="I9" s="33"/>
      <c r="J9" s="40">
        <f>C31*'E Balans VL '!D19/100/3.6*1000000+C31*'E Balans VL '!E19/100/3.6*1000000</f>
        <v>0</v>
      </c>
      <c r="K9" s="33"/>
      <c r="L9" s="33"/>
      <c r="M9" s="33"/>
      <c r="N9" s="33">
        <f>C31*'E Balans VL '!Y19/100/3.6*1000000</f>
        <v>98.415443254995779</v>
      </c>
      <c r="O9" s="33"/>
      <c r="P9" s="33"/>
      <c r="R9" s="32"/>
    </row>
    <row r="10" spans="1:18">
      <c r="A10" s="6" t="s">
        <v>40</v>
      </c>
      <c r="B10" s="37">
        <f t="shared" si="0"/>
        <v>1337.2767200000001</v>
      </c>
      <c r="C10" s="33"/>
      <c r="D10" s="37">
        <f>IF( ISERROR(IND_voed_gas_kWh/1000),0,IND_voed_gas_kWh/1000)*0.903</f>
        <v>974.16706623599998</v>
      </c>
      <c r="E10" s="33">
        <f>C32*'E Balans VL '!I20/100/3.6*1000000</f>
        <v>2.1312435265990168</v>
      </c>
      <c r="F10" s="33">
        <f>C32*'E Balans VL '!L20/100/3.6*1000000+C32*'E Balans VL '!N20/100/3.6*1000000</f>
        <v>21.727498086603411</v>
      </c>
      <c r="G10" s="34"/>
      <c r="H10" s="33"/>
      <c r="I10" s="33"/>
      <c r="J10" s="40">
        <f>C32*'E Balans VL '!D20/100/3.6*1000000+C32*'E Balans VL '!E20/100/3.6*1000000</f>
        <v>0</v>
      </c>
      <c r="K10" s="33"/>
      <c r="L10" s="33"/>
      <c r="M10" s="33"/>
      <c r="N10" s="33">
        <f>C32*'E Balans VL '!Y20/100/3.6*1000000</f>
        <v>42.237877674901483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14.805894</v>
      </c>
      <c r="C12" s="33"/>
      <c r="D12" s="37">
        <f>IF( ISERROR(IND_min_gas_kWh/1000),0,IND_min_gas_kWh/1000)*0.903</f>
        <v>0</v>
      </c>
      <c r="E12" s="33">
        <f>C34*'E Balans VL '!I22/100/3.6*1000000</f>
        <v>6.4069112540860298E-2</v>
      </c>
      <c r="F12" s="33">
        <f>C34*'E Balans VL '!L22/100/3.6*1000000+C34*'E Balans VL '!N22/100/3.6*1000000</f>
        <v>0.56530730975006271</v>
      </c>
      <c r="G12" s="34"/>
      <c r="H12" s="33"/>
      <c r="I12" s="33"/>
      <c r="J12" s="40">
        <f>C34*'E Balans VL '!D22/100/3.6*1000000+C34*'E Balans VL '!E22/100/3.6*1000000</f>
        <v>0</v>
      </c>
      <c r="K12" s="33"/>
      <c r="L12" s="33"/>
      <c r="M12" s="33"/>
      <c r="N12" s="33">
        <f>C34*'E Balans VL '!Y22/100/3.6*1000000</f>
        <v>2.5255519925242997</v>
      </c>
      <c r="O12" s="33"/>
      <c r="P12" s="33"/>
      <c r="R12" s="32"/>
    </row>
    <row r="13" spans="1:18">
      <c r="A13" s="6" t="s">
        <v>38</v>
      </c>
      <c r="B13" s="37">
        <f t="shared" si="0"/>
        <v>72.562255000000007</v>
      </c>
      <c r="C13" s="33"/>
      <c r="D13" s="37">
        <f>IF( ISERROR(IND_papier_gas_kWh/1000),0,IND_papier_gas_kWh/1000)*0.903</f>
        <v>0</v>
      </c>
      <c r="E13" s="33">
        <f>C35*'E Balans VL '!I23/100/3.6*1000000</f>
        <v>0</v>
      </c>
      <c r="F13" s="33">
        <f>C35*'E Balans VL '!L23/100/3.6*1000000+C35*'E Balans VL '!N23/100/3.6*1000000</f>
        <v>3.1437342923681414E-3</v>
      </c>
      <c r="G13" s="34"/>
      <c r="H13" s="33"/>
      <c r="I13" s="33"/>
      <c r="J13" s="40">
        <f>C35*'E Balans VL '!D23/100/3.6*1000000+C35*'E Balans VL '!E23/100/3.6*1000000</f>
        <v>1.9994361936587464E-3</v>
      </c>
      <c r="K13" s="33"/>
      <c r="L13" s="33"/>
      <c r="M13" s="33"/>
      <c r="N13" s="33">
        <f>C35*'E Balans VL '!Y23/100/3.6*1000000</f>
        <v>0</v>
      </c>
      <c r="O13" s="33"/>
      <c r="P13" s="33"/>
      <c r="R13" s="32"/>
    </row>
    <row r="14" spans="1:18">
      <c r="A14" s="6" t="s">
        <v>33</v>
      </c>
      <c r="B14" s="37">
        <f t="shared" si="0"/>
        <v>121.27981200000001</v>
      </c>
      <c r="C14" s="33"/>
      <c r="D14" s="37">
        <f>IF( ISERROR(IND_chemie_gas_kWh/1000),0,IND_chemie_gas_kWh/1000)*0.903</f>
        <v>0</v>
      </c>
      <c r="E14" s="33">
        <f>C36*'E Balans VL '!I24/100/3.6*1000000</f>
        <v>7.0928321403172934</v>
      </c>
      <c r="F14" s="33">
        <f>C36*'E Balans VL '!L24/100/3.6*1000000+C36*'E Balans VL '!N24/100/3.6*1000000</f>
        <v>0.85780897673504142</v>
      </c>
      <c r="G14" s="34"/>
      <c r="H14" s="33"/>
      <c r="I14" s="33"/>
      <c r="J14" s="40">
        <f>C36*'E Balans VL '!D24/100/3.6*1000000+C36*'E Balans VL '!E24/100/3.6*1000000</f>
        <v>0</v>
      </c>
      <c r="K14" s="33"/>
      <c r="L14" s="33"/>
      <c r="M14" s="33"/>
      <c r="N14" s="33">
        <f>C36*'E Balans VL '!Y24/100/3.6*1000000</f>
        <v>8.1737905625485496E-3</v>
      </c>
      <c r="O14" s="33"/>
      <c r="P14" s="33"/>
      <c r="R14" s="32"/>
    </row>
    <row r="15" spans="1:18">
      <c r="A15" s="6" t="s">
        <v>269</v>
      </c>
      <c r="B15" s="37">
        <f t="shared" si="0"/>
        <v>50.590114</v>
      </c>
      <c r="C15" s="33"/>
      <c r="D15" s="37">
        <f>IF( ISERROR(IND_rest_gas_kWh/1000),0,IND_rest_gas_kWh/1000)*0.903</f>
        <v>458.71059857700004</v>
      </c>
      <c r="E15" s="33">
        <f>C37*'E Balans VL '!I15/100/3.6*1000000</f>
        <v>1.2751635839288695</v>
      </c>
      <c r="F15" s="33">
        <f>C37*'E Balans VL '!L15/100/3.6*1000000+C37*'E Balans VL '!N15/100/3.6*1000000</f>
        <v>4.1069722016381105</v>
      </c>
      <c r="G15" s="34"/>
      <c r="H15" s="33"/>
      <c r="I15" s="33"/>
      <c r="J15" s="40">
        <f>C37*'E Balans VL '!D15/100/3.6*1000000+C37*'E Balans VL '!E15/100/3.6*1000000</f>
        <v>0.10328272262889589</v>
      </c>
      <c r="K15" s="33"/>
      <c r="L15" s="33"/>
      <c r="M15" s="33"/>
      <c r="N15" s="33">
        <f>C37*'E Balans VL '!Y15/100/3.6*1000000</f>
        <v>0.85483423081615029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4202.2851659999988</v>
      </c>
      <c r="C18" s="21">
        <f>C5+C16</f>
        <v>0</v>
      </c>
      <c r="D18" s="21">
        <f>MAX((D5+D16),0)</f>
        <v>3568.7179575389996</v>
      </c>
      <c r="E18" s="21">
        <f>MAX((E5+E16),0)</f>
        <v>19.266257647732903</v>
      </c>
      <c r="F18" s="21">
        <f>MAX((F5+F16),0)</f>
        <v>1481.7081656548899</v>
      </c>
      <c r="G18" s="21"/>
      <c r="H18" s="21"/>
      <c r="I18" s="21"/>
      <c r="J18" s="21">
        <f>MAX((J5+J16),0)</f>
        <v>0.33465032467231048</v>
      </c>
      <c r="K18" s="21"/>
      <c r="L18" s="21">
        <f>MAX((L5+L16),0)</f>
        <v>0</v>
      </c>
      <c r="M18" s="21"/>
      <c r="N18" s="21">
        <f>MAX((N5+N16),0)</f>
        <v>147.4801336212997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0.19466848039595011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818.05246745566274</v>
      </c>
      <c r="C22" s="23">
        <f ca="1">C18*C20</f>
        <v>0</v>
      </c>
      <c r="D22" s="23">
        <f>D18*D20</f>
        <v>720.88102742287799</v>
      </c>
      <c r="E22" s="23">
        <f>E18*E20</f>
        <v>4.3734404860353688</v>
      </c>
      <c r="F22" s="23">
        <f>F18*F20</f>
        <v>395.61608022985564</v>
      </c>
      <c r="G22" s="23"/>
      <c r="H22" s="23"/>
      <c r="I22" s="23"/>
      <c r="J22" s="23">
        <f>J18*J20</f>
        <v>0.11846621493399791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258.70964199999997</v>
      </c>
      <c r="C30" s="39">
        <f>IF(ISERROR(B30*3.6/1000000/'E Balans VL '!Z18*100),0,B30*3.6/1000000/'E Balans VL '!Z18*100)</f>
        <v>1.2841763562350212E-2</v>
      </c>
      <c r="D30" s="237" t="s">
        <v>702</v>
      </c>
    </row>
    <row r="31" spans="1:18">
      <c r="A31" s="6" t="s">
        <v>32</v>
      </c>
      <c r="B31" s="37">
        <f>IF( ISERROR(IND_ander_ele_kWh/1000),0,IND_ander_ele_kWh/1000)</f>
        <v>2347.0607289999998</v>
      </c>
      <c r="C31" s="39">
        <f>IF(ISERROR(B31*3.6/1000000/'E Balans VL '!Z19*100),0,B31*3.6/1000000/'E Balans VL '!Z19*100)</f>
        <v>7.9201272520398561E-2</v>
      </c>
      <c r="D31" s="237" t="s">
        <v>702</v>
      </c>
    </row>
    <row r="32" spans="1:18">
      <c r="A32" s="171" t="s">
        <v>40</v>
      </c>
      <c r="B32" s="37">
        <f>IF( ISERROR(IND_voed_ele_kWh/1000),0,IND_voed_ele_kWh/1000)</f>
        <v>1337.2767200000001</v>
      </c>
      <c r="C32" s="39">
        <f>IF(ISERROR(B32*3.6/1000000/'E Balans VL '!Z20*100),0,B32*3.6/1000000/'E Balans VL '!Z20*100)</f>
        <v>3.1405025167458203E-2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14.805894</v>
      </c>
      <c r="C34" s="39">
        <f>IF(ISERROR(B34*3.6/1000000/'E Balans VL '!Z22*100),0,B34*3.6/1000000/'E Balans VL '!Z22*100)</f>
        <v>2.1005234127756084E-3</v>
      </c>
      <c r="D34" s="237" t="s">
        <v>702</v>
      </c>
    </row>
    <row r="35" spans="1:5">
      <c r="A35" s="171" t="s">
        <v>38</v>
      </c>
      <c r="B35" s="37">
        <f>IF( ISERROR(IND_papier_ele_kWh/1000),0,IND_papier_ele_kWh/1000)</f>
        <v>72.562255000000007</v>
      </c>
      <c r="C35" s="39">
        <f>IF(ISERROR(B35*3.6/1000000/'E Balans VL '!Z22*100),0,B35*3.6/1000000/'E Balans VL '!Z22*100)</f>
        <v>1.0294462158873618E-2</v>
      </c>
      <c r="D35" s="237" t="s">
        <v>702</v>
      </c>
    </row>
    <row r="36" spans="1:5">
      <c r="A36" s="171" t="s">
        <v>33</v>
      </c>
      <c r="B36" s="37">
        <f>IF( ISERROR(IND_chemie_ele_kWh/1000),0,IND_chemie_ele_kWh/1000)</f>
        <v>121.27981200000001</v>
      </c>
      <c r="C36" s="39">
        <f>IF(ISERROR(B36*3.6/1000000/'E Balans VL '!Z24*100),0,B36*3.6/1000000/'E Balans VL '!Z24*100)</f>
        <v>1.1074763276317109E-3</v>
      </c>
      <c r="D36" s="237" t="s">
        <v>702</v>
      </c>
    </row>
    <row r="37" spans="1:5">
      <c r="A37" s="171" t="s">
        <v>269</v>
      </c>
      <c r="B37" s="37">
        <f>IF( ISERROR(IND_rest_ele_kWh/1000),0,IND_rest_ele_kWh/1000)</f>
        <v>50.590114</v>
      </c>
      <c r="C37" s="39">
        <f>IF(ISERROR(B37*3.6/1000000/'E Balans VL '!Z15*100),0,B37*3.6/1000000/'E Balans VL '!Z15*100)</f>
        <v>1.8958792958237889E-4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2718.560199</v>
      </c>
      <c r="C5" s="17">
        <f>'Eigen informatie GS &amp; warmtenet'!B62</f>
        <v>0</v>
      </c>
      <c r="D5" s="30">
        <f>IF(ISERROR(SUM(LB_lb_gas_kWh,LB_rest_gas_kWh)/1000),0,SUM(LB_lb_gas_kWh,LB_rest_gas_kWh)/1000)*0.903</f>
        <v>542.13093414900004</v>
      </c>
      <c r="E5" s="17">
        <f>B17*'E Balans VL '!I25/3.6*1000000/100</f>
        <v>101.38342530316733</v>
      </c>
      <c r="F5" s="17">
        <f>B17*('E Balans VL '!L25/3.6*1000000+'E Balans VL '!N25/3.6*1000000)/100</f>
        <v>8820.0597785675163</v>
      </c>
      <c r="G5" s="18"/>
      <c r="H5" s="17"/>
      <c r="I5" s="17"/>
      <c r="J5" s="17">
        <f>('E Balans VL '!D25+'E Balans VL '!E25)/3.6*1000000*landbouw!B17/100</f>
        <v>713.63547351673958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2718.560199</v>
      </c>
      <c r="C8" s="21">
        <f>C5+C6</f>
        <v>0</v>
      </c>
      <c r="D8" s="21">
        <f>MAX((D5+D6),0)</f>
        <v>542.13093414900004</v>
      </c>
      <c r="E8" s="21">
        <f>MAX((E5+E6),0)</f>
        <v>101.38342530316733</v>
      </c>
      <c r="F8" s="21">
        <f>MAX((F5+F6),0)</f>
        <v>8820.0597785675163</v>
      </c>
      <c r="G8" s="21"/>
      <c r="H8" s="21"/>
      <c r="I8" s="21"/>
      <c r="J8" s="21">
        <f>MAX((J5+J6),0)</f>
        <v>713.63547351673958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0.19466848039595011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529.21798280424173</v>
      </c>
      <c r="C12" s="23">
        <f ca="1">C8*C10</f>
        <v>0</v>
      </c>
      <c r="D12" s="23">
        <f>D8*D10</f>
        <v>109.51044869809802</v>
      </c>
      <c r="E12" s="23">
        <f>E8*E10</f>
        <v>23.014037543818983</v>
      </c>
      <c r="F12" s="23">
        <f>F8*F10</f>
        <v>2354.9559608775271</v>
      </c>
      <c r="G12" s="23"/>
      <c r="H12" s="23"/>
      <c r="I12" s="23"/>
      <c r="J12" s="23">
        <f>J8*J10</f>
        <v>252.62695762492581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0.37338714919991406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760.03890476925244</v>
      </c>
      <c r="C26" s="247">
        <f>B26*'GWP N2O_CH4'!B5</f>
        <v>15960.8170001543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296.37548052900854</v>
      </c>
      <c r="C27" s="247">
        <f>B27*'GWP N2O_CH4'!B5</f>
        <v>6223.8850911091795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9.9198693944123448</v>
      </c>
      <c r="C28" s="247">
        <f>B28*'GWP N2O_CH4'!B4</f>
        <v>3075.1595122678268</v>
      </c>
      <c r="D28" s="50"/>
    </row>
    <row r="29" spans="1:4">
      <c r="A29" s="41" t="s">
        <v>276</v>
      </c>
      <c r="B29" s="247">
        <f>B34*'ha_N2O bodem landbouw'!B4</f>
        <v>37.422514655710344</v>
      </c>
      <c r="C29" s="247">
        <f>B29*'GWP N2O_CH4'!B4</f>
        <v>11600.979543270207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8.5286979616981777E-3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4.0949528051778219E-4</v>
      </c>
      <c r="C5" s="440" t="s">
        <v>210</v>
      </c>
      <c r="D5" s="425">
        <f>SUM(D6:D11)</f>
        <v>1.5246558642916432E-3</v>
      </c>
      <c r="E5" s="425">
        <f>SUM(E6:E11)</f>
        <v>9.1372441147499219E-4</v>
      </c>
      <c r="F5" s="438" t="s">
        <v>210</v>
      </c>
      <c r="G5" s="425">
        <f>SUM(G6:G11)</f>
        <v>0.55486888498464282</v>
      </c>
      <c r="H5" s="425">
        <f>SUM(H6:H11)</f>
        <v>9.9312668024311435E-2</v>
      </c>
      <c r="I5" s="440" t="s">
        <v>210</v>
      </c>
      <c r="J5" s="440" t="s">
        <v>210</v>
      </c>
      <c r="K5" s="440" t="s">
        <v>210</v>
      </c>
      <c r="L5" s="440" t="s">
        <v>210</v>
      </c>
      <c r="M5" s="425">
        <f>SUM(M6:M11)</f>
        <v>3.8143670471265156E-2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2.1106737706925665E-4</v>
      </c>
      <c r="C6" s="426"/>
      <c r="D6" s="893">
        <f>vkm_GW_PW*SUMIFS(TableVerdeelsleutelVkm[CNG],TableVerdeelsleutelVkm[Voertuigtype],"Lichte voertuigen")*SUMIFS(TableECFTransport[EnergieConsumptieFactor (PJ per km)],TableECFTransport[Index],CONCATENATE($A6,"_CNG_CNG"))</f>
        <v>7.6231095456928092E-4</v>
      </c>
      <c r="E6" s="893">
        <f>vkm_GW_PW*SUMIFS(TableVerdeelsleutelVkm[LPG],TableVerdeelsleutelVkm[Voertuigtype],"Lichte voertuigen")*SUMIFS(TableECFTransport[EnergieConsumptieFactor (PJ per km)],TableECFTransport[Index],CONCATENATE($A6,"_LPG_LPG"))</f>
        <v>4.1429643629384809E-4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0.12892649835248365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4.8793502973503503E-2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1.0650731147567739E-2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9.4924314851640074E-2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9.9931981128440093E-7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5.3443876097981294E-3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1.7121203105454497E-5</v>
      </c>
      <c r="C8" s="426"/>
      <c r="D8" s="428">
        <f>vkm_NGW_PW*SUMIFS(TableVerdeelsleutelVkm[CNG],TableVerdeelsleutelVkm[Voertuigtype],"Lichte voertuigen")*SUMIFS(TableECFTransport[EnergieConsumptieFactor (PJ per km)],TableECFTransport[Index],CONCATENATE($A8,"_CNG_CNG"))</f>
        <v>1.0481700156962316E-4</v>
      </c>
      <c r="E8" s="428">
        <f>vkm_NGW_PW*SUMIFS(TableVerdeelsleutelVkm[LPG],TableVerdeelsleutelVkm[Voertuigtype],"Lichte voertuigen")*SUMIFS(TableECFTransport[EnergieConsumptieFactor (PJ per km)],TableECFTransport[Index],CONCATENATE($A8,"_LPG_LPG"))</f>
        <v>5.4132303078488971E-5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1.5676728331917224E-2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6.6069170815870612E-3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1.3419172830126619E-3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3.2229276485346817E-3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4.9281111357853416E-8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1.8145694203323574E-4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1.8130670034307103E-4</v>
      </c>
      <c r="C10" s="426"/>
      <c r="D10" s="428">
        <f>vkm_SW_PW*SUMIFS(TableVerdeelsleutelVkm[CNG],TableVerdeelsleutelVkm[Voertuigtype],"Lichte voertuigen")*SUMIFS(TableECFTransport[EnergieConsumptieFactor (PJ per km)],TableECFTransport[Index],CONCATENATE($A10,"_CNG_CNG"))</f>
        <v>6.575279081527393E-4</v>
      </c>
      <c r="E10" s="428">
        <f>vkm_SW_PW*SUMIFS(TableVerdeelsleutelVkm[LPG],TableVerdeelsleutelVkm[Voertuigtype],"Lichte voertuigen")*SUMIFS(TableECFTransport[EnergieConsumptieFactor (PJ per km)],TableECFTransport[Index],CONCATENATE($A10,"_LPG_LPG"))</f>
        <v>4.4529567210265512E-4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0.12314246726628765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4.3909092503108989E-2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9.9855274236304564E-3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0.18897594853377955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2.1068651892353472E-6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1.063965006522293E-2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113.74868903271728</v>
      </c>
      <c r="C14" s="21"/>
      <c r="D14" s="21">
        <f t="shared" ref="D14:M14" si="0">((D5)*10^9/3600)+D12</f>
        <v>423.51551785878979</v>
      </c>
      <c r="E14" s="21">
        <f t="shared" si="0"/>
        <v>253.81233652083117</v>
      </c>
      <c r="F14" s="21"/>
      <c r="G14" s="21">
        <f t="shared" si="0"/>
        <v>154130.24582906745</v>
      </c>
      <c r="H14" s="21">
        <f t="shared" si="0"/>
        <v>27586.8522289754</v>
      </c>
      <c r="I14" s="21"/>
      <c r="J14" s="21"/>
      <c r="K14" s="21"/>
      <c r="L14" s="21"/>
      <c r="M14" s="21">
        <f t="shared" si="0"/>
        <v>10595.464019795878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0.19466848039595011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22.143284441030548</v>
      </c>
      <c r="C18" s="23"/>
      <c r="D18" s="23">
        <f t="shared" ref="D18:M18" si="1">D14*D16</f>
        <v>85.550134607475542</v>
      </c>
      <c r="E18" s="23">
        <f t="shared" si="1"/>
        <v>57.615400390228679</v>
      </c>
      <c r="F18" s="23"/>
      <c r="G18" s="23">
        <f t="shared" si="1"/>
        <v>41152.77563636101</v>
      </c>
      <c r="H18" s="23">
        <f t="shared" si="1"/>
        <v>6869.1262050148744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5.8997703250484711E-3</v>
      </c>
      <c r="C50" s="321">
        <f t="shared" ref="C50:P50" si="2">SUM(C51:C52)</f>
        <v>0</v>
      </c>
      <c r="D50" s="321">
        <f t="shared" si="2"/>
        <v>0</v>
      </c>
      <c r="E50" s="321">
        <f t="shared" si="2"/>
        <v>0</v>
      </c>
      <c r="F50" s="321">
        <f t="shared" si="2"/>
        <v>0</v>
      </c>
      <c r="G50" s="321">
        <f t="shared" si="2"/>
        <v>5.1534493984671048E-3</v>
      </c>
      <c r="H50" s="321">
        <f t="shared" si="2"/>
        <v>0</v>
      </c>
      <c r="I50" s="321">
        <f t="shared" si="2"/>
        <v>0</v>
      </c>
      <c r="J50" s="321">
        <f t="shared" si="2"/>
        <v>0</v>
      </c>
      <c r="K50" s="321">
        <f t="shared" si="2"/>
        <v>0</v>
      </c>
      <c r="L50" s="321">
        <f t="shared" si="2"/>
        <v>0</v>
      </c>
      <c r="M50" s="321">
        <f t="shared" si="2"/>
        <v>2.7965551628718381E-4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5.1534493984671048E-3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2.7965551628718381E-4</v>
      </c>
      <c r="N51" s="323"/>
      <c r="O51" s="323"/>
      <c r="P51" s="326"/>
    </row>
    <row r="52" spans="1:18">
      <c r="A52" s="4" t="s">
        <v>329</v>
      </c>
      <c r="B52" s="894">
        <f>vkm_tram*SUMIFS(TableECFTransport[EnergieConsumptieFactor (PJ per km)],TableECFTransport[Index],"Tram_gemiddeld_Electric_Electric")</f>
        <v>5.8997703250484711E-3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1638.8250902912418</v>
      </c>
      <c r="C54" s="21">
        <f t="shared" ref="C54:P54" si="3">(C50)*10^9/3600</f>
        <v>0</v>
      </c>
      <c r="D54" s="21">
        <f t="shared" si="3"/>
        <v>0</v>
      </c>
      <c r="E54" s="21">
        <f t="shared" si="3"/>
        <v>0</v>
      </c>
      <c r="F54" s="21">
        <f t="shared" si="3"/>
        <v>0</v>
      </c>
      <c r="G54" s="21">
        <f t="shared" si="3"/>
        <v>1431.5137217964179</v>
      </c>
      <c r="H54" s="21">
        <f t="shared" si="3"/>
        <v>0</v>
      </c>
      <c r="I54" s="21">
        <f t="shared" si="3"/>
        <v>0</v>
      </c>
      <c r="J54" s="21">
        <f t="shared" si="3"/>
        <v>0</v>
      </c>
      <c r="K54" s="21">
        <f t="shared" si="3"/>
        <v>0</v>
      </c>
      <c r="L54" s="21">
        <f t="shared" si="3"/>
        <v>0</v>
      </c>
      <c r="M54" s="21">
        <f t="shared" si="3"/>
        <v>77.682087857551053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0.19466848039595011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319.0275899617518</v>
      </c>
      <c r="C58" s="23">
        <f t="shared" ref="C58:P58" ca="1" si="4">C54*C56</f>
        <v>0</v>
      </c>
      <c r="D58" s="23">
        <f t="shared" si="4"/>
        <v>0</v>
      </c>
      <c r="E58" s="23">
        <f t="shared" si="4"/>
        <v>0</v>
      </c>
      <c r="F58" s="23">
        <f t="shared" si="4"/>
        <v>0</v>
      </c>
      <c r="G58" s="23">
        <f t="shared" si="4"/>
        <v>382.21416371964364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4401.571366987002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7428.3201601079872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11829.891527094989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2020-06-20T15:22:43Z</dcterms:modified>
</cp:coreProperties>
</file>