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C6" i="17" s="1"/>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F16" i="16"/>
  <c r="J15" i="16"/>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3"/>
  <c r="C12" i="13" s="1"/>
  <c r="C22" i="59"/>
  <c r="C17" i="49"/>
  <c r="C29" i="20"/>
  <c r="C17" i="19"/>
  <c r="C19" i="19" s="1"/>
  <c r="D39" i="14" s="1"/>
  <c r="C20" i="16"/>
  <c r="C22" i="16" s="1"/>
  <c r="D43" i="14" s="1"/>
  <c r="C10" i="17"/>
  <c r="C12" i="17" s="1"/>
  <c r="D54" i="14" s="1"/>
  <c r="D56" i="14" s="1"/>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<sst xmlns="http://schemas.openxmlformats.org/spreadsheetml/2006/main" count="2375" uniqueCount="871">
  <si>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</si>
  <si>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</si>
  <si>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</si>
  <si>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</si>
  <si>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</si>
  <si>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</si>
  <si>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</si>
  <si>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</si>
  <si>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</si>
  <si>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</si>
  <si>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</si>
  <si>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</si>
  <si>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</si>
  <si>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</si>
  <si>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</si>
  <si>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</si>
  <si>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</si>
  <si>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</si>
  <si>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</si>
  <si>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</si>
  <si>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</si>
  <si>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</si>
  <si>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</si>
  <si>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</si>
  <si>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</si>
  <si>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</si>
  <si>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</si>
  <si>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</si>
  <si>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</si>
  <si>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</si>
  <si>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</si>
  <si>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</si>
  <si>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</si>
  <si>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</si>
  <si>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</si>
  <si>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</si>
  <si>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</si>
  <si>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</si>
  <si>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</si>
  <si>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</si>
  <si>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</si>
  <si>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</si>
  <si>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</si>
  <si>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</si>
  <si>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</si>
  <si>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</si>
  <si>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</si>
  <si>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</si>
  <si>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</si>
  <si>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</si>
  <si>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</si>
  <si>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</si>
  <si>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</si>
  <si>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</si>
  <si>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</si>
  <si>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</si>
  <si>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</si>
  <si>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</si>
  <si>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</si>
  <si>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</si>
  <si>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</si>
  <si>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</si>
  <si>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</si>
  <si>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</si>
  <si>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</si>
  <si>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</si>
  <si>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</si>
  <si>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</si>
  <si>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</si>
  <si>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</si>
  <si>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</si>
  <si>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</si>
  <si>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</si>
  <si>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</si>
  <si>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</si>
  <si>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</si>
  <si>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</si>
  <si>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</si>
  <si>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</si>
  <si>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</si>
  <si>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</si>
  <si>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</si>
  <si>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</si>
  <si>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</si>
  <si>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</si>
  <si>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</si>
  <si>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</si>
  <si>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</si>
  <si>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</si>
  <si>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</si>
  <si>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</si>
  <si>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</si>
  <si>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</si>
  <si>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</si>
  <si>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</si>
  <si>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</si>
  <si>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</si>
  <si>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</si>
  <si>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</si>
  <si>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</si>
  <si>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</si>
  <si>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</si>
  <si>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</si>
  <si>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</si>
  <si>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</si>
  <si>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</si>
  <si>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</si>
  <si>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</si>
  <si>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</si>
  <si>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</si>
  <si>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</si>
  <si>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</si>
  <si>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</si>
  <si>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</si>
  <si>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</si>
  <si>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</si>
  <si>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</si>
  <si>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</si>
  <si>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</si>
  <si>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</si>
  <si>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</si>
  <si>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</si>
  <si>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</si>
  <si>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</si>
  <si>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</si>
  <si>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</si>
  <si>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</si>
  <si>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</si>
  <si>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</si>
  <si>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</si>
  <si>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</si>
  <si>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</si>
  <si>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</si>
  <si>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</si>
  <si>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</si>
  <si>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</si>
  <si>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</si>
  <si>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</si>
  <si>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</si>
  <si>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</si>
  <si>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</si>
  <si>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</si>
  <si>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</si>
  <si>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</si>
  <si>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</si>
  <si>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</si>
  <si>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</si>
  <si>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</si>
  <si>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</si>
  <si>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</si>
  <si>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</si>
  <si>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</si>
  <si>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</si>
  <si>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</si>
  <si>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</si>
  <si>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</si>
  <si>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</si>
  <si>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</si>
  <si>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</si>
  <si>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</si>
  <si>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</si>
  <si>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</si>
  <si>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</si>
  <si>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</si>
  <si>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</si>
  <si>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</si>
  <si>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</si>
  <si>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</si>
  <si>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</si>
  <si>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</si>
  <si>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</si>
  <si>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</si>
  <si>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</si>
  <si>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</si>
  <si>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</si>
  <si>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</si>
  <si>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</si>
  <si>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</si>
  <si>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</si>
  <si>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</si>
  <si>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</si>
  <si>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</si>
  <si>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</si>
  <si>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</si>
  <si>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</si>
  <si>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</si>
  <si>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</si>
  <si>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</si>
  <si>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</si>
  <si>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</si>
  <si>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</si>
  <si>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</si>
  <si>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</si>
  <si>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</si>
  <si>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</si>
  <si>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</si>
  <si>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</si>
  <si>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</si>
  <si>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</si>
  <si>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</si>
  <si>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</si>
  <si>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</si>
  <si>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</si>
  <si>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</si>
  <si>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</si>
  <si>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</si>
  <si>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</si>
  <si>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</si>
  <si>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</si>
  <si>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</si>
  <si>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</si>
  <si>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</si>
  <si>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</si>
  <si>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</si>
  <si>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</si>
  <si>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</si>
  <si>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</si>
  <si>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</si>
  <si>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</si>
  <si>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</si>
  <si>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</si>
  <si>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</si>
  <si>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</si>
  <si>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</si>
  <si>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</si>
  <si>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</si>
  <si>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</si>
  <si>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</si>
  <si>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</si>
  <si>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</si>
  <si>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</si>
  <si>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</si>
  <si>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</si>
  <si>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</si>
  <si>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</si>
  <si>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</si>
  <si>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</si>
  <si>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</si>
  <si>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</si>
  <si>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</si>
  <si>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</si>
  <si>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</si>
  <si>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</si>
  <si>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</si>
  <si>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</si>
  <si>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</si>
  <si>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</si>
  <si>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</si>
  <si>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</si>
  <si>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</si>
  <si>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</si>
  <si>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</si>
  <si>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</si>
  <si>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</si>
  <si>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</si>
  <si>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</si>
  <si>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</si>
  <si>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</si>
  <si>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</si>
  <si>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</si>
  <si>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</si>
  <si>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</si>
  <si>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</si>
  <si>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</si>
  <si>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</si>
  <si>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</si>
  <si>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</si>
  <si>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</si>
  <si>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</si>
  <si>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</si>
  <si>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</si>
  <si>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</si>
  <si>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</si>
  <si>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</si>
  <si>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</si>
  <si>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</si>
  <si>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</si>
  <si>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</si>
  <si>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</si>
  <si>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</si>
  <si>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</si>
  <si>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</si>
  <si>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</si>
  <si>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</si>
  <si>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</si>
  <si>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</si>
  <si>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</si>
  <si>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</si>
  <si>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</si>
  <si>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</si>
  <si>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</si>
  <si>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</si>
  <si>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</si>
  <si>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</si>
  <si>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</si>
  <si>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</si>
  <si>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</si>
  <si>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</si>
  <si>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</si>
  <si>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</si>
  <si>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</si>
  <si>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</si>
  <si>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</si>
  <si>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</si>
  <si>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</si>
  <si>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</si>
  <si>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</si>
  <si>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</si>
  <si>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</si>
  <si>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</si>
  <si>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</si>
  <si>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</si>
  <si>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</si>
  <si>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</si>
  <si>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</si>
  <si>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</si>
  <si>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</si>
  <si>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</si>
  <si>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</si>
  <si>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</si>
  <si>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</si>
  <si>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</si>
  <si>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</si>
  <si>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</si>
  <si>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</si>
  <si>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</si>
  <si>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</si>
  <si>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</si>
  <si>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</si>
  <si>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</si>
  <si>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</si>
  <si>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</si>
  <si>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</si>
  <si>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</si>
  <si>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</si>
  <si>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</si>
  <si>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</si>
  <si>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</si>
  <si>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</si>
  <si>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</si>
  <si>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</si>
  <si>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</si>
  <si>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</si>
  <si>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</si>
  <si>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</si>
  <si>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</si>
  <si>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</si>
  <si>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</si>
  <si>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</si>
  <si>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</si>
  <si>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</si>
  <si>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</si>
  <si>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</si>
  <si>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</si>
  <si>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</si>
  <si>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</si>
  <si>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</si>
  <si>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</si>
  <si>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</si>
  <si>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</si>
  <si>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</si>
  <si>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</si>
  <si>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</si>
  <si>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</si>
  <si>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</si>
  <si>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</si>
  <si>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</si>
  <si>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</si>
  <si>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</si>
  <si>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</si>
  <si>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</si>
  <si>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</si>
  <si>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</si>
  <si>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</si>
  <si>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</si>
  <si>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</si>
  <si>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</si>
  <si>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</si>
  <si>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</si>
  <si>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</si>
  <si>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</si>
  <si>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</si>
  <si>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</si>
  <si>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</si>
  <si>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</si>
  <si>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</si>
  <si>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</si>
  <si>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</si>
  <si>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</si>
  <si>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</si>
  <si>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</si>
  <si>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</si>
  <si>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</si>
  <si>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</si>
  <si>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</si>
  <si>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</si>
  <si>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</si>
  <si>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</si>
  <si>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</si>
  <si>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</si>
  <si>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</si>
  <si>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</si>
  <si>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</si>
  <si>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</si>
  <si>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</si>
  <si>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</si>
  <si>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</si>
  <si>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</si>
  <si>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</si>
  <si>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</si>
  <si>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</si>
  <si>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</si>
  <si>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</si>
  <si>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</si>
  <si>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</si>
  <si>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</si>
  <si>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</si>
  <si>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</si>
  <si>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</si>
  <si>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</si>
  <si>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</si>
  <si>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</si>
  <si>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</si>
  <si>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</si>
  <si>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</si>
  <si>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</si>
  <si>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</si>
  <si>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</si>
  <si>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</si>
  <si>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</si>
  <si>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</si>
  <si>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</si>
  <si>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</si>
  <si>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</si>
  <si>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</si>
  <si>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</si>
  <si>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</si>
  <si>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</si>
  <si>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</si>
  <si>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</si>
  <si>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</si>
  <si>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</si>
  <si>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</si>
  <si>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</si>
  <si>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</si>
  <si>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</si>
  <si>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</si>
  <si>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</si>
  <si>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</si>
  <si>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</si>
  <si>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</si>
  <si>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</si>
  <si>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</si>
  <si>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</si>
  <si>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</si>
  <si>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</si>
  <si>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</si>
  <si>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</si>
  <si>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</si>
  <si>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</si>
  <si>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</si>
  <si>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</si>
  <si>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</si>
  <si>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</si>
  <si>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</si>
  <si>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</si>
  <si>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</si>
  <si>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</si>
  <si>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</si>
  <si>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</si>
  <si>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</si>
  <si>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</si>
  <si>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</si>
  <si>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</si>
  <si>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</si>
  <si>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</si>
  <si>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</si>
  <si>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</si>
  <si>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</si>
  <si>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</si>
  <si>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</si>
  <si>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</si>
  <si>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</si>
  <si>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</si>
  <si>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</si>
  <si>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</si>
  <si>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</si>
  <si>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</si>
  <si>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</si>
  <si>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</si>
  <si>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</si>
  <si>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</si>
  <si>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</si>
  <si>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</si>
  <si>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</si>
  <si>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</si>
  <si>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</si>
  <si>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</si>
  <si>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</si>
  <si>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</si>
  <si>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</si>
  <si>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</si>
  <si>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</si>
  <si>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</si>
  <si>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</si>
  <si>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</si>
  <si>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</si>
  <si>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</si>
  <si>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</si>
  <si>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</si>
  <si>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</si>
  <si>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</si>
  <si>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</si>
  <si>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</si>
  <si>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</si>
  <si>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</si>
  <si>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</si>
  <si>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</si>
  <si>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</si>
  <si>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</si>
  <si>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</si>
  <si>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</si>
  <si>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</si>
  <si>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</si>
  <si>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</si>
  <si>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</si>
  <si>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</si>
  <si>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</si>
  <si>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</si>
  <si>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</si>
  <si>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</si>
  <si>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</si>
  <si>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</si>
  <si>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</si>
  <si>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</si>
  <si>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</si>
  <si>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</si>
  <si>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</si>
  <si>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</si>
  <si>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</si>
  <si>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</si>
  <si>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</si>
  <si>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</si>
  <si>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</si>
  <si>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</si>
  <si>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</si>
  <si>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</si>
  <si>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</si>
  <si>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</si>
  <si>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</si>
  <si>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</si>
  <si>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</si>
  <si>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</si>
  <si>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</si>
  <si>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</si>
  <si>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</si>
  <si>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</si>
  <si>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</si>
  <si>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</si>
  <si>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</si>
  <si>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</si>
  <si>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</si>
  <si>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</si>
  <si>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</si>
  <si>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</si>
  <si>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</si>
  <si>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</si>
  <si>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</si>
  <si>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</si>
  <si>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</si>
  <si>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</si>
  <si>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</si>
  <si>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</si>
  <si>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</si>
  <si>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</si>
  <si>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</si>
  <si>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</si>
  <si>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</si>
  <si>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</si>
  <si>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</si>
  <si>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</si>
  <si>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</si>
  <si>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</si>
  <si>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</si>
  <si>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</si>
  <si>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</si>
  <si>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</si>
  <si>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</si>
  <si>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</si>
  <si>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</si>
  <si>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</si>
  <si>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</si>
  <si>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</si>
  <si>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</si>
  <si>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</si>
  <si>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</si>
  <si>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</si>
  <si>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</si>
  <si>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</si>
  <si>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</si>
  <si>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</si>
  <si>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</si>
  <si>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</si>
  <si>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</si>
  <si>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</si>
  <si>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</si>
  <si>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</si>
  <si>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</si>
  <si>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</si>
  <si>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</si>
  <si>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</si>
  <si>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</si>
  <si>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</si>
  <si>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</si>
  <si>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</si>
  <si>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</si>
  <si>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</si>
  <si>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</si>
  <si>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</si>
  <si>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</si>
  <si>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</si>
  <si>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</si>
  <si>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</si>
  <si>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</si>
  <si>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</si>
  <si>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</si>
  <si>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</si>
  <si>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</si>
  <si>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</si>
  <si>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</si>
  <si>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</si>
  <si>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</si>
  <si>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</si>
  <si>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</si>
  <si>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</si>
  <si>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</si>
  <si>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</si>
  <si>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</si>
  <si>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</si>
  <si>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</si>
  <si>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</si>
  <si>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</si>
  <si>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</si>
  <si>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</si>
  <si>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</si>
  <si>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</si>
  <si>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</si>
  <si>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</si>
  <si>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</si>
  <si>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</si>
  <si>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</si>
  <si>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</si>
  <si>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</si>
  <si>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</si>
  <si>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</si>
  <si>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</si>
  <si>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</si>
  <si>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</si>
  <si>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</si>
  <si>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</si>
  <si>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</si>
  <si>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</si>
  <si>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</si>
  <si>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</si>
  <si>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</si>
  <si>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</si>
  <si>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</si>
  <si>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</si>
  <si>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</si>
  <si>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</si>
  <si>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</si>
  <si>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</si>
  <si>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</si>
  <si>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</si>
  <si>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</si>
  <si>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</si>
  <si>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</si>
  <si>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</si>
  <si>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</si>
  <si>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</si>
  <si>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</si>
  <si>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</si>
  <si>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</si>
  <si>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</si>
  <si>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</si>
  <si>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</si>
  <si>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</si>
  <si>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</si>
  <si>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</si>
  <si>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</si>
  <si>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</si>
  <si>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</si>
  <si>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</si>
  <si>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</si>
  <si>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</si>
  <si>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</si>
  <si>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</si>
  <si>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</si>
  <si>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</si>
  <si>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</si>
  <si>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</si>
  <si>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</si>
  <si>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</si>
  <si>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</si>
  <si>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</si>
  <si>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</si>
  <si>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</si>
  <si>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</si>
  <si>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</si>
  <si>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</si>
  <si>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</si>
  <si>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</si>
  <si>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</si>
  <si>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</si>
  <si>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</si>
  <si>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</si>
  <si>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</si>
  <si>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</si>
  <si>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</si>
  <si>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</si>
  <si>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</si>
  <si>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</si>
  <si>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</si>
  <si>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</si>
  <si>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</si>
  <si>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</si>
  <si>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</si>
  <si>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</si>
  <si>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</si>
  <si>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</si>
  <si>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</si>
  <si>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</si>
  <si>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</si>
  <si>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</si>
  <si>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</si>
  <si>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</si>
  <si>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</si>
  <si>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</si>
  <si>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</si>
  <si>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</si>
  <si>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</si>
  <si>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</si>
  <si>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</si>
  <si>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</si>
  <si>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</si>
  <si>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</si>
  <si>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</si>
  <si>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</si>
  <si>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</si>
  <si>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</si>
  <si>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</si>
  <si>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</si>
  <si>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</si>
  <si>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</si>
  <si>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</si>
  <si>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</si>
  <si>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</si>
  <si>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</si>
  <si>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</si>
  <si>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</si>
  <si>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</si>
  <si>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</si>
  <si>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</si>
  <si>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</si>
  <si>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</si>
  <si>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</si>
  <si>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</si>
  <si>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</si>
  <si>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</si>
  <si>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</si>
  <si>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</si>
  <si>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</si>
  <si>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</si>
  <si>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</si>
  <si>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</si>
  <si>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</si>
  <si>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</si>
  <si>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</si>
  <si>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</si>
  <si>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</si>
  <si>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</si>
  <si>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</si>
  <si>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</si>
  <si>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</si>
  <si>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</si>
  <si>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</si>
  <si>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</si>
  <si>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</si>
  <si>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</si>
  <si>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</si>
  <si>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</si>
  <si>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</si>
  <si>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</si>
  <si>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</si>
  <si>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</si>
  <si>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</si>
  <si>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</si>
  <si>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</si>
  <si>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</si>
  <si>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</si>
  <si>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</si>
  <si>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</si>
  <si>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</si>
  <si>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</si>
  <si>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</si>
  <si>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</si>
  <si>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</si>
  <si>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</si>
  <si>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</si>
  <si>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</si>
  <si>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</si>
  <si>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</si>
  <si>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</si>
  <si>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</si>
  <si>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</si>
  <si>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</si>
  <si>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</si>
  <si>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</si>
  <si>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</si>
  <si>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</si>
  <si>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</si>
  <si>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</si>
  <si>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</si>
  <si>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</si>
  <si>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</si>
  <si>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</si>
  <si>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</si>
  <si>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</si>
  <si>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</si>
  <si>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</si>
  <si>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</si>
  <si>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</si>
  <si>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</si>
  <si>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</si>
  <si>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</si>
  <si>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</si>
  <si>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</si>
  <si>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</si>
  <si>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</si>
  <si>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</si>
  <si>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</si>
  <si>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</si>
  <si>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</si>
  <si>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</si>
  <si>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</si>
  <si>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</si>
  <si>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</si>
  <si>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</si>
  <si>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</si>
  <si>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</si>
  <si>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</si>
  <si>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</si>
  <si>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</si>
  <si>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</si>
  <si>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</si>
  <si>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</si>
  <si>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</si>
  <si>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</si>
  <si>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</si>
  <si>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</si>
  <si>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</si>
  <si>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</si>
  <si>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35006</t>
  </si>
  <si>
    <t>ICHTEGEM</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</si>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</sst>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118975.46269162989</c:v>
                </c:pt>
                <c:pt idx="1">
                  <c:v>27350.666320766712</c:v>
                </c:pt>
                <c:pt idx="2">
                  <c:v>747.08600000000001</c:v>
                </c:pt>
                <c:pt idx="3">
                  <c:v>48851.812592486043</c:v>
                </c:pt>
                <c:pt idx="4">
                  <c:v>99815.374581947064</c:v>
                </c:pt>
                <c:pt idx="5">
                  <c:v>56995.354535760613</c:v>
                </c:pt>
                <c:pt idx="6">
                  <c:v>1105.1769286980846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118975.46269162989</c:v>
                </c:pt>
                <c:pt idx="1">
                  <c:v>27350.666320766712</c:v>
                </c:pt>
                <c:pt idx="2">
                  <c:v>747.08600000000001</c:v>
                </c:pt>
                <c:pt idx="3">
                  <c:v>48851.812592486043</c:v>
                </c:pt>
                <c:pt idx="4">
                  <c:v>99815.374581947064</c:v>
                </c:pt>
                <c:pt idx="5">
                  <c:v>56995.354535760613</c:v>
                </c:pt>
                <c:pt idx="6">
                  <c:v>1105.1769286980846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20124.025871291313</c:v>
                </c:pt>
                <c:pt idx="1">
                  <c:v>5454.5216873670042</c:v>
                </c:pt>
                <c:pt idx="2">
                  <c:v>147.84977432100899</c:v>
                </c:pt>
                <c:pt idx="3">
                  <c:v>11881.235932958863</c:v>
                </c:pt>
                <c:pt idx="4">
                  <c:v>20129.766958333734</c:v>
                </c:pt>
                <c:pt idx="5">
                  <c:v>14140.181107923785</c:v>
                </c:pt>
                <c:pt idx="6">
                  <c:v>279.89361808620077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20124.025871291313</c:v>
                </c:pt>
                <c:pt idx="1">
                  <c:v>5454.5216873670042</c:v>
                </c:pt>
                <c:pt idx="2">
                  <c:v>147.84977432100899</c:v>
                </c:pt>
                <c:pt idx="3">
                  <c:v>11881.235932958863</c:v>
                </c:pt>
                <c:pt idx="4">
                  <c:v>20129.766958333734</c:v>
                </c:pt>
                <c:pt idx="5">
                  <c:v>14140.181107923785</c:v>
                </c:pt>
                <c:pt idx="6">
                  <c:v>279.89361808620077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35006</v>
      </c>
      <c r="B6" s="392"/>
      <c r="C6" s="393"/>
    </row>
    <row r="7" spans="1:7" s="390" customFormat="1" ht="15.75" customHeight="1">
      <c r="A7" s="394" t="str">
        <f>txtMunicipality</f>
        <v>ICHTEGEM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0.19790194746121464</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0.19790194746121464</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5813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3048.45</v>
      </c>
      <c r="C14" s="332"/>
      <c r="D14" s="332"/>
      <c r="E14" s="332"/>
      <c r="F14" s="332"/>
    </row>
    <row r="15" spans="1:6">
      <c r="A15" s="1310" t="s">
        <v>183</v>
      </c>
      <c r="B15" s="1311">
        <v>900</v>
      </c>
      <c r="C15" s="332"/>
      <c r="D15" s="332"/>
      <c r="E15" s="332"/>
      <c r="F15" s="332"/>
    </row>
    <row r="16" spans="1:6">
      <c r="A16" s="1310" t="s">
        <v>6</v>
      </c>
      <c r="B16" s="1311">
        <v>1737</v>
      </c>
      <c r="C16" s="332"/>
      <c r="D16" s="332"/>
      <c r="E16" s="332"/>
      <c r="F16" s="332"/>
    </row>
    <row r="17" spans="1:6">
      <c r="A17" s="1310" t="s">
        <v>7</v>
      </c>
      <c r="B17" s="1311">
        <v>846</v>
      </c>
      <c r="C17" s="332"/>
      <c r="D17" s="332"/>
      <c r="E17" s="332"/>
      <c r="F17" s="332"/>
    </row>
    <row r="18" spans="1:6">
      <c r="A18" s="1310" t="s">
        <v>8</v>
      </c>
      <c r="B18" s="1311">
        <v>1423</v>
      </c>
      <c r="C18" s="332"/>
      <c r="D18" s="332"/>
      <c r="E18" s="332"/>
      <c r="F18" s="332"/>
    </row>
    <row r="19" spans="1:6">
      <c r="A19" s="1310" t="s">
        <v>9</v>
      </c>
      <c r="B19" s="1311">
        <v>1305</v>
      </c>
      <c r="C19" s="332"/>
      <c r="D19" s="332"/>
      <c r="E19" s="332"/>
      <c r="F19" s="332"/>
    </row>
    <row r="20" spans="1:6">
      <c r="A20" s="1310" t="s">
        <v>10</v>
      </c>
      <c r="B20" s="1311">
        <v>864</v>
      </c>
      <c r="C20" s="332"/>
      <c r="D20" s="332"/>
      <c r="E20" s="332"/>
      <c r="F20" s="332"/>
    </row>
    <row r="21" spans="1:6">
      <c r="A21" s="1310" t="s">
        <v>11</v>
      </c>
      <c r="B21" s="1311">
        <v>11295</v>
      </c>
      <c r="C21" s="332"/>
      <c r="D21" s="332"/>
      <c r="E21" s="332"/>
      <c r="F21" s="332"/>
    </row>
    <row r="22" spans="1:6">
      <c r="A22" s="1310" t="s">
        <v>12</v>
      </c>
      <c r="B22" s="1311">
        <v>47505</v>
      </c>
      <c r="C22" s="332"/>
      <c r="D22" s="332"/>
      <c r="E22" s="332"/>
      <c r="F22" s="332"/>
    </row>
    <row r="23" spans="1:6">
      <c r="A23" s="1310" t="s">
        <v>13</v>
      </c>
      <c r="B23" s="1311">
        <v>312</v>
      </c>
      <c r="C23" s="332"/>
      <c r="D23" s="332"/>
      <c r="E23" s="332"/>
      <c r="F23" s="332"/>
    </row>
    <row r="24" spans="1:6">
      <c r="A24" s="1310" t="s">
        <v>14</v>
      </c>
      <c r="B24" s="1311">
        <v>22</v>
      </c>
      <c r="C24" s="332"/>
      <c r="D24" s="332"/>
      <c r="E24" s="332"/>
      <c r="F24" s="332"/>
    </row>
    <row r="25" spans="1:6">
      <c r="A25" s="1310" t="s">
        <v>15</v>
      </c>
      <c r="B25" s="1311">
        <v>2901</v>
      </c>
      <c r="C25" s="332"/>
      <c r="D25" s="332"/>
      <c r="E25" s="332"/>
      <c r="F25" s="332"/>
    </row>
    <row r="26" spans="1:6">
      <c r="A26" s="1310" t="s">
        <v>16</v>
      </c>
      <c r="B26" s="1311">
        <v>327</v>
      </c>
      <c r="C26" s="332"/>
      <c r="D26" s="332"/>
      <c r="E26" s="332"/>
      <c r="F26" s="332"/>
    </row>
    <row r="27" spans="1:6">
      <c r="A27" s="1310" t="s">
        <v>17</v>
      </c>
      <c r="B27" s="1311">
        <v>87</v>
      </c>
      <c r="C27" s="332"/>
      <c r="D27" s="332"/>
      <c r="E27" s="332"/>
      <c r="F27" s="332"/>
    </row>
    <row r="28" spans="1:6" s="43" customFormat="1">
      <c r="A28" s="1312" t="s">
        <v>18</v>
      </c>
      <c r="B28" s="1313">
        <v>186492</v>
      </c>
      <c r="C28" s="338"/>
      <c r="D28" s="338"/>
      <c r="E28" s="338"/>
      <c r="F28" s="338"/>
    </row>
    <row r="29" spans="1:6">
      <c r="A29" s="1312" t="s">
        <v>699</v>
      </c>
      <c r="B29" s="1313">
        <v>113</v>
      </c>
      <c r="C29" s="338"/>
      <c r="D29" s="338"/>
      <c r="E29" s="338"/>
      <c r="F29" s="338"/>
    </row>
    <row r="30" spans="1:6">
      <c r="A30" s="1305" t="s">
        <v>700</v>
      </c>
      <c r="B30" s="1314">
        <v>26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182286.08075201901</v>
      </c>
    </row>
    <row r="37" spans="1:6">
      <c r="A37" s="1310" t="s">
        <v>24</v>
      </c>
      <c r="B37" s="1310" t="s">
        <v>27</v>
      </c>
      <c r="C37" s="1311">
        <v>0</v>
      </c>
      <c r="D37" s="1311">
        <v>0</v>
      </c>
      <c r="E37" s="1311">
        <v>0</v>
      </c>
      <c r="F37" s="1311">
        <v>0</v>
      </c>
    </row>
    <row r="38" spans="1:6">
      <c r="A38" s="1310" t="s">
        <v>24</v>
      </c>
      <c r="B38" s="1310" t="s">
        <v>28</v>
      </c>
      <c r="C38" s="1311">
        <v>1</v>
      </c>
      <c r="D38" s="1311">
        <v>78995323.519500002</v>
      </c>
      <c r="E38" s="1311">
        <v>1</v>
      </c>
      <c r="F38" s="1311">
        <v>330.39960717719998</v>
      </c>
    </row>
    <row r="39" spans="1:6">
      <c r="A39" s="1310" t="s">
        <v>29</v>
      </c>
      <c r="B39" s="1310" t="s">
        <v>30</v>
      </c>
      <c r="C39" s="1311">
        <v>3957</v>
      </c>
      <c r="D39" s="1311">
        <v>57986420.935779601</v>
      </c>
      <c r="E39" s="1311">
        <v>5436</v>
      </c>
      <c r="F39" s="1311">
        <v>18519958.857062001</v>
      </c>
    </row>
    <row r="40" spans="1:6">
      <c r="A40" s="1310" t="s">
        <v>29</v>
      </c>
      <c r="B40" s="1310" t="s">
        <v>28</v>
      </c>
      <c r="C40" s="1311">
        <v>0</v>
      </c>
      <c r="D40" s="1311">
        <v>0</v>
      </c>
      <c r="E40" s="1311">
        <v>0</v>
      </c>
      <c r="F40" s="1311">
        <v>0</v>
      </c>
    </row>
    <row r="41" spans="1:6">
      <c r="A41" s="1310" t="s">
        <v>31</v>
      </c>
      <c r="B41" s="1310" t="s">
        <v>32</v>
      </c>
      <c r="C41" s="1311">
        <v>100</v>
      </c>
      <c r="D41" s="1311">
        <v>1935973.6505299599</v>
      </c>
      <c r="E41" s="1311">
        <v>197</v>
      </c>
      <c r="F41" s="1311">
        <v>1421881.2190505499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392597.65126786602</v>
      </c>
      <c r="E44" s="1311">
        <v>22</v>
      </c>
      <c r="F44" s="1311">
        <v>525488.95122378599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7</v>
      </c>
      <c r="D48" s="1311">
        <v>711335.04298693605</v>
      </c>
      <c r="E48" s="1311">
        <v>7</v>
      </c>
      <c r="F48" s="1311">
        <v>131011.04542135299</v>
      </c>
    </row>
    <row r="49" spans="1:6">
      <c r="A49" s="1310" t="s">
        <v>31</v>
      </c>
      <c r="B49" s="1310" t="s">
        <v>39</v>
      </c>
      <c r="C49" s="1311">
        <v>0</v>
      </c>
      <c r="D49" s="1311">
        <v>0</v>
      </c>
      <c r="E49" s="1311">
        <v>3</v>
      </c>
      <c r="F49" s="1311">
        <v>207521.07529774701</v>
      </c>
    </row>
    <row r="50" spans="1:6">
      <c r="A50" s="1310" t="s">
        <v>31</v>
      </c>
      <c r="B50" s="1310" t="s">
        <v>40</v>
      </c>
      <c r="C50" s="1311">
        <v>18</v>
      </c>
      <c r="D50" s="1311">
        <v>95438851.198647201</v>
      </c>
      <c r="E50" s="1311">
        <v>26</v>
      </c>
      <c r="F50" s="1311">
        <v>7234182.8935971698</v>
      </c>
    </row>
    <row r="51" spans="1:6">
      <c r="A51" s="1310" t="s">
        <v>41</v>
      </c>
      <c r="B51" s="1310" t="s">
        <v>42</v>
      </c>
      <c r="C51" s="1311">
        <v>14</v>
      </c>
      <c r="D51" s="1311">
        <v>229417.92374879599</v>
      </c>
      <c r="E51" s="1311">
        <v>154</v>
      </c>
      <c r="F51" s="1311">
        <v>3173371.2184896301</v>
      </c>
    </row>
    <row r="52" spans="1:6">
      <c r="A52" s="1310" t="s">
        <v>41</v>
      </c>
      <c r="B52" s="1310" t="s">
        <v>28</v>
      </c>
      <c r="C52" s="1311">
        <v>0</v>
      </c>
      <c r="D52" s="1311">
        <v>0</v>
      </c>
      <c r="E52" s="1311">
        <v>0</v>
      </c>
      <c r="F52" s="1311">
        <v>0</v>
      </c>
    </row>
    <row r="53" spans="1:6">
      <c r="A53" s="1310" t="s">
        <v>43</v>
      </c>
      <c r="B53" s="1310" t="s">
        <v>44</v>
      </c>
      <c r="C53" s="1311">
        <v>91</v>
      </c>
      <c r="D53" s="1311">
        <v>1280500.01068748</v>
      </c>
      <c r="E53" s="1311">
        <v>154</v>
      </c>
      <c r="F53" s="1311">
        <v>623051.44863221003</v>
      </c>
    </row>
    <row r="54" spans="1:6">
      <c r="A54" s="1310" t="s">
        <v>45</v>
      </c>
      <c r="B54" s="1310" t="s">
        <v>46</v>
      </c>
      <c r="C54" s="1311">
        <v>0</v>
      </c>
      <c r="D54" s="1311">
        <v>0</v>
      </c>
      <c r="E54" s="1311">
        <v>1</v>
      </c>
      <c r="F54" s="1311">
        <v>747086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69</v>
      </c>
      <c r="D57" s="1311">
        <v>4326064.0476797801</v>
      </c>
      <c r="E57" s="1311">
        <v>134</v>
      </c>
      <c r="F57" s="1311">
        <v>1663317.34770715</v>
      </c>
    </row>
    <row r="58" spans="1:6">
      <c r="A58" s="1310" t="s">
        <v>48</v>
      </c>
      <c r="B58" s="1310" t="s">
        <v>50</v>
      </c>
      <c r="C58" s="1311">
        <v>18</v>
      </c>
      <c r="D58" s="1311">
        <v>1924053.3646547201</v>
      </c>
      <c r="E58" s="1311">
        <v>33</v>
      </c>
      <c r="F58" s="1311">
        <v>758199.45432824397</v>
      </c>
    </row>
    <row r="59" spans="1:6">
      <c r="A59" s="1310" t="s">
        <v>48</v>
      </c>
      <c r="B59" s="1310" t="s">
        <v>51</v>
      </c>
      <c r="C59" s="1311">
        <v>126</v>
      </c>
      <c r="D59" s="1311">
        <v>4472483.6309568901</v>
      </c>
      <c r="E59" s="1311">
        <v>216</v>
      </c>
      <c r="F59" s="1311">
        <v>5351817.2947969204</v>
      </c>
    </row>
    <row r="60" spans="1:6">
      <c r="A60" s="1310" t="s">
        <v>48</v>
      </c>
      <c r="B60" s="1310" t="s">
        <v>52</v>
      </c>
      <c r="C60" s="1311">
        <v>47</v>
      </c>
      <c r="D60" s="1311">
        <v>2103525.81965181</v>
      </c>
      <c r="E60" s="1311">
        <v>54</v>
      </c>
      <c r="F60" s="1311">
        <v>1138757.2461627701</v>
      </c>
    </row>
    <row r="61" spans="1:6">
      <c r="A61" s="1310" t="s">
        <v>48</v>
      </c>
      <c r="B61" s="1310" t="s">
        <v>53</v>
      </c>
      <c r="C61" s="1311">
        <v>93</v>
      </c>
      <c r="D61" s="1311">
        <v>1921407.78043691</v>
      </c>
      <c r="E61" s="1311">
        <v>191</v>
      </c>
      <c r="F61" s="1311">
        <v>1570189.7483321901</v>
      </c>
    </row>
    <row r="62" spans="1:6">
      <c r="A62" s="1310" t="s">
        <v>48</v>
      </c>
      <c r="B62" s="1310" t="s">
        <v>54</v>
      </c>
      <c r="C62" s="1311">
        <v>9</v>
      </c>
      <c r="D62" s="1311">
        <v>864044.36046321702</v>
      </c>
      <c r="E62" s="1311">
        <v>13</v>
      </c>
      <c r="F62" s="1311">
        <v>159886.428199444</v>
      </c>
    </row>
    <row r="63" spans="1:6">
      <c r="A63" s="1310" t="s">
        <v>48</v>
      </c>
      <c r="B63" s="1310" t="s">
        <v>28</v>
      </c>
      <c r="C63" s="1311">
        <v>0</v>
      </c>
      <c r="D63" s="1311">
        <v>0</v>
      </c>
      <c r="E63" s="1311">
        <v>3</v>
      </c>
      <c r="F63" s="1311">
        <v>5452.2160000000003</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56112.276305802399</v>
      </c>
    </row>
    <row r="67" spans="1:6">
      <c r="A67" s="1312" t="s">
        <v>55</v>
      </c>
      <c r="B67" s="1312" t="s">
        <v>58</v>
      </c>
      <c r="C67" s="1311">
        <v>0</v>
      </c>
      <c r="D67" s="1311">
        <v>0</v>
      </c>
      <c r="E67" s="1311">
        <v>0</v>
      </c>
      <c r="F67" s="1311">
        <v>0</v>
      </c>
    </row>
    <row r="68" spans="1:6">
      <c r="A68" s="1305" t="s">
        <v>55</v>
      </c>
      <c r="B68" s="1305" t="s">
        <v>59</v>
      </c>
      <c r="C68" s="1314">
        <v>7</v>
      </c>
      <c r="D68" s="1314">
        <v>188267.94829195499</v>
      </c>
      <c r="E68" s="1314">
        <v>20</v>
      </c>
      <c r="F68" s="1314">
        <v>467909.52553939202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41146753</v>
      </c>
      <c r="E73" s="453"/>
      <c r="F73" s="332"/>
    </row>
    <row r="74" spans="1:6">
      <c r="A74" s="1310" t="s">
        <v>63</v>
      </c>
      <c r="B74" s="1310" t="s">
        <v>648</v>
      </c>
      <c r="C74" s="1324" t="s">
        <v>650</v>
      </c>
      <c r="D74" s="1325">
        <v>3639525.3809197596</v>
      </c>
      <c r="E74" s="453"/>
      <c r="F74" s="332"/>
    </row>
    <row r="75" spans="1:6">
      <c r="A75" s="1310" t="s">
        <v>64</v>
      </c>
      <c r="B75" s="1310" t="s">
        <v>647</v>
      </c>
      <c r="C75" s="1324" t="s">
        <v>651</v>
      </c>
      <c r="D75" s="1325">
        <v>20683856</v>
      </c>
      <c r="E75" s="453"/>
      <c r="F75" s="332"/>
    </row>
    <row r="76" spans="1:6">
      <c r="A76" s="1310" t="s">
        <v>64</v>
      </c>
      <c r="B76" s="1310" t="s">
        <v>648</v>
      </c>
      <c r="C76" s="1324" t="s">
        <v>652</v>
      </c>
      <c r="D76" s="1325">
        <v>704656.38091975951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306549.23816048098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5247.6620279382314</v>
      </c>
      <c r="C91" s="332"/>
      <c r="D91" s="332"/>
      <c r="E91" s="332"/>
      <c r="F91" s="332"/>
    </row>
    <row r="92" spans="1:6">
      <c r="A92" s="1305" t="s">
        <v>68</v>
      </c>
      <c r="B92" s="1306">
        <v>1639.0294780490037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2557</v>
      </c>
      <c r="C97" s="332"/>
      <c r="D97" s="332"/>
      <c r="E97" s="332"/>
      <c r="F97" s="332"/>
    </row>
    <row r="98" spans="1:6">
      <c r="A98" s="1310" t="s">
        <v>71</v>
      </c>
      <c r="B98" s="1311">
        <v>2</v>
      </c>
      <c r="C98" s="332"/>
      <c r="D98" s="332"/>
      <c r="E98" s="332"/>
      <c r="F98" s="332"/>
    </row>
    <row r="99" spans="1:6">
      <c r="A99" s="1310" t="s">
        <v>72</v>
      </c>
      <c r="B99" s="1311">
        <v>154</v>
      </c>
      <c r="C99" s="332"/>
      <c r="D99" s="332"/>
      <c r="E99" s="332"/>
      <c r="F99" s="332"/>
    </row>
    <row r="100" spans="1:6">
      <c r="A100" s="1310" t="s">
        <v>73</v>
      </c>
      <c r="B100" s="1311">
        <v>356</v>
      </c>
      <c r="C100" s="332"/>
      <c r="D100" s="332"/>
      <c r="E100" s="332"/>
      <c r="F100" s="332"/>
    </row>
    <row r="101" spans="1:6">
      <c r="A101" s="1310" t="s">
        <v>74</v>
      </c>
      <c r="B101" s="1311">
        <v>153</v>
      </c>
      <c r="C101" s="332"/>
      <c r="D101" s="332"/>
      <c r="E101" s="332"/>
      <c r="F101" s="332"/>
    </row>
    <row r="102" spans="1:6">
      <c r="A102" s="1310" t="s">
        <v>75</v>
      </c>
      <c r="B102" s="1311">
        <v>66</v>
      </c>
      <c r="C102" s="332"/>
      <c r="D102" s="332"/>
      <c r="E102" s="332"/>
      <c r="F102" s="332"/>
    </row>
    <row r="103" spans="1:6">
      <c r="A103" s="1310" t="s">
        <v>76</v>
      </c>
      <c r="B103" s="1311">
        <v>193</v>
      </c>
      <c r="C103" s="332"/>
      <c r="D103" s="332"/>
      <c r="E103" s="332"/>
      <c r="F103" s="332"/>
    </row>
    <row r="104" spans="1:6">
      <c r="A104" s="1310" t="s">
        <v>77</v>
      </c>
      <c r="B104" s="1311">
        <v>1595</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26</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211</v>
      </c>
      <c r="C129" s="332"/>
      <c r="D129" s="332"/>
      <c r="E129" s="332"/>
      <c r="F129" s="332"/>
    </row>
    <row r="130" spans="1:6">
      <c r="A130" s="1310" t="s">
        <v>294</v>
      </c>
      <c r="B130" s="1311">
        <v>4</v>
      </c>
      <c r="C130" s="332"/>
      <c r="D130" s="332"/>
      <c r="E130" s="332"/>
      <c r="F130" s="332"/>
    </row>
    <row r="131" spans="1:6">
      <c r="A131" s="1310" t="s">
        <v>295</v>
      </c>
      <c r="B131" s="1311">
        <v>2</v>
      </c>
      <c r="C131" s="332"/>
      <c r="D131" s="332"/>
      <c r="E131" s="332"/>
      <c r="F131" s="332"/>
    </row>
    <row r="132" spans="1:6">
      <c r="A132" s="1305" t="s">
        <v>296</v>
      </c>
      <c r="B132" s="1306">
        <v>15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48520.601863580676</v>
      </c>
      <c r="C3" s="43" t="s">
        <v>169</v>
      </c>
      <c r="D3" s="43"/>
      <c r="E3" s="154"/>
      <c r="F3" s="43"/>
      <c r="G3" s="43"/>
      <c r="H3" s="43"/>
      <c r="I3" s="43"/>
      <c r="J3" s="43"/>
      <c r="K3" s="96"/>
    </row>
    <row r="4" spans="1:11">
      <c r="A4" s="360" t="s">
        <v>170</v>
      </c>
      <c r="B4" s="49">
        <f>IF(ISERROR('SEAP template'!B78+'SEAP template'!C78),0,'SEAP template'!B78+'SEAP template'!C78)</f>
        <v>30988.691505987234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5727.7694117647061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0.19790194746121464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8182.5277310924384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34431.428571428572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747.08600000000001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747.08600000000001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0.19790194746121464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147.84977432100899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18519.958857062</v>
      </c>
      <c r="C5" s="17">
        <f>IF(ISERROR('Eigen informatie GS &amp; warmtenet'!B59),0,'Eigen informatie GS &amp; warmtenet'!B59)</f>
        <v>0</v>
      </c>
      <c r="D5" s="30">
        <f>(SUM(HH_hh_gas_kWh,HH_rest_gas_kWh)/1000)*0.903</f>
        <v>52361.738105008983</v>
      </c>
      <c r="E5" s="17">
        <f>B46*B57</f>
        <v>12003.13268113565</v>
      </c>
      <c r="F5" s="17">
        <f>B51*B62</f>
        <v>6947.9381674561755</v>
      </c>
      <c r="G5" s="18"/>
      <c r="H5" s="17"/>
      <c r="I5" s="17"/>
      <c r="J5" s="17">
        <f>B50*B61+C50*C61</f>
        <v>744.30990138282698</v>
      </c>
      <c r="K5" s="17"/>
      <c r="L5" s="17"/>
      <c r="M5" s="17"/>
      <c r="N5" s="17">
        <f>B48*B59+C48*C59</f>
        <v>22351.98815689368</v>
      </c>
      <c r="O5" s="17">
        <f>B69*B70*B71</f>
        <v>472.18205621411357</v>
      </c>
      <c r="P5" s="17">
        <f>B77*B78*B79/1000-B77*B78*B79/1000/B80</f>
        <v>326.5527385382357</v>
      </c>
    </row>
    <row r="6" spans="1:16">
      <c r="A6" s="16" t="s">
        <v>612</v>
      </c>
      <c r="B6" s="786">
        <f>kWh_PV_kleiner_dan_10kW</f>
        <v>5247.6620279382314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23767.620885000229</v>
      </c>
      <c r="C8" s="21">
        <f>C5</f>
        <v>0</v>
      </c>
      <c r="D8" s="21">
        <f>D5</f>
        <v>52361.738105008983</v>
      </c>
      <c r="E8" s="21">
        <f>E5</f>
        <v>12003.13268113565</v>
      </c>
      <c r="F8" s="21">
        <f>F5</f>
        <v>6947.9381674561755</v>
      </c>
      <c r="G8" s="21"/>
      <c r="H8" s="21"/>
      <c r="I8" s="21"/>
      <c r="J8" s="21">
        <f>J5</f>
        <v>744.30990138282698</v>
      </c>
      <c r="K8" s="21"/>
      <c r="L8" s="21">
        <f>L5</f>
        <v>0</v>
      </c>
      <c r="M8" s="21">
        <f>M5</f>
        <v>0</v>
      </c>
      <c r="N8" s="21">
        <f>N5</f>
        <v>22351.98815689368</v>
      </c>
      <c r="O8" s="21">
        <f>O5</f>
        <v>472.18205621411357</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0.19790194746121464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4703.6584596613829</v>
      </c>
      <c r="C12" s="23">
        <f ca="1">C10*C8</f>
        <v>0</v>
      </c>
      <c r="D12" s="23">
        <f>D8*D10</f>
        <v>10577.071097211816</v>
      </c>
      <c r="E12" s="23">
        <f>E10*E8</f>
        <v>2724.7111186177926</v>
      </c>
      <c r="F12" s="23">
        <f>F10*F8</f>
        <v>1855.099490710799</v>
      </c>
      <c r="G12" s="23"/>
      <c r="H12" s="23"/>
      <c r="I12" s="23"/>
      <c r="J12" s="23">
        <f>J10*J8</f>
        <v>263.48570508952076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5813</v>
      </c>
      <c r="C28" s="36"/>
      <c r="D28" s="228"/>
    </row>
    <row r="29" spans="1:7" s="15" customFormat="1">
      <c r="A29" s="230" t="s">
        <v>839</v>
      </c>
      <c r="B29" s="37">
        <f>SUM(HH_hh_gas_aantal,HH_rest_gas_aantal)</f>
        <v>3957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3957</v>
      </c>
      <c r="C32" s="167">
        <f>IF(ISERROR(B32/SUM($B$32,$B$34,$B$35,$B$36,$B$38,$B$39)*100),0,B32/SUM($B$32,$B$34,$B$35,$B$36,$B$38,$B$39)*100)</f>
        <v>68.436527153234167</v>
      </c>
      <c r="D32" s="233"/>
      <c r="G32" s="15"/>
    </row>
    <row r="33" spans="1:7">
      <c r="A33" s="171" t="s">
        <v>71</v>
      </c>
      <c r="B33" s="34" t="s">
        <v>110</v>
      </c>
      <c r="C33" s="167"/>
      <c r="D33" s="233"/>
      <c r="G33" s="15"/>
    </row>
    <row r="34" spans="1:7">
      <c r="A34" s="171" t="s">
        <v>72</v>
      </c>
      <c r="B34" s="33">
        <f>IF((($B$28-$B$32-$B$39-$B$77-$B$38)*C20/100)&lt;0,0,($B$28-$B$32-$B$39-$B$77-$B$38)*C20/100)</f>
        <v>333.78280542986425</v>
      </c>
      <c r="C34" s="167">
        <f>IF(ISERROR(B34/SUM($B$32,$B$34,$B$35,$B$36,$B$38,$B$39)*100),0,B34/SUM($B$32,$B$34,$B$35,$B$36,$B$38,$B$39)*100)</f>
        <v>5.7727915155632008</v>
      </c>
      <c r="D34" s="233"/>
      <c r="G34" s="15"/>
    </row>
    <row r="35" spans="1:7">
      <c r="A35" s="171" t="s">
        <v>73</v>
      </c>
      <c r="B35" s="33">
        <f>IF((($B$28-$B$32-$B$39-$B$77-$B$38)*C21/100)&lt;0,0,($B$28-$B$32-$B$39-$B$77-$B$38)*C21/100)</f>
        <v>771.60180995475105</v>
      </c>
      <c r="C35" s="167">
        <f>IF(ISERROR(B35/SUM($B$32,$B$34,$B$35,$B$36,$B$38,$B$39)*100),0,B35/SUM($B$32,$B$34,$B$35,$B$36,$B$38,$B$39)*100)</f>
        <v>13.344894672340905</v>
      </c>
      <c r="D35" s="233"/>
      <c r="G35" s="15"/>
    </row>
    <row r="36" spans="1:7">
      <c r="A36" s="171" t="s">
        <v>74</v>
      </c>
      <c r="B36" s="33">
        <f>IF((($B$28-$B$32-$B$39-$B$77-$B$38)*C22/100)&lt;0,0,($B$28-$B$32-$B$39-$B$77-$B$38)*C22/100)</f>
        <v>331.61538461538458</v>
      </c>
      <c r="C36" s="167">
        <f>IF(ISERROR(B36/SUM($B$32,$B$34,$B$35,$B$36,$B$38,$B$39)*100),0,B36/SUM($B$32,$B$34,$B$35,$B$36,$B$38,$B$39)*100)</f>
        <v>5.7353058563712311</v>
      </c>
      <c r="D36" s="233"/>
      <c r="G36" s="15"/>
    </row>
    <row r="37" spans="1:7">
      <c r="A37" s="171" t="s">
        <v>75</v>
      </c>
      <c r="B37" s="34" t="s">
        <v>110</v>
      </c>
      <c r="C37" s="167"/>
      <c r="D37" s="173"/>
      <c r="G37" s="15"/>
    </row>
    <row r="38" spans="1:7">
      <c r="A38" s="171" t="s">
        <v>76</v>
      </c>
      <c r="B38" s="33">
        <f>IF((B24-(B29-B18)*0.1)&lt;0,0,B24-(B29-B18)*0.1)</f>
        <v>53</v>
      </c>
      <c r="C38" s="167">
        <f>IF(ISERROR(B38/SUM($B$32,$B$34,$B$35,$B$36,$B$38,$B$39)*100),0,B38/SUM($B$32,$B$34,$B$35,$B$36,$B$38,$B$39)*100)</f>
        <v>0.91663784157730888</v>
      </c>
      <c r="D38" s="234"/>
      <c r="G38" s="15"/>
    </row>
    <row r="39" spans="1:7">
      <c r="A39" s="171" t="s">
        <v>77</v>
      </c>
      <c r="B39" s="33">
        <f>IF((B25-(B29-B18))&lt;0,0,B25-(B29-B18)*0.9)</f>
        <v>335</v>
      </c>
      <c r="C39" s="167">
        <f>IF(ISERROR(B39/SUM($B$32,$B$34,$B$35,$B$36,$B$38,$B$39)*100),0,B39/SUM($B$32,$B$34,$B$35,$B$36,$B$38,$B$39)*100)</f>
        <v>5.793842960913179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3957</v>
      </c>
      <c r="C44" s="34" t="s">
        <v>110</v>
      </c>
      <c r="D44" s="174"/>
    </row>
    <row r="45" spans="1:7">
      <c r="A45" s="171" t="s">
        <v>71</v>
      </c>
      <c r="B45" s="33" t="str">
        <f t="shared" si="0"/>
        <v>-</v>
      </c>
      <c r="C45" s="34" t="s">
        <v>110</v>
      </c>
      <c r="D45" s="174"/>
    </row>
    <row r="46" spans="1:7">
      <c r="A46" s="171" t="s">
        <v>72</v>
      </c>
      <c r="B46" s="33">
        <f t="shared" si="0"/>
        <v>333.78280542986425</v>
      </c>
      <c r="C46" s="34" t="s">
        <v>110</v>
      </c>
      <c r="D46" s="174"/>
    </row>
    <row r="47" spans="1:7">
      <c r="A47" s="171" t="s">
        <v>73</v>
      </c>
      <c r="B47" s="33">
        <f t="shared" si="0"/>
        <v>771.60180995475105</v>
      </c>
      <c r="C47" s="34" t="s">
        <v>110</v>
      </c>
      <c r="D47" s="174"/>
    </row>
    <row r="48" spans="1:7">
      <c r="A48" s="171" t="s">
        <v>74</v>
      </c>
      <c r="B48" s="33">
        <f t="shared" si="0"/>
        <v>331.61538461538458</v>
      </c>
      <c r="C48" s="33">
        <f>B48*10</f>
        <v>3316.1538461538457</v>
      </c>
      <c r="D48" s="234"/>
    </row>
    <row r="49" spans="1:6">
      <c r="A49" s="171" t="s">
        <v>75</v>
      </c>
      <c r="B49" s="33" t="str">
        <f t="shared" si="0"/>
        <v>-</v>
      </c>
      <c r="C49" s="34" t="s">
        <v>110</v>
      </c>
      <c r="D49" s="234"/>
    </row>
    <row r="50" spans="1:6">
      <c r="A50" s="171" t="s">
        <v>76</v>
      </c>
      <c r="B50" s="33">
        <f t="shared" si="0"/>
        <v>53</v>
      </c>
      <c r="C50" s="33">
        <f>B50*2</f>
        <v>106</v>
      </c>
      <c r="D50" s="234"/>
    </row>
    <row r="51" spans="1:6">
      <c r="A51" s="171" t="s">
        <v>77</v>
      </c>
      <c r="B51" s="33">
        <f t="shared" si="0"/>
        <v>335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10647.61973552672</v>
      </c>
      <c r="C5" s="17">
        <f>IF(ISERROR('Eigen informatie GS &amp; warmtenet'!B60),0,'Eigen informatie GS &amp; warmtenet'!B60)</f>
        <v>0</v>
      </c>
      <c r="D5" s="30">
        <f>SUM(D6:D12)</f>
        <v>14097.255840470523</v>
      </c>
      <c r="E5" s="17">
        <f>SUM(E6:E12)</f>
        <v>43.028928356582163</v>
      </c>
      <c r="F5" s="17">
        <f>SUM(F6:F12)</f>
        <v>1834.8986533416889</v>
      </c>
      <c r="G5" s="18"/>
      <c r="H5" s="17"/>
      <c r="I5" s="17"/>
      <c r="J5" s="17">
        <f>SUM(J6:J12)</f>
        <v>1.6437642888896369E-2</v>
      </c>
      <c r="K5" s="17"/>
      <c r="L5" s="17"/>
      <c r="M5" s="17"/>
      <c r="N5" s="17">
        <f>SUM(N6:N12)</f>
        <v>603.17940575195439</v>
      </c>
      <c r="O5" s="17">
        <f>B38*B39*B40</f>
        <v>19.589043063364617</v>
      </c>
      <c r="P5" s="17">
        <f>B46*B47*B48/1000-B46*B47*B48/1000/B49</f>
        <v>105.07827661299004</v>
      </c>
      <c r="R5" s="32"/>
    </row>
    <row r="6" spans="1:18">
      <c r="A6" s="32" t="s">
        <v>53</v>
      </c>
      <c r="B6" s="37">
        <f>B26</f>
        <v>1570.18974833219</v>
      </c>
      <c r="C6" s="33"/>
      <c r="D6" s="37">
        <f>IF(ISERROR(TER_kantoor_gas_kWh/1000),0,TER_kantoor_gas_kWh/1000)*0.903</f>
        <v>1735.0312257345297</v>
      </c>
      <c r="E6" s="33">
        <f>$C$26*'E Balans VL '!I12/100/3.6*1000000</f>
        <v>0.37618014088826013</v>
      </c>
      <c r="F6" s="33">
        <f>$C$26*('E Balans VL '!L12+'E Balans VL '!N12)/100/3.6*1000000</f>
        <v>148.89924959721478</v>
      </c>
      <c r="G6" s="34"/>
      <c r="H6" s="33"/>
      <c r="I6" s="33"/>
      <c r="J6" s="33">
        <f>$C$26*('E Balans VL '!D12+'E Balans VL '!E12)/100/3.6*1000000</f>
        <v>0</v>
      </c>
      <c r="K6" s="33"/>
      <c r="L6" s="33"/>
      <c r="M6" s="33"/>
      <c r="N6" s="33">
        <f>$C$26*'E Balans VL '!Y12/100/3.6*1000000</f>
        <v>0.79757517613582163</v>
      </c>
      <c r="O6" s="33"/>
      <c r="P6" s="33"/>
      <c r="R6" s="32"/>
    </row>
    <row r="7" spans="1:18">
      <c r="A7" s="32" t="s">
        <v>52</v>
      </c>
      <c r="B7" s="37">
        <f t="shared" ref="B7:B12" si="0">B27</f>
        <v>1138.7572461627701</v>
      </c>
      <c r="C7" s="33"/>
      <c r="D7" s="37">
        <f>IF(ISERROR(TER_horeca_gas_kWh/1000),0,TER_horeca_gas_kWh/1000)*0.903</f>
        <v>1899.4838151455842</v>
      </c>
      <c r="E7" s="33">
        <f>$C$27*'E Balans VL '!I9/100/3.6*1000000</f>
        <v>0</v>
      </c>
      <c r="F7" s="33">
        <f>$C$27*('E Balans VL '!L9+'E Balans VL '!N9)/100/3.6*1000000</f>
        <v>93.375417320875158</v>
      </c>
      <c r="G7" s="34"/>
      <c r="H7" s="33"/>
      <c r="I7" s="33"/>
      <c r="J7" s="33">
        <f>$C$27*('E Balans VL '!D9+'E Balans VL '!E9)/100/3.6*1000000</f>
        <v>0</v>
      </c>
      <c r="K7" s="33"/>
      <c r="L7" s="33"/>
      <c r="M7" s="33"/>
      <c r="N7" s="33">
        <f>$C$27*'E Balans VL '!Y9/100/3.6*1000000</f>
        <v>0.3490748478598838</v>
      </c>
      <c r="O7" s="33"/>
      <c r="P7" s="33"/>
      <c r="R7" s="32"/>
    </row>
    <row r="8" spans="1:18">
      <c r="A8" s="6" t="s">
        <v>51</v>
      </c>
      <c r="B8" s="37">
        <f t="shared" si="0"/>
        <v>5351.8172947969206</v>
      </c>
      <c r="C8" s="33"/>
      <c r="D8" s="37">
        <f>IF(ISERROR(TER_handel_gas_kWh/1000),0,TER_handel_gas_kWh/1000)*0.903</f>
        <v>4038.6527187540719</v>
      </c>
      <c r="E8" s="33">
        <f>$C$28*'E Balans VL '!I13/100/3.6*1000000</f>
        <v>18.808712738865527</v>
      </c>
      <c r="F8" s="33">
        <f>$C$28*('E Balans VL '!L13+'E Balans VL '!N13)/100/3.6*1000000</f>
        <v>489.68167150701333</v>
      </c>
      <c r="G8" s="34"/>
      <c r="H8" s="33"/>
      <c r="I8" s="33"/>
      <c r="J8" s="33">
        <f>$C$28*('E Balans VL '!D13+'E Balans VL '!E13)/100/3.6*1000000</f>
        <v>0</v>
      </c>
      <c r="K8" s="33"/>
      <c r="L8" s="33"/>
      <c r="M8" s="33"/>
      <c r="N8" s="33">
        <f>$C$28*'E Balans VL '!Y13/100/3.6*1000000</f>
        <v>1.9381978198181045</v>
      </c>
      <c r="O8" s="33"/>
      <c r="P8" s="33"/>
      <c r="R8" s="32"/>
    </row>
    <row r="9" spans="1:18">
      <c r="A9" s="32" t="s">
        <v>50</v>
      </c>
      <c r="B9" s="37">
        <f t="shared" si="0"/>
        <v>758.19945432824397</v>
      </c>
      <c r="C9" s="33"/>
      <c r="D9" s="37">
        <f>IF(ISERROR(TER_gezond_gas_kWh/1000),0,TER_gezond_gas_kWh/1000)*0.903</f>
        <v>1737.4201882832124</v>
      </c>
      <c r="E9" s="33">
        <f>$C$29*'E Balans VL '!I10/100/3.6*1000000</f>
        <v>0</v>
      </c>
      <c r="F9" s="33">
        <f>$C$29*('E Balans VL '!L10+'E Balans VL '!N10)/100/3.6*1000000</f>
        <v>92.941330323277171</v>
      </c>
      <c r="G9" s="34"/>
      <c r="H9" s="33"/>
      <c r="I9" s="33"/>
      <c r="J9" s="33">
        <f>$C$29*('E Balans VL '!D10+'E Balans VL '!E10)/100/3.6*1000000</f>
        <v>0</v>
      </c>
      <c r="K9" s="33"/>
      <c r="L9" s="33"/>
      <c r="M9" s="33"/>
      <c r="N9" s="33">
        <f>$C$29*'E Balans VL '!Y10/100/3.6*1000000</f>
        <v>5.5911926207149092</v>
      </c>
      <c r="O9" s="33"/>
      <c r="P9" s="33"/>
      <c r="R9" s="32"/>
    </row>
    <row r="10" spans="1:18">
      <c r="A10" s="32" t="s">
        <v>49</v>
      </c>
      <c r="B10" s="37">
        <f t="shared" si="0"/>
        <v>1663.31734770715</v>
      </c>
      <c r="C10" s="33"/>
      <c r="D10" s="37">
        <f>IF(ISERROR(TER_ander_gas_kWh/1000),0,TER_ander_gas_kWh/1000)*0.903</f>
        <v>3906.4358350548414</v>
      </c>
      <c r="E10" s="33">
        <f>$C$30*'E Balans VL '!I14/100/3.6*1000000</f>
        <v>23.822375831574735</v>
      </c>
      <c r="F10" s="33">
        <f>$C$30*('E Balans VL '!L14+'E Balans VL '!N14)/100/3.6*1000000</f>
        <v>990.22937265939834</v>
      </c>
      <c r="G10" s="34"/>
      <c r="H10" s="33"/>
      <c r="I10" s="33"/>
      <c r="J10" s="33">
        <f>$C$30*('E Balans VL '!D14+'E Balans VL '!E14)/100/3.6*1000000</f>
        <v>1.6426622906989985E-2</v>
      </c>
      <c r="K10" s="33"/>
      <c r="L10" s="33"/>
      <c r="M10" s="33"/>
      <c r="N10" s="33">
        <f>$C$30*'E Balans VL '!Y14/100/3.6*1000000</f>
        <v>593.64951350724346</v>
      </c>
      <c r="O10" s="33"/>
      <c r="P10" s="33"/>
      <c r="R10" s="32"/>
    </row>
    <row r="11" spans="1:18">
      <c r="A11" s="32" t="s">
        <v>54</v>
      </c>
      <c r="B11" s="37">
        <f t="shared" si="0"/>
        <v>159.886428199444</v>
      </c>
      <c r="C11" s="33"/>
      <c r="D11" s="37">
        <f>IF(ISERROR(TER_onderwijs_gas_kWh/1000),0,TER_onderwijs_gas_kWh/1000)*0.903</f>
        <v>780.23205749828503</v>
      </c>
      <c r="E11" s="33">
        <f>$C$31*'E Balans VL '!I11/100/3.6*1000000</f>
        <v>0</v>
      </c>
      <c r="F11" s="33">
        <f>$C$31*('E Balans VL '!L11+'E Balans VL '!N11)/100/3.6*1000000</f>
        <v>18.692627450101256</v>
      </c>
      <c r="G11" s="34"/>
      <c r="H11" s="33"/>
      <c r="I11" s="33"/>
      <c r="J11" s="33">
        <f>$C$31*('E Balans VL '!D11+'E Balans VL '!E11)/100/3.6*1000000</f>
        <v>0</v>
      </c>
      <c r="K11" s="33"/>
      <c r="L11" s="33"/>
      <c r="M11" s="33"/>
      <c r="N11" s="33">
        <f>$C$31*'E Balans VL '!Y11/100/3.6*1000000</f>
        <v>0.45022182185645593</v>
      </c>
      <c r="O11" s="33"/>
      <c r="P11" s="33"/>
      <c r="R11" s="32"/>
    </row>
    <row r="12" spans="1:18">
      <c r="A12" s="32" t="s">
        <v>259</v>
      </c>
      <c r="B12" s="37">
        <f t="shared" si="0"/>
        <v>5.452216</v>
      </c>
      <c r="C12" s="33"/>
      <c r="D12" s="37">
        <f>IF(ISERROR(TER_rest_gas_kWh/1000),0,TER_rest_gas_kWh/1000)*0.903</f>
        <v>0</v>
      </c>
      <c r="E12" s="33">
        <f>$C$32*'E Balans VL '!I8/100/3.6*1000000</f>
        <v>2.1659645253645547E-2</v>
      </c>
      <c r="F12" s="33">
        <f>$C$32*('E Balans VL '!L8+'E Balans VL '!N8)/100/3.6*1000000</f>
        <v>1.0789844838089735</v>
      </c>
      <c r="G12" s="34"/>
      <c r="H12" s="33"/>
      <c r="I12" s="33"/>
      <c r="J12" s="33">
        <f>$C$32*('E Balans VL '!D8+'E Balans VL '!E8)/100/3.6*1000000</f>
        <v>1.1019981906383942E-5</v>
      </c>
      <c r="K12" s="33"/>
      <c r="L12" s="33"/>
      <c r="M12" s="33"/>
      <c r="N12" s="33">
        <f>$C$32*'E Balans VL '!Y8/100/3.6*1000000</f>
        <v>0.40362995832586757</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10647.61973552672</v>
      </c>
      <c r="C16" s="21">
        <f t="shared" ca="1" si="1"/>
        <v>0</v>
      </c>
      <c r="D16" s="21">
        <f t="shared" ca="1" si="1"/>
        <v>14097.255840470523</v>
      </c>
      <c r="E16" s="21">
        <f t="shared" si="1"/>
        <v>43.028928356582163</v>
      </c>
      <c r="F16" s="21">
        <f t="shared" ca="1" si="1"/>
        <v>1834.8986533416889</v>
      </c>
      <c r="G16" s="21">
        <f t="shared" si="1"/>
        <v>0</v>
      </c>
      <c r="H16" s="21">
        <f t="shared" si="1"/>
        <v>0</v>
      </c>
      <c r="I16" s="21">
        <f t="shared" si="1"/>
        <v>0</v>
      </c>
      <c r="J16" s="21">
        <f t="shared" si="1"/>
        <v>1.6437642888896369E-2</v>
      </c>
      <c r="K16" s="21">
        <f t="shared" si="1"/>
        <v>0</v>
      </c>
      <c r="L16" s="21">
        <f t="shared" ca="1" si="1"/>
        <v>0</v>
      </c>
      <c r="M16" s="21">
        <f t="shared" si="1"/>
        <v>0</v>
      </c>
      <c r="N16" s="21">
        <f t="shared" ca="1" si="1"/>
        <v>603.17940575195439</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0.19790194746121464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2107.184681487201</v>
      </c>
      <c r="C20" s="23">
        <f t="shared" ref="C20:P20" ca="1" si="2">C16*C18</f>
        <v>0</v>
      </c>
      <c r="D20" s="23">
        <f t="shared" ca="1" si="2"/>
        <v>2847.6456797750457</v>
      </c>
      <c r="E20" s="23">
        <f t="shared" si="2"/>
        <v>9.7675667369441506</v>
      </c>
      <c r="F20" s="23">
        <f t="shared" ca="1" si="2"/>
        <v>489.91794044223099</v>
      </c>
      <c r="G20" s="23">
        <f t="shared" si="2"/>
        <v>0</v>
      </c>
      <c r="H20" s="23">
        <f t="shared" si="2"/>
        <v>0</v>
      </c>
      <c r="I20" s="23">
        <f t="shared" si="2"/>
        <v>0</v>
      </c>
      <c r="J20" s="23">
        <f t="shared" si="2"/>
        <v>5.8189255826693138E-3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1570.18974833219</v>
      </c>
      <c r="C26" s="39">
        <f>IF(ISERROR(B26*3.6/1000000/'E Balans VL '!Z12*100),0,B26*3.6/1000000/'E Balans VL '!Z12*100)</f>
        <v>4.4283508975945324E-2</v>
      </c>
      <c r="D26" s="237" t="s">
        <v>702</v>
      </c>
      <c r="F26" s="6"/>
    </row>
    <row r="27" spans="1:18">
      <c r="A27" s="231" t="s">
        <v>52</v>
      </c>
      <c r="B27" s="33">
        <f>IF(ISERROR(TER_horeca_ele_kWh/1000),0,TER_horeca_ele_kWh/1000)</f>
        <v>1138.7572461627701</v>
      </c>
      <c r="C27" s="39">
        <f>IF(ISERROR(B27*3.6/1000000/'E Balans VL '!Z9*100),0,B27*3.6/1000000/'E Balans VL '!Z9*100)</f>
        <v>8.4424860537756607E-2</v>
      </c>
      <c r="D27" s="237" t="s">
        <v>702</v>
      </c>
      <c r="F27" s="6"/>
    </row>
    <row r="28" spans="1:18">
      <c r="A28" s="171" t="s">
        <v>51</v>
      </c>
      <c r="B28" s="33">
        <f>IF(ISERROR(TER_handel_ele_kWh/1000),0,TER_handel_ele_kWh/1000)</f>
        <v>5351.8172947969206</v>
      </c>
      <c r="C28" s="39">
        <f>IF(ISERROR(B28*3.6/1000000/'E Balans VL '!Z13*100),0,B28*3.6/1000000/'E Balans VL '!Z13*100)</f>
        <v>0.16032772173142093</v>
      </c>
      <c r="D28" s="237" t="s">
        <v>702</v>
      </c>
      <c r="F28" s="6"/>
    </row>
    <row r="29" spans="1:18">
      <c r="A29" s="231" t="s">
        <v>50</v>
      </c>
      <c r="B29" s="33">
        <f>IF(ISERROR(TER_gezond_ele_kWh/1000),0,TER_gezond_ele_kWh/1000)</f>
        <v>758.19945432824397</v>
      </c>
      <c r="C29" s="39">
        <f>IF(ISERROR(B29*3.6/1000000/'E Balans VL '!Z10*100),0,B29*3.6/1000000/'E Balans VL '!Z10*100)</f>
        <v>7.4971059218821343E-2</v>
      </c>
      <c r="D29" s="237" t="s">
        <v>702</v>
      </c>
      <c r="F29" s="6"/>
    </row>
    <row r="30" spans="1:18">
      <c r="A30" s="231" t="s">
        <v>49</v>
      </c>
      <c r="B30" s="33">
        <f>IF(ISERROR(TER_ander_ele_kWh/1000),0,TER_ander_ele_kWh/1000)</f>
        <v>1663.31734770715</v>
      </c>
      <c r="C30" s="39">
        <f>IF(ISERROR(B30*3.6/1000000/'E Balans VL '!Z14*100),0,B30*3.6/1000000/'E Balans VL '!Z14*100)</f>
        <v>6.7276271291426548E-2</v>
      </c>
      <c r="D30" s="237" t="s">
        <v>702</v>
      </c>
      <c r="F30" s="6"/>
    </row>
    <row r="31" spans="1:18">
      <c r="A31" s="231" t="s">
        <v>54</v>
      </c>
      <c r="B31" s="33">
        <f>IF(ISERROR(TER_onderwijs_ele_kWh/1000),0,TER_onderwijs_ele_kWh/1000)</f>
        <v>159.886428199444</v>
      </c>
      <c r="C31" s="39">
        <f>IF(ISERROR(B31*3.6/1000000/'E Balans VL '!Z11*100),0,B31*3.6/1000000/'E Balans VL '!Z11*100)</f>
        <v>4.392779440113205E-2</v>
      </c>
      <c r="D31" s="237" t="s">
        <v>702</v>
      </c>
    </row>
    <row r="32" spans="1:18">
      <c r="A32" s="231" t="s">
        <v>259</v>
      </c>
      <c r="B32" s="33">
        <f>IF(ISERROR(TER_rest_ele_kWh/1000),0,TER_rest_ele_kWh/1000)</f>
        <v>5.452216</v>
      </c>
      <c r="C32" s="39">
        <f>IF(ISERROR(B32*3.6/1000000/'E Balans VL '!Z8*100),0,B32*3.6/1000000/'E Balans VL '!Z8*100)</f>
        <v>4.5133031698500781E-5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9520.0851845906072</v>
      </c>
      <c r="C5" s="17">
        <f>IF(ISERROR('Eigen informatie GS &amp; warmtenet'!B61),0,'Eigen informatie GS &amp; warmtenet'!B61)</f>
        <v>0</v>
      </c>
      <c r="D5" s="30">
        <f>SUM(D6:D15)</f>
        <v>88926.318061719066</v>
      </c>
      <c r="E5" s="17">
        <f>SUM(E6:E15)</f>
        <v>22.264280021131547</v>
      </c>
      <c r="F5" s="17">
        <f>SUM(F6:F15)</f>
        <v>1038.5532272669677</v>
      </c>
      <c r="G5" s="18"/>
      <c r="H5" s="17"/>
      <c r="I5" s="17"/>
      <c r="J5" s="17">
        <f>SUM(J6:J15)</f>
        <v>0.7333576109275951</v>
      </c>
      <c r="K5" s="17"/>
      <c r="L5" s="17"/>
      <c r="M5" s="17"/>
      <c r="N5" s="17">
        <f>SUM(N6:N15)</f>
        <v>307.42047073838131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525.48895122378599</v>
      </c>
      <c r="C8" s="33"/>
      <c r="D8" s="37">
        <f>IF( ISERROR(IND_metaal_Gas_kWH/1000),0,IND_metaal_Gas_kWH/1000)*0.903</f>
        <v>354.51567909488301</v>
      </c>
      <c r="E8" s="33">
        <f>C30*'E Balans VL '!I18/100/3.6*1000000</f>
        <v>2.6496069790282584</v>
      </c>
      <c r="F8" s="33">
        <f>C30*'E Balans VL '!L18/100/3.6*1000000+C30*'E Balans VL '!N18/100/3.6*1000000</f>
        <v>35.902478958546233</v>
      </c>
      <c r="G8" s="34"/>
      <c r="H8" s="33"/>
      <c r="I8" s="33"/>
      <c r="J8" s="40">
        <f>C30*'E Balans VL '!D18/100/3.6*1000000+C30*'E Balans VL '!E18/100/3.6*1000000</f>
        <v>0.46589078004487994</v>
      </c>
      <c r="K8" s="33"/>
      <c r="L8" s="33"/>
      <c r="M8" s="33"/>
      <c r="N8" s="33">
        <f>C30*'E Balans VL '!Y18/100/3.6*1000000</f>
        <v>6.9837512802926378</v>
      </c>
      <c r="O8" s="33"/>
      <c r="P8" s="33"/>
      <c r="R8" s="32"/>
    </row>
    <row r="9" spans="1:18">
      <c r="A9" s="6" t="s">
        <v>32</v>
      </c>
      <c r="B9" s="37">
        <f t="shared" si="0"/>
        <v>1421.8812190505498</v>
      </c>
      <c r="C9" s="33"/>
      <c r="D9" s="37">
        <f>IF( ISERROR(IND_andere_gas_kWh/1000),0,IND_andere_gas_kWh/1000)*0.903</f>
        <v>1748.1842064285538</v>
      </c>
      <c r="E9" s="33">
        <f>C31*'E Balans VL '!I19/100/3.6*1000000</f>
        <v>4.4821056545547027</v>
      </c>
      <c r="F9" s="33">
        <f>C31*'E Balans VL '!L19/100/3.6*1000000+C31*'E Balans VL '!N19/100/3.6*1000000</f>
        <v>870.41587981090152</v>
      </c>
      <c r="G9" s="34"/>
      <c r="H9" s="33"/>
      <c r="I9" s="33"/>
      <c r="J9" s="40">
        <f>C31*'E Balans VL '!D19/100/3.6*1000000+C31*'E Balans VL '!E19/100/3.6*1000000</f>
        <v>0</v>
      </c>
      <c r="K9" s="33"/>
      <c r="L9" s="33"/>
      <c r="M9" s="33"/>
      <c r="N9" s="33">
        <f>C31*'E Balans VL '!Y19/100/3.6*1000000</f>
        <v>59.621410174774233</v>
      </c>
      <c r="O9" s="33"/>
      <c r="P9" s="33"/>
      <c r="R9" s="32"/>
    </row>
    <row r="10" spans="1:18">
      <c r="A10" s="6" t="s">
        <v>40</v>
      </c>
      <c r="B10" s="37">
        <f t="shared" si="0"/>
        <v>7234.1828935971698</v>
      </c>
      <c r="C10" s="33"/>
      <c r="D10" s="37">
        <f>IF( ISERROR(IND_voed_gas_kWh/1000),0,IND_voed_gas_kWh/1000)*0.903</f>
        <v>86181.282632378425</v>
      </c>
      <c r="E10" s="33">
        <f>C32*'E Balans VL '!I20/100/3.6*1000000</f>
        <v>11.529255861279266</v>
      </c>
      <c r="F10" s="33">
        <f>C32*'E Balans VL '!L20/100/3.6*1000000+C32*'E Balans VL '!N20/100/3.6*1000000</f>
        <v>117.53789819864032</v>
      </c>
      <c r="G10" s="34"/>
      <c r="H10" s="33"/>
      <c r="I10" s="33"/>
      <c r="J10" s="40">
        <f>C32*'E Balans VL '!D20/100/3.6*1000000+C32*'E Balans VL '!E20/100/3.6*1000000</f>
        <v>0</v>
      </c>
      <c r="K10" s="33"/>
      <c r="L10" s="33"/>
      <c r="M10" s="33"/>
      <c r="N10" s="33">
        <f>C32*'E Balans VL '!Y20/100/3.6*1000000</f>
        <v>228.4916259797165</v>
      </c>
      <c r="O10" s="33"/>
      <c r="P10" s="33"/>
      <c r="R10" s="32"/>
    </row>
    <row r="11" spans="1:18">
      <c r="A11" s="6" t="s">
        <v>39</v>
      </c>
      <c r="B11" s="37">
        <f t="shared" si="0"/>
        <v>207.52107529774702</v>
      </c>
      <c r="C11" s="33"/>
      <c r="D11" s="37">
        <f>IF( ISERROR(IND_textiel_gas_kWh/1000),0,IND_textiel_gas_kWh/1000)*0.903</f>
        <v>0</v>
      </c>
      <c r="E11" s="33">
        <f>C33*'E Balans VL '!I21/100/3.6*1000000</f>
        <v>0.30107516021249686</v>
      </c>
      <c r="F11" s="33">
        <f>C33*'E Balans VL '!L21/100/3.6*1000000+C33*'E Balans VL '!N21/100/3.6*1000000</f>
        <v>4.0613207794291997</v>
      </c>
      <c r="G11" s="34"/>
      <c r="H11" s="33"/>
      <c r="I11" s="33"/>
      <c r="J11" s="40">
        <f>C33*'E Balans VL '!D21/100/3.6*1000000+C33*'E Balans VL '!E21/100/3.6*1000000</f>
        <v>0</v>
      </c>
      <c r="K11" s="33"/>
      <c r="L11" s="33"/>
      <c r="M11" s="33"/>
      <c r="N11" s="33">
        <f>C33*'E Balans VL '!Y21/100/3.6*1000000</f>
        <v>10.109955810491634</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131.01104542135297</v>
      </c>
      <c r="C15" s="33"/>
      <c r="D15" s="37">
        <f>IF( ISERROR(IND_rest_gas_kWh/1000),0,IND_rest_gas_kWh/1000)*0.903</f>
        <v>642.3355438172033</v>
      </c>
      <c r="E15" s="33">
        <f>C37*'E Balans VL '!I15/100/3.6*1000000</f>
        <v>3.3022363660568228</v>
      </c>
      <c r="F15" s="33">
        <f>C37*'E Balans VL '!L15/100/3.6*1000000+C37*'E Balans VL '!N15/100/3.6*1000000</f>
        <v>10.635649519450473</v>
      </c>
      <c r="G15" s="34"/>
      <c r="H15" s="33"/>
      <c r="I15" s="33"/>
      <c r="J15" s="40">
        <f>C37*'E Balans VL '!D15/100/3.6*1000000+C37*'E Balans VL '!E15/100/3.6*1000000</f>
        <v>0.26746683088271517</v>
      </c>
      <c r="K15" s="33"/>
      <c r="L15" s="33"/>
      <c r="M15" s="33"/>
      <c r="N15" s="33">
        <f>C37*'E Balans VL '!Y15/100/3.6*1000000</f>
        <v>2.2137274931063016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9520.0851845906072</v>
      </c>
      <c r="C18" s="21">
        <f>C5+C16</f>
        <v>0</v>
      </c>
      <c r="D18" s="21">
        <f>MAX((D5+D16),0)</f>
        <v>88926.318061719066</v>
      </c>
      <c r="E18" s="21">
        <f>MAX((E5+E16),0)</f>
        <v>22.264280021131547</v>
      </c>
      <c r="F18" s="21">
        <f>MAX((F5+F16),0)</f>
        <v>1038.5532272669677</v>
      </c>
      <c r="G18" s="21"/>
      <c r="H18" s="21"/>
      <c r="I18" s="21"/>
      <c r="J18" s="21">
        <f>MAX((J5+J16),0)</f>
        <v>0.7333576109275951</v>
      </c>
      <c r="K18" s="21"/>
      <c r="L18" s="21">
        <f>MAX((L5+L16),0)</f>
        <v>0</v>
      </c>
      <c r="M18" s="21"/>
      <c r="N18" s="21">
        <f>MAX((N5+N16),0)</f>
        <v>307.42047073838131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0.19790194746121464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1884.0433980271382</v>
      </c>
      <c r="C22" s="23">
        <f ca="1">C18*C20</f>
        <v>0</v>
      </c>
      <c r="D22" s="23">
        <f>D18*D20</f>
        <v>17963.116248467253</v>
      </c>
      <c r="E22" s="23">
        <f>E18*E20</f>
        <v>5.0539915647968616</v>
      </c>
      <c r="F22" s="23">
        <f>F18*F20</f>
        <v>277.29371168028041</v>
      </c>
      <c r="G22" s="23"/>
      <c r="H22" s="23"/>
      <c r="I22" s="23"/>
      <c r="J22" s="23">
        <f>J18*J20</f>
        <v>0.25960859426836863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525.48895122378599</v>
      </c>
      <c r="C30" s="39">
        <f>IF(ISERROR(B30*3.6/1000000/'E Balans VL '!Z18*100),0,B30*3.6/1000000/'E Balans VL '!Z18*100)</f>
        <v>2.6084087218686828E-2</v>
      </c>
      <c r="D30" s="237" t="s">
        <v>702</v>
      </c>
    </row>
    <row r="31" spans="1:18">
      <c r="A31" s="6" t="s">
        <v>32</v>
      </c>
      <c r="B31" s="37">
        <f>IF( ISERROR(IND_ander_ele_kWh/1000),0,IND_ander_ele_kWh/1000)</f>
        <v>1421.8812190505498</v>
      </c>
      <c r="C31" s="39">
        <f>IF(ISERROR(B31*3.6/1000000/'E Balans VL '!Z19*100),0,B31*3.6/1000000/'E Balans VL '!Z19*100)</f>
        <v>4.7981204972757714E-2</v>
      </c>
      <c r="D31" s="237" t="s">
        <v>702</v>
      </c>
    </row>
    <row r="32" spans="1:18">
      <c r="A32" s="171" t="s">
        <v>40</v>
      </c>
      <c r="B32" s="37">
        <f>IF( ISERROR(IND_voed_ele_kWh/1000),0,IND_voed_ele_kWh/1000)</f>
        <v>7234.1828935971698</v>
      </c>
      <c r="C32" s="39">
        <f>IF(ISERROR(B32*3.6/1000000/'E Balans VL '!Z20*100),0,B32*3.6/1000000/'E Balans VL '!Z20*100)</f>
        <v>0.16988981595328656</v>
      </c>
      <c r="D32" s="237" t="s">
        <v>702</v>
      </c>
    </row>
    <row r="33" spans="1:5">
      <c r="A33" s="171" t="s">
        <v>39</v>
      </c>
      <c r="B33" s="37">
        <f>IF( ISERROR(IND_textiel_ele_kWh/1000),0,IND_textiel_ele_kWh/1000)</f>
        <v>207.52107529774702</v>
      </c>
      <c r="C33" s="39">
        <f>IF(ISERROR(B33*3.6/1000000/'E Balans VL '!Z21*100),0,B33*3.6/1000000/'E Balans VL '!Z21*100)</f>
        <v>2.277517496879573E-2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131.01104542135297</v>
      </c>
      <c r="C37" s="39">
        <f>IF(ISERROR(B37*3.6/1000000/'E Balans VL '!Z15*100),0,B37*3.6/1000000/'E Balans VL '!Z15*100)</f>
        <v>4.9096771859136971E-4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3173.3712184896303</v>
      </c>
      <c r="C5" s="17">
        <f>'Eigen informatie GS &amp; warmtenet'!B62</f>
        <v>0</v>
      </c>
      <c r="D5" s="30">
        <f>IF(ISERROR(SUM(LB_lb_gas_kWh,LB_rest_gas_kWh)/1000),0,SUM(LB_lb_gas_kWh,LB_rest_gas_kWh)/1000)*0.903</f>
        <v>207.16438514516278</v>
      </c>
      <c r="E5" s="17">
        <f>B17*'E Balans VL '!I25/3.6*1000000/100</f>
        <v>118.34471938760424</v>
      </c>
      <c r="F5" s="17">
        <f>B17*('E Balans VL '!L25/3.6*1000000+'E Balans VL '!N25/3.6*1000000)/100</f>
        <v>10295.642471687705</v>
      </c>
      <c r="G5" s="18"/>
      <c r="H5" s="17"/>
      <c r="I5" s="17"/>
      <c r="J5" s="17">
        <f>('E Balans VL '!D25+'E Balans VL '!E25)/3.6*1000000*landbouw!B17/100</f>
        <v>833.02561149253404</v>
      </c>
      <c r="K5" s="17"/>
      <c r="L5" s="17">
        <f>L6*(-1)</f>
        <v>0</v>
      </c>
      <c r="M5" s="17"/>
      <c r="N5" s="17">
        <f>N6*(-1)</f>
        <v>0</v>
      </c>
      <c r="O5" s="17"/>
      <c r="P5" s="17"/>
      <c r="R5" s="32"/>
    </row>
    <row r="6" spans="1:18">
      <c r="A6" s="16" t="s">
        <v>479</v>
      </c>
      <c r="B6" s="17" t="s">
        <v>210</v>
      </c>
      <c r="C6" s="17">
        <f>'lokale energieproductie'!O39+'lokale energieproductie'!O32</f>
        <v>34431.428571428572</v>
      </c>
      <c r="D6" s="310">
        <f>('lokale energieproductie'!P32+'lokale energieproductie'!P39)*(-1)</f>
        <v>-68862.857142857145</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3173.3712184896303</v>
      </c>
      <c r="C8" s="21">
        <f>C5+C6</f>
        <v>34431.428571428572</v>
      </c>
      <c r="D8" s="21">
        <f>MAX((D5+D6),0)</f>
        <v>0</v>
      </c>
      <c r="E8" s="21">
        <f>MAX((E5+E6),0)</f>
        <v>118.34471938760424</v>
      </c>
      <c r="F8" s="21">
        <f>MAX((F5+F6),0)</f>
        <v>10295.642471687705</v>
      </c>
      <c r="G8" s="21"/>
      <c r="H8" s="21"/>
      <c r="I8" s="21"/>
      <c r="J8" s="21">
        <f>MAX((J5+J6),0)</f>
        <v>833.02561149253404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0.19790194746121464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628.01634415646549</v>
      </c>
      <c r="C12" s="23">
        <f ca="1">C8*C10</f>
        <v>8182.5277310924375</v>
      </c>
      <c r="D12" s="23">
        <f>D8*D10</f>
        <v>0</v>
      </c>
      <c r="E12" s="23">
        <f>E8*E10</f>
        <v>26.864251300986165</v>
      </c>
      <c r="F12" s="23">
        <f>F8*F10</f>
        <v>2748.9365399406174</v>
      </c>
      <c r="G12" s="23"/>
      <c r="H12" s="23"/>
      <c r="I12" s="23"/>
      <c r="J12" s="23">
        <f>J8*J10</f>
        <v>294.89106646835705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0.43585425588911175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602.41680236238346</v>
      </c>
      <c r="C26" s="247">
        <f>B26*'GWP N2O_CH4'!B5</f>
        <v>12650.752849610053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374.94010499309468</v>
      </c>
      <c r="C27" s="247">
        <f>B27*'GWP N2O_CH4'!B5</f>
        <v>7873.7422048549879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8.496349626880253</v>
      </c>
      <c r="C28" s="247">
        <f>B28*'GWP N2O_CH4'!B4</f>
        <v>2633.8683843328786</v>
      </c>
      <c r="D28" s="50"/>
    </row>
    <row r="29" spans="1:4">
      <c r="A29" s="41" t="s">
        <v>276</v>
      </c>
      <c r="B29" s="247">
        <f>B34*'ha_N2O bodem landbouw'!B4</f>
        <v>19.789591929161752</v>
      </c>
      <c r="C29" s="247">
        <f>B29*'GWP N2O_CH4'!B4</f>
        <v>6134.7734980401428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4.5101045160076195E-3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1.5036260882859704E-4</v>
      </c>
      <c r="C5" s="440" t="s">
        <v>210</v>
      </c>
      <c r="D5" s="425">
        <f>SUM(D6:D11)</f>
        <v>6.6933508957832378E-4</v>
      </c>
      <c r="E5" s="425">
        <f>SUM(E6:E11)</f>
        <v>3.5544329837065619E-4</v>
      </c>
      <c r="F5" s="438" t="s">
        <v>210</v>
      </c>
      <c r="G5" s="425">
        <f>SUM(G6:G11)</f>
        <v>0.15005937225618166</v>
      </c>
      <c r="H5" s="425">
        <f>SUM(H6:H11)</f>
        <v>4.2542776008785699E-2</v>
      </c>
      <c r="I5" s="440" t="s">
        <v>210</v>
      </c>
      <c r="J5" s="440" t="s">
        <v>210</v>
      </c>
      <c r="K5" s="440" t="s">
        <v>210</v>
      </c>
      <c r="L5" s="440" t="s">
        <v>210</v>
      </c>
      <c r="M5" s="425">
        <f>SUM(M6:M11)</f>
        <v>1.140598706699328E-2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1.0006262635882984E-4</v>
      </c>
      <c r="C6" s="426"/>
      <c r="D6" s="893">
        <f>vkm_GW_PW*SUMIFS(TableVerdeelsleutelVkm[CNG],TableVerdeelsleutelVkm[Voertuigtype],"Lichte voertuigen")*SUMIFS(TableECFTransport[EnergieConsumptieFactor (PJ per km)],TableECFTransport[Index],CONCATENATE($A6,"_CNG_CNG"))</f>
        <v>3.6139567030901145E-4</v>
      </c>
      <c r="E6" s="893">
        <f>vkm_GW_PW*SUMIFS(TableVerdeelsleutelVkm[LPG],TableVerdeelsleutelVkm[Voertuigtype],"Lichte voertuigen")*SUMIFS(TableECFTransport[EnergieConsumptieFactor (PJ per km)],TableECFTransport[Index],CONCATENATE($A6,"_LPG_LPG"))</f>
        <v>1.9640927026379556E-4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6.1121354761346218E-2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2.3131978634358501E-2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5.0492887440285253E-3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3.476767399729E-2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3.6601818482516147E-7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1.9574745040090943E-3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5.0299982469767197E-5</v>
      </c>
      <c r="C8" s="426"/>
      <c r="D8" s="428">
        <f>vkm_NGW_PW*SUMIFS(TableVerdeelsleutelVkm[CNG],TableVerdeelsleutelVkm[Voertuigtype],"Lichte voertuigen")*SUMIFS(TableECFTransport[EnergieConsumptieFactor (PJ per km)],TableECFTransport[Index],CONCATENATE($A8,"_CNG_CNG"))</f>
        <v>3.0793941926931232E-4</v>
      </c>
      <c r="E8" s="428">
        <f>vkm_NGW_PW*SUMIFS(TableVerdeelsleutelVkm[LPG],TableVerdeelsleutelVkm[Voertuigtype],"Lichte voertuigen")*SUMIFS(TableECFTransport[EnergieConsumptieFactor (PJ per km)],TableECFTransport[Index],CONCATENATE($A8,"_LPG_LPG"))</f>
        <v>1.5903402810686063E-4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4.6056293790915026E-2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1.9410307286008486E-2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3.9423874242757381E-3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8.1140497066304121E-3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1.240702338873209E-7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4.5683639467992363E-4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41.767391341276955</v>
      </c>
      <c r="C14" s="21"/>
      <c r="D14" s="21">
        <f t="shared" ref="D14:M14" si="0">((D5)*10^9/3600)+D12</f>
        <v>185.92641377175661</v>
      </c>
      <c r="E14" s="21">
        <f t="shared" si="0"/>
        <v>98.734249547404502</v>
      </c>
      <c r="F14" s="21"/>
      <c r="G14" s="21">
        <f t="shared" si="0"/>
        <v>41683.158960050459</v>
      </c>
      <c r="H14" s="21">
        <f t="shared" si="0"/>
        <v>11817.43778021825</v>
      </c>
      <c r="I14" s="21"/>
      <c r="J14" s="21"/>
      <c r="K14" s="21"/>
      <c r="L14" s="21"/>
      <c r="M14" s="21">
        <f t="shared" si="0"/>
        <v>3168.3297408314666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0.19790194746121464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8.2658480868133832</v>
      </c>
      <c r="C18" s="23"/>
      <c r="D18" s="23">
        <f t="shared" ref="D18:M18" si="1">D14*D16</f>
        <v>37.55713558189484</v>
      </c>
      <c r="E18" s="23">
        <f t="shared" si="1"/>
        <v>22.412674647260822</v>
      </c>
      <c r="F18" s="23"/>
      <c r="G18" s="23">
        <f t="shared" si="1"/>
        <v>11129.403442333472</v>
      </c>
      <c r="H18" s="23">
        <f t="shared" si="1"/>
        <v>2942.5420072743441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3.7738465359937186E-3</v>
      </c>
      <c r="H50" s="321">
        <f t="shared" si="2"/>
        <v>0</v>
      </c>
      <c r="I50" s="321">
        <f t="shared" si="2"/>
        <v>0</v>
      </c>
      <c r="J50" s="321">
        <f t="shared" si="2"/>
        <v>0</v>
      </c>
      <c r="K50" s="321">
        <f t="shared" si="2"/>
        <v>0</v>
      </c>
      <c r="L50" s="321">
        <f t="shared" si="2"/>
        <v>0</v>
      </c>
      <c r="M50" s="321">
        <f t="shared" si="2"/>
        <v>2.0479040731938609E-4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3.7738465359937186E-3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2.0479040731938609E-4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1048.2907044426995</v>
      </c>
      <c r="H54" s="21">
        <f t="shared" si="3"/>
        <v>0</v>
      </c>
      <c r="I54" s="21">
        <f t="shared" si="3"/>
        <v>0</v>
      </c>
      <c r="J54" s="21">
        <f t="shared" si="3"/>
        <v>0</v>
      </c>
      <c r="K54" s="21">
        <f t="shared" si="3"/>
        <v>0</v>
      </c>
      <c r="L54" s="21">
        <f t="shared" si="3"/>
        <v>0</v>
      </c>
      <c r="M54" s="21">
        <f t="shared" si="3"/>
        <v>56.886224255385024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0.19790194746121464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279.89361808620077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11394.705735526719</v>
      </c>
      <c r="D10" s="689">
        <f ca="1">tertiair!C16</f>
        <v>0</v>
      </c>
      <c r="E10" s="689">
        <f ca="1">tertiair!D16</f>
        <v>14097.255840470523</v>
      </c>
      <c r="F10" s="689">
        <f>tertiair!E16</f>
        <v>43.028928356582163</v>
      </c>
      <c r="G10" s="689">
        <f ca="1">tertiair!F16</f>
        <v>1834.8986533416889</v>
      </c>
      <c r="H10" s="689">
        <f>tertiair!G16</f>
        <v>0</v>
      </c>
      <c r="I10" s="689">
        <f>tertiair!H16</f>
        <v>0</v>
      </c>
      <c r="J10" s="689">
        <f>tertiair!I16</f>
        <v>0</v>
      </c>
      <c r="K10" s="689">
        <f>tertiair!J16</f>
        <v>1.6437642888896369E-2</v>
      </c>
      <c r="L10" s="689">
        <f>tertiair!K16</f>
        <v>0</v>
      </c>
      <c r="M10" s="689">
        <f ca="1">tertiair!L16</f>
        <v>0</v>
      </c>
      <c r="N10" s="689">
        <f>tertiair!M16</f>
        <v>0</v>
      </c>
      <c r="O10" s="689">
        <f ca="1">tertiair!N16</f>
        <v>603.17940575195439</v>
      </c>
      <c r="P10" s="689">
        <f>tertiair!O16</f>
        <v>19.589043063364617</v>
      </c>
      <c r="Q10" s="690">
        <f>tertiair!P16</f>
        <v>105.07827661299004</v>
      </c>
      <c r="R10" s="692">
        <f ca="1">SUM(C10:Q10)</f>
        <v>28097.752320766715</v>
      </c>
      <c r="S10" s="67"/>
    </row>
    <row r="11" spans="1:19" s="451" customFormat="1">
      <c r="A11" s="811" t="s">
        <v>224</v>
      </c>
      <c r="B11" s="816"/>
      <c r="C11" s="689">
        <f>huishoudens!B8</f>
        <v>23767.620885000229</v>
      </c>
      <c r="D11" s="689">
        <f>huishoudens!C8</f>
        <v>0</v>
      </c>
      <c r="E11" s="689">
        <f>huishoudens!D8</f>
        <v>52361.738105008983</v>
      </c>
      <c r="F11" s="689">
        <f>huishoudens!E8</f>
        <v>12003.13268113565</v>
      </c>
      <c r="G11" s="689">
        <f>huishoudens!F8</f>
        <v>6947.9381674561755</v>
      </c>
      <c r="H11" s="689">
        <f>huishoudens!G8</f>
        <v>0</v>
      </c>
      <c r="I11" s="689">
        <f>huishoudens!H8</f>
        <v>0</v>
      </c>
      <c r="J11" s="689">
        <f>huishoudens!I8</f>
        <v>0</v>
      </c>
      <c r="K11" s="689">
        <f>huishoudens!J8</f>
        <v>744.30990138282698</v>
      </c>
      <c r="L11" s="689">
        <f>huishoudens!K8</f>
        <v>0</v>
      </c>
      <c r="M11" s="689">
        <f>huishoudens!L8</f>
        <v>0</v>
      </c>
      <c r="N11" s="689">
        <f>huishoudens!M8</f>
        <v>0</v>
      </c>
      <c r="O11" s="689">
        <f>huishoudens!N8</f>
        <v>22351.98815689368</v>
      </c>
      <c r="P11" s="689">
        <f>huishoudens!O8</f>
        <v>472.18205621411357</v>
      </c>
      <c r="Q11" s="690">
        <f>huishoudens!P8</f>
        <v>326.5527385382357</v>
      </c>
      <c r="R11" s="692">
        <f>SUM(C11:Q11)</f>
        <v>118975.46269162989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9520.0851845906072</v>
      </c>
      <c r="D13" s="689">
        <f>industrie!C18</f>
        <v>0</v>
      </c>
      <c r="E13" s="689">
        <f>industrie!D18</f>
        <v>88926.318061719066</v>
      </c>
      <c r="F13" s="689">
        <f>industrie!E18</f>
        <v>22.264280021131547</v>
      </c>
      <c r="G13" s="689">
        <f>industrie!F18</f>
        <v>1038.5532272669677</v>
      </c>
      <c r="H13" s="689">
        <f>industrie!G18</f>
        <v>0</v>
      </c>
      <c r="I13" s="689">
        <f>industrie!H18</f>
        <v>0</v>
      </c>
      <c r="J13" s="689">
        <f>industrie!I18</f>
        <v>0</v>
      </c>
      <c r="K13" s="689">
        <f>industrie!J18</f>
        <v>0.7333576109275951</v>
      </c>
      <c r="L13" s="689">
        <f>industrie!K18</f>
        <v>0</v>
      </c>
      <c r="M13" s="689">
        <f>industrie!L18</f>
        <v>0</v>
      </c>
      <c r="N13" s="689">
        <f>industrie!M18</f>
        <v>0</v>
      </c>
      <c r="O13" s="689">
        <f>industrie!N18</f>
        <v>307.42047073838131</v>
      </c>
      <c r="P13" s="689">
        <f>industrie!O18</f>
        <v>0</v>
      </c>
      <c r="Q13" s="690">
        <f>industrie!P18</f>
        <v>0</v>
      </c>
      <c r="R13" s="692">
        <f>SUM(C13:Q13)</f>
        <v>99815.374581947064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44682.411805117554</v>
      </c>
      <c r="D16" s="725">
        <f t="shared" ref="D16:R16" ca="1" si="0">SUM(D9:D15)</f>
        <v>0</v>
      </c>
      <c r="E16" s="725">
        <f t="shared" ca="1" si="0"/>
        <v>155385.31200719858</v>
      </c>
      <c r="F16" s="725">
        <f t="shared" si="0"/>
        <v>12068.425889513364</v>
      </c>
      <c r="G16" s="725">
        <f t="shared" ca="1" si="0"/>
        <v>9821.3900480648317</v>
      </c>
      <c r="H16" s="725">
        <f t="shared" si="0"/>
        <v>0</v>
      </c>
      <c r="I16" s="725">
        <f t="shared" si="0"/>
        <v>0</v>
      </c>
      <c r="J16" s="725">
        <f t="shared" si="0"/>
        <v>0</v>
      </c>
      <c r="K16" s="725">
        <f t="shared" si="0"/>
        <v>745.05969663664348</v>
      </c>
      <c r="L16" s="725">
        <f t="shared" si="0"/>
        <v>0</v>
      </c>
      <c r="M16" s="725">
        <f t="shared" ca="1" si="0"/>
        <v>0</v>
      </c>
      <c r="N16" s="725">
        <f t="shared" si="0"/>
        <v>0</v>
      </c>
      <c r="O16" s="725">
        <f t="shared" ca="1" si="0"/>
        <v>23262.588033384014</v>
      </c>
      <c r="P16" s="725">
        <f t="shared" si="0"/>
        <v>491.77109927747819</v>
      </c>
      <c r="Q16" s="725">
        <f t="shared" si="0"/>
        <v>431.63101515122571</v>
      </c>
      <c r="R16" s="725">
        <f t="shared" ca="1" si="0"/>
        <v>246888.58959434368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1048.2907044426995</v>
      </c>
      <c r="I19" s="689">
        <f>transport!H54</f>
        <v>0</v>
      </c>
      <c r="J19" s="689">
        <f>transport!I54</f>
        <v>0</v>
      </c>
      <c r="K19" s="689">
        <f>transport!J54</f>
        <v>0</v>
      </c>
      <c r="L19" s="689">
        <f>transport!K54</f>
        <v>0</v>
      </c>
      <c r="M19" s="689">
        <f>transport!L54</f>
        <v>0</v>
      </c>
      <c r="N19" s="689">
        <f>transport!M54</f>
        <v>56.886224255385024</v>
      </c>
      <c r="O19" s="689">
        <f>transport!N54</f>
        <v>0</v>
      </c>
      <c r="P19" s="689">
        <f>transport!O54</f>
        <v>0</v>
      </c>
      <c r="Q19" s="690">
        <f>transport!P54</f>
        <v>0</v>
      </c>
      <c r="R19" s="692">
        <f>SUM(C19:Q19)</f>
        <v>1105.1769286980846</v>
      </c>
      <c r="S19" s="67"/>
    </row>
    <row r="20" spans="1:19" s="451" customFormat="1">
      <c r="A20" s="811" t="s">
        <v>306</v>
      </c>
      <c r="B20" s="816"/>
      <c r="C20" s="689">
        <f>transport!B14</f>
        <v>41.767391341276955</v>
      </c>
      <c r="D20" s="689">
        <f>transport!C14</f>
        <v>0</v>
      </c>
      <c r="E20" s="689">
        <f>transport!D14</f>
        <v>185.92641377175661</v>
      </c>
      <c r="F20" s="689">
        <f>transport!E14</f>
        <v>98.734249547404502</v>
      </c>
      <c r="G20" s="689">
        <f>transport!F14</f>
        <v>0</v>
      </c>
      <c r="H20" s="689">
        <f>transport!G14</f>
        <v>41683.158960050459</v>
      </c>
      <c r="I20" s="689">
        <f>transport!H14</f>
        <v>11817.43778021825</v>
      </c>
      <c r="J20" s="689">
        <f>transport!I14</f>
        <v>0</v>
      </c>
      <c r="K20" s="689">
        <f>transport!J14</f>
        <v>0</v>
      </c>
      <c r="L20" s="689">
        <f>transport!K14</f>
        <v>0</v>
      </c>
      <c r="M20" s="689">
        <f>transport!L14</f>
        <v>0</v>
      </c>
      <c r="N20" s="689">
        <f>transport!M14</f>
        <v>3168.3297408314666</v>
      </c>
      <c r="O20" s="689">
        <f>transport!N14</f>
        <v>0</v>
      </c>
      <c r="P20" s="689">
        <f>transport!O14</f>
        <v>0</v>
      </c>
      <c r="Q20" s="690">
        <f>transport!P14</f>
        <v>0</v>
      </c>
      <c r="R20" s="692">
        <f>SUM(C20:Q20)</f>
        <v>56995.354535760613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41.767391341276955</v>
      </c>
      <c r="D22" s="814">
        <f t="shared" ref="D22:R22" si="1">SUM(D18:D21)</f>
        <v>0</v>
      </c>
      <c r="E22" s="814">
        <f t="shared" si="1"/>
        <v>185.92641377175661</v>
      </c>
      <c r="F22" s="814">
        <f t="shared" si="1"/>
        <v>98.734249547404502</v>
      </c>
      <c r="G22" s="814">
        <f t="shared" si="1"/>
        <v>0</v>
      </c>
      <c r="H22" s="814">
        <f t="shared" si="1"/>
        <v>42731.449664493157</v>
      </c>
      <c r="I22" s="814">
        <f t="shared" si="1"/>
        <v>11817.43778021825</v>
      </c>
      <c r="J22" s="814">
        <f t="shared" si="1"/>
        <v>0</v>
      </c>
      <c r="K22" s="814">
        <f t="shared" si="1"/>
        <v>0</v>
      </c>
      <c r="L22" s="814">
        <f t="shared" si="1"/>
        <v>0</v>
      </c>
      <c r="M22" s="814">
        <f t="shared" si="1"/>
        <v>0</v>
      </c>
      <c r="N22" s="814">
        <f t="shared" si="1"/>
        <v>3225.2159650868516</v>
      </c>
      <c r="O22" s="814">
        <f t="shared" si="1"/>
        <v>0</v>
      </c>
      <c r="P22" s="814">
        <f t="shared" si="1"/>
        <v>0</v>
      </c>
      <c r="Q22" s="814">
        <f t="shared" si="1"/>
        <v>0</v>
      </c>
      <c r="R22" s="814">
        <f t="shared" si="1"/>
        <v>58100.531464458698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3173.3712184896303</v>
      </c>
      <c r="D24" s="689">
        <f>+landbouw!C8</f>
        <v>34431.428571428572</v>
      </c>
      <c r="E24" s="689">
        <f>+landbouw!D8</f>
        <v>0</v>
      </c>
      <c r="F24" s="689">
        <f>+landbouw!E8</f>
        <v>118.34471938760424</v>
      </c>
      <c r="G24" s="689">
        <f>+landbouw!F8</f>
        <v>10295.642471687705</v>
      </c>
      <c r="H24" s="689">
        <f>+landbouw!G8</f>
        <v>0</v>
      </c>
      <c r="I24" s="689">
        <f>+landbouw!H8</f>
        <v>0</v>
      </c>
      <c r="J24" s="689">
        <f>+landbouw!I8</f>
        <v>0</v>
      </c>
      <c r="K24" s="689">
        <f>+landbouw!J8</f>
        <v>833.02561149253404</v>
      </c>
      <c r="L24" s="689">
        <f>+landbouw!K8</f>
        <v>0</v>
      </c>
      <c r="M24" s="689">
        <f>+landbouw!L8</f>
        <v>0</v>
      </c>
      <c r="N24" s="689">
        <f>+landbouw!M8</f>
        <v>0</v>
      </c>
      <c r="O24" s="689">
        <f>+landbouw!N8</f>
        <v>0</v>
      </c>
      <c r="P24" s="689">
        <f>+landbouw!O8</f>
        <v>0</v>
      </c>
      <c r="Q24" s="690">
        <f>+landbouw!P8</f>
        <v>0</v>
      </c>
      <c r="R24" s="692">
        <f>SUM(C24:Q24)</f>
        <v>48851.812592486043</v>
      </c>
      <c r="S24" s="67"/>
    </row>
    <row r="25" spans="1:19" s="451" customFormat="1" ht="15" thickBot="1">
      <c r="A25" s="833" t="s">
        <v>714</v>
      </c>
      <c r="B25" s="947"/>
      <c r="C25" s="948">
        <f>IF(Onbekend_ele_kWh="---",0,Onbekend_ele_kWh)/1000+IF(REST_rest_ele_kWh="---",0,REST_rest_ele_kWh)/1000</f>
        <v>623.05144863221005</v>
      </c>
      <c r="D25" s="948"/>
      <c r="E25" s="948">
        <f>IF(onbekend_gas_kWh="---",0,onbekend_gas_kWh)/1000+IF(REST_rest_gas_kWh="---",0,REST_rest_gas_kWh)/1000</f>
        <v>1280.50001068748</v>
      </c>
      <c r="F25" s="948"/>
      <c r="G25" s="948"/>
      <c r="H25" s="948"/>
      <c r="I25" s="948"/>
      <c r="J25" s="948"/>
      <c r="K25" s="948"/>
      <c r="L25" s="948"/>
      <c r="M25" s="948"/>
      <c r="N25" s="948"/>
      <c r="O25" s="948"/>
      <c r="P25" s="948"/>
      <c r="Q25" s="949"/>
      <c r="R25" s="692">
        <f>SUM(C25:Q25)</f>
        <v>1903.5514593196899</v>
      </c>
      <c r="S25" s="67"/>
    </row>
    <row r="26" spans="1:19" s="451" customFormat="1" ht="15.75" thickBot="1">
      <c r="A26" s="697" t="s">
        <v>715</v>
      </c>
      <c r="B26" s="819"/>
      <c r="C26" s="814">
        <f>SUM(C24:C25)</f>
        <v>3796.4226671218403</v>
      </c>
      <c r="D26" s="814">
        <f t="shared" ref="D26:R26" si="2">SUM(D24:D25)</f>
        <v>34431.428571428572</v>
      </c>
      <c r="E26" s="814">
        <f t="shared" si="2"/>
        <v>1280.50001068748</v>
      </c>
      <c r="F26" s="814">
        <f t="shared" si="2"/>
        <v>118.34471938760424</v>
      </c>
      <c r="G26" s="814">
        <f t="shared" si="2"/>
        <v>10295.642471687705</v>
      </c>
      <c r="H26" s="814">
        <f t="shared" si="2"/>
        <v>0</v>
      </c>
      <c r="I26" s="814">
        <f t="shared" si="2"/>
        <v>0</v>
      </c>
      <c r="J26" s="814">
        <f t="shared" si="2"/>
        <v>0</v>
      </c>
      <c r="K26" s="814">
        <f t="shared" si="2"/>
        <v>833.02561149253404</v>
      </c>
      <c r="L26" s="814">
        <f t="shared" si="2"/>
        <v>0</v>
      </c>
      <c r="M26" s="814">
        <f t="shared" si="2"/>
        <v>0</v>
      </c>
      <c r="N26" s="814">
        <f t="shared" si="2"/>
        <v>0</v>
      </c>
      <c r="O26" s="814">
        <f t="shared" si="2"/>
        <v>0</v>
      </c>
      <c r="P26" s="814">
        <f t="shared" si="2"/>
        <v>0</v>
      </c>
      <c r="Q26" s="814">
        <f t="shared" si="2"/>
        <v>0</v>
      </c>
      <c r="R26" s="814">
        <f t="shared" si="2"/>
        <v>50755.364051805736</v>
      </c>
      <c r="S26" s="67"/>
    </row>
    <row r="27" spans="1:19" s="451" customFormat="1" ht="17.25" thickTop="1" thickBot="1">
      <c r="A27" s="698" t="s">
        <v>115</v>
      </c>
      <c r="B27" s="806"/>
      <c r="C27" s="699">
        <f ca="1">C22+C16+C26</f>
        <v>48520.601863580676</v>
      </c>
      <c r="D27" s="699">
        <f t="shared" ref="D27:R27" ca="1" si="3">D22+D16+D26</f>
        <v>34431.428571428572</v>
      </c>
      <c r="E27" s="699">
        <f t="shared" ca="1" si="3"/>
        <v>156851.73843165781</v>
      </c>
      <c r="F27" s="699">
        <f t="shared" si="3"/>
        <v>12285.504858448372</v>
      </c>
      <c r="G27" s="699">
        <f t="shared" ca="1" si="3"/>
        <v>20117.032519752538</v>
      </c>
      <c r="H27" s="699">
        <f t="shared" si="3"/>
        <v>42731.449664493157</v>
      </c>
      <c r="I27" s="699">
        <f t="shared" si="3"/>
        <v>11817.43778021825</v>
      </c>
      <c r="J27" s="699">
        <f t="shared" si="3"/>
        <v>0</v>
      </c>
      <c r="K27" s="699">
        <f t="shared" si="3"/>
        <v>1578.0853081291775</v>
      </c>
      <c r="L27" s="699">
        <f t="shared" si="3"/>
        <v>0</v>
      </c>
      <c r="M27" s="699">
        <f t="shared" ca="1" si="3"/>
        <v>0</v>
      </c>
      <c r="N27" s="699">
        <f t="shared" si="3"/>
        <v>3225.2159650868516</v>
      </c>
      <c r="O27" s="699">
        <f t="shared" ca="1" si="3"/>
        <v>23262.588033384014</v>
      </c>
      <c r="P27" s="699">
        <f t="shared" si="3"/>
        <v>491.77109927747819</v>
      </c>
      <c r="Q27" s="699">
        <f t="shared" si="3"/>
        <v>431.63101515122571</v>
      </c>
      <c r="R27" s="699">
        <f t="shared" ca="1" si="3"/>
        <v>355744.4851106081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2255.0344558082102</v>
      </c>
      <c r="D40" s="689">
        <f ca="1">tertiair!C20</f>
        <v>0</v>
      </c>
      <c r="E40" s="689">
        <f ca="1">tertiair!D20</f>
        <v>2847.6456797750457</v>
      </c>
      <c r="F40" s="689">
        <f>tertiair!E20</f>
        <v>9.7675667369441506</v>
      </c>
      <c r="G40" s="689">
        <f ca="1">tertiair!F20</f>
        <v>489.91794044223099</v>
      </c>
      <c r="H40" s="689">
        <f>tertiair!G20</f>
        <v>0</v>
      </c>
      <c r="I40" s="689">
        <f>tertiair!H20</f>
        <v>0</v>
      </c>
      <c r="J40" s="689">
        <f>tertiair!I20</f>
        <v>0</v>
      </c>
      <c r="K40" s="689">
        <f>tertiair!J20</f>
        <v>5.8189255826693138E-3</v>
      </c>
      <c r="L40" s="689">
        <f>tertiair!K20</f>
        <v>0</v>
      </c>
      <c r="M40" s="689">
        <f ca="1">tertiair!L20</f>
        <v>0</v>
      </c>
      <c r="N40" s="689">
        <f>tertiair!M20</f>
        <v>0</v>
      </c>
      <c r="O40" s="689">
        <f ca="1">tertiair!N20</f>
        <v>0</v>
      </c>
      <c r="P40" s="689">
        <f>tertiair!O20</f>
        <v>0</v>
      </c>
      <c r="Q40" s="772">
        <f>tertiair!P20</f>
        <v>0</v>
      </c>
      <c r="R40" s="852">
        <f t="shared" ca="1" si="4"/>
        <v>5602.3714616880134</v>
      </c>
    </row>
    <row r="41" spans="1:18">
      <c r="A41" s="824" t="s">
        <v>224</v>
      </c>
      <c r="B41" s="831"/>
      <c r="C41" s="689">
        <f ca="1">huishoudens!B12</f>
        <v>4703.6584596613829</v>
      </c>
      <c r="D41" s="689">
        <f ca="1">huishoudens!C12</f>
        <v>0</v>
      </c>
      <c r="E41" s="689">
        <f>huishoudens!D12</f>
        <v>10577.071097211816</v>
      </c>
      <c r="F41" s="689">
        <f>huishoudens!E12</f>
        <v>2724.7111186177926</v>
      </c>
      <c r="G41" s="689">
        <f>huishoudens!F12</f>
        <v>1855.099490710799</v>
      </c>
      <c r="H41" s="689">
        <f>huishoudens!G12</f>
        <v>0</v>
      </c>
      <c r="I41" s="689">
        <f>huishoudens!H12</f>
        <v>0</v>
      </c>
      <c r="J41" s="689">
        <f>huishoudens!I12</f>
        <v>0</v>
      </c>
      <c r="K41" s="689">
        <f>huishoudens!J12</f>
        <v>263.48570508952076</v>
      </c>
      <c r="L41" s="689">
        <f>huishoudens!K12</f>
        <v>0</v>
      </c>
      <c r="M41" s="689">
        <f>huishoudens!L12</f>
        <v>0</v>
      </c>
      <c r="N41" s="689">
        <f>huishoudens!M12</f>
        <v>0</v>
      </c>
      <c r="O41" s="689">
        <f>huishoudens!N12</f>
        <v>0</v>
      </c>
      <c r="P41" s="689">
        <f>huishoudens!O12</f>
        <v>0</v>
      </c>
      <c r="Q41" s="772">
        <f>huishoudens!P12</f>
        <v>0</v>
      </c>
      <c r="R41" s="852">
        <f t="shared" ca="1" si="4"/>
        <v>20124.025871291313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1884.0433980271382</v>
      </c>
      <c r="D43" s="689">
        <f ca="1">industrie!C22</f>
        <v>0</v>
      </c>
      <c r="E43" s="689">
        <f>industrie!D22</f>
        <v>17963.116248467253</v>
      </c>
      <c r="F43" s="689">
        <f>industrie!E22</f>
        <v>5.0539915647968616</v>
      </c>
      <c r="G43" s="689">
        <f>industrie!F22</f>
        <v>277.29371168028041</v>
      </c>
      <c r="H43" s="689">
        <f>industrie!G22</f>
        <v>0</v>
      </c>
      <c r="I43" s="689">
        <f>industrie!H22</f>
        <v>0</v>
      </c>
      <c r="J43" s="689">
        <f>industrie!I22</f>
        <v>0</v>
      </c>
      <c r="K43" s="689">
        <f>industrie!J22</f>
        <v>0.25960859426836863</v>
      </c>
      <c r="L43" s="689">
        <f>industrie!K22</f>
        <v>0</v>
      </c>
      <c r="M43" s="689">
        <f>industrie!L22</f>
        <v>0</v>
      </c>
      <c r="N43" s="689">
        <f>industrie!M22</f>
        <v>0</v>
      </c>
      <c r="O43" s="689">
        <f>industrie!N22</f>
        <v>0</v>
      </c>
      <c r="P43" s="689">
        <f>industrie!O22</f>
        <v>0</v>
      </c>
      <c r="Q43" s="772">
        <f>industrie!P22</f>
        <v>0</v>
      </c>
      <c r="R43" s="851">
        <f t="shared" ca="1" si="4"/>
        <v>20129.766958333734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8842.7363134967309</v>
      </c>
      <c r="D46" s="725">
        <f t="shared" ref="D46:Q46" ca="1" si="5">SUM(D39:D45)</f>
        <v>0</v>
      </c>
      <c r="E46" s="725">
        <f t="shared" ca="1" si="5"/>
        <v>31387.833025454114</v>
      </c>
      <c r="F46" s="725">
        <f t="shared" si="5"/>
        <v>2739.5326769195335</v>
      </c>
      <c r="G46" s="725">
        <f t="shared" ca="1" si="5"/>
        <v>2622.3111428333104</v>
      </c>
      <c r="H46" s="725">
        <f t="shared" si="5"/>
        <v>0</v>
      </c>
      <c r="I46" s="725">
        <f t="shared" si="5"/>
        <v>0</v>
      </c>
      <c r="J46" s="725">
        <f t="shared" si="5"/>
        <v>0</v>
      </c>
      <c r="K46" s="725">
        <f t="shared" si="5"/>
        <v>263.75113260937178</v>
      </c>
      <c r="L46" s="725">
        <f t="shared" si="5"/>
        <v>0</v>
      </c>
      <c r="M46" s="725">
        <f t="shared" ca="1" si="5"/>
        <v>0</v>
      </c>
      <c r="N46" s="725">
        <f t="shared" si="5"/>
        <v>0</v>
      </c>
      <c r="O46" s="725">
        <f t="shared" ca="1" si="5"/>
        <v>0</v>
      </c>
      <c r="P46" s="725">
        <f t="shared" si="5"/>
        <v>0</v>
      </c>
      <c r="Q46" s="725">
        <f t="shared" si="5"/>
        <v>0</v>
      </c>
      <c r="R46" s="725">
        <f ca="1">SUM(R39:R45)</f>
        <v>45856.164291313064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279.89361808620077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279.89361808620077</v>
      </c>
    </row>
    <row r="50" spans="1:18">
      <c r="A50" s="827" t="s">
        <v>306</v>
      </c>
      <c r="B50" s="837"/>
      <c r="C50" s="695">
        <f ca="1">transport!B18</f>
        <v>8.2658480868133832</v>
      </c>
      <c r="D50" s="695">
        <f>transport!C18</f>
        <v>0</v>
      </c>
      <c r="E50" s="695">
        <f>transport!D18</f>
        <v>37.55713558189484</v>
      </c>
      <c r="F50" s="695">
        <f>transport!E18</f>
        <v>22.412674647260822</v>
      </c>
      <c r="G50" s="695">
        <f>transport!F18</f>
        <v>0</v>
      </c>
      <c r="H50" s="695">
        <f>transport!G18</f>
        <v>11129.403442333472</v>
      </c>
      <c r="I50" s="695">
        <f>transport!H18</f>
        <v>2942.5420072743441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14140.181107923785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8.2658480868133832</v>
      </c>
      <c r="D52" s="725">
        <f t="shared" ref="D52:Q52" ca="1" si="6">SUM(D48:D51)</f>
        <v>0</v>
      </c>
      <c r="E52" s="725">
        <f t="shared" si="6"/>
        <v>37.55713558189484</v>
      </c>
      <c r="F52" s="725">
        <f t="shared" si="6"/>
        <v>22.412674647260822</v>
      </c>
      <c r="G52" s="725">
        <f t="shared" si="6"/>
        <v>0</v>
      </c>
      <c r="H52" s="725">
        <f t="shared" si="6"/>
        <v>11409.297060419673</v>
      </c>
      <c r="I52" s="725">
        <f t="shared" si="6"/>
        <v>2942.5420072743441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14420.074726009985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628.01634415646549</v>
      </c>
      <c r="D54" s="695">
        <f ca="1">+landbouw!C12</f>
        <v>8182.5277310924375</v>
      </c>
      <c r="E54" s="695">
        <f>+landbouw!D12</f>
        <v>0</v>
      </c>
      <c r="F54" s="695">
        <f>+landbouw!E12</f>
        <v>26.864251300986165</v>
      </c>
      <c r="G54" s="695">
        <f>+landbouw!F12</f>
        <v>2748.9365399406174</v>
      </c>
      <c r="H54" s="695">
        <f>+landbouw!G12</f>
        <v>0</v>
      </c>
      <c r="I54" s="695">
        <f>+landbouw!H12</f>
        <v>0</v>
      </c>
      <c r="J54" s="695">
        <f>+landbouw!I12</f>
        <v>0</v>
      </c>
      <c r="K54" s="695">
        <f>+landbouw!J12</f>
        <v>294.89106646835705</v>
      </c>
      <c r="L54" s="695">
        <f>+landbouw!K12</f>
        <v>0</v>
      </c>
      <c r="M54" s="695">
        <f>+landbouw!L12</f>
        <v>0</v>
      </c>
      <c r="N54" s="695">
        <f>+landbouw!M12</f>
        <v>0</v>
      </c>
      <c r="O54" s="695">
        <f>+landbouw!N12</f>
        <v>0</v>
      </c>
      <c r="P54" s="695">
        <f>+landbouw!O12</f>
        <v>0</v>
      </c>
      <c r="Q54" s="696">
        <f>+landbouw!P12</f>
        <v>0</v>
      </c>
      <c r="R54" s="724">
        <f ca="1">SUM(C54:Q54)</f>
        <v>11881.235932958863</v>
      </c>
    </row>
    <row r="55" spans="1:18" ht="15" thickBot="1">
      <c r="A55" s="827" t="s">
        <v>714</v>
      </c>
      <c r="B55" s="837"/>
      <c r="C55" s="695">
        <f ca="1">C25*'EF ele_warmte'!B12</f>
        <v>123.30309505284531</v>
      </c>
      <c r="D55" s="695"/>
      <c r="E55" s="695">
        <f>E25*EF_CO2_aardgas</f>
        <v>258.66100215887099</v>
      </c>
      <c r="F55" s="695"/>
      <c r="G55" s="695"/>
      <c r="H55" s="695"/>
      <c r="I55" s="695"/>
      <c r="J55" s="695"/>
      <c r="K55" s="695"/>
      <c r="L55" s="695"/>
      <c r="M55" s="695"/>
      <c r="N55" s="695"/>
      <c r="O55" s="695"/>
      <c r="P55" s="695"/>
      <c r="Q55" s="696"/>
      <c r="R55" s="724">
        <f ca="1">SUM(C55:Q55)</f>
        <v>381.96409721171631</v>
      </c>
    </row>
    <row r="56" spans="1:18" ht="15.75" thickBot="1">
      <c r="A56" s="825" t="s">
        <v>715</v>
      </c>
      <c r="B56" s="838"/>
      <c r="C56" s="725">
        <f ca="1">SUM(C54:C55)</f>
        <v>751.31943920931076</v>
      </c>
      <c r="D56" s="725">
        <f t="shared" ref="D56:Q56" ca="1" si="7">SUM(D54:D55)</f>
        <v>8182.5277310924375</v>
      </c>
      <c r="E56" s="725">
        <f t="shared" si="7"/>
        <v>258.66100215887099</v>
      </c>
      <c r="F56" s="725">
        <f t="shared" si="7"/>
        <v>26.864251300986165</v>
      </c>
      <c r="G56" s="725">
        <f t="shared" si="7"/>
        <v>2748.9365399406174</v>
      </c>
      <c r="H56" s="725">
        <f t="shared" si="7"/>
        <v>0</v>
      </c>
      <c r="I56" s="725">
        <f t="shared" si="7"/>
        <v>0</v>
      </c>
      <c r="J56" s="725">
        <f t="shared" si="7"/>
        <v>0</v>
      </c>
      <c r="K56" s="725">
        <f t="shared" si="7"/>
        <v>294.89106646835705</v>
      </c>
      <c r="L56" s="725">
        <f t="shared" si="7"/>
        <v>0</v>
      </c>
      <c r="M56" s="725">
        <f t="shared" si="7"/>
        <v>0</v>
      </c>
      <c r="N56" s="725">
        <f t="shared" si="7"/>
        <v>0</v>
      </c>
      <c r="O56" s="725">
        <f t="shared" si="7"/>
        <v>0</v>
      </c>
      <c r="P56" s="725">
        <f t="shared" si="7"/>
        <v>0</v>
      </c>
      <c r="Q56" s="726">
        <f t="shared" si="7"/>
        <v>0</v>
      </c>
      <c r="R56" s="727">
        <f ca="1">SUM(R54:R55)</f>
        <v>12263.200030170579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9602.321600792855</v>
      </c>
      <c r="D61" s="733">
        <f t="shared" ref="D61:Q61" ca="1" si="8">D46+D52+D56</f>
        <v>8182.5277310924375</v>
      </c>
      <c r="E61" s="733">
        <f t="shared" ca="1" si="8"/>
        <v>31684.051163194879</v>
      </c>
      <c r="F61" s="733">
        <f t="shared" si="8"/>
        <v>2788.8096028677805</v>
      </c>
      <c r="G61" s="733">
        <f t="shared" ca="1" si="8"/>
        <v>5371.2476827739283</v>
      </c>
      <c r="H61" s="733">
        <f t="shared" si="8"/>
        <v>11409.297060419673</v>
      </c>
      <c r="I61" s="733">
        <f t="shared" si="8"/>
        <v>2942.5420072743441</v>
      </c>
      <c r="J61" s="733">
        <f t="shared" si="8"/>
        <v>0</v>
      </c>
      <c r="K61" s="733">
        <f t="shared" si="8"/>
        <v>558.64219907772883</v>
      </c>
      <c r="L61" s="733">
        <f t="shared" si="8"/>
        <v>0</v>
      </c>
      <c r="M61" s="733">
        <f t="shared" ca="1" si="8"/>
        <v>0</v>
      </c>
      <c r="N61" s="733">
        <f t="shared" si="8"/>
        <v>0</v>
      </c>
      <c r="O61" s="733">
        <f t="shared" ca="1" si="8"/>
        <v>0</v>
      </c>
      <c r="P61" s="733">
        <f t="shared" si="8"/>
        <v>0</v>
      </c>
      <c r="Q61" s="733">
        <f t="shared" si="8"/>
        <v>0</v>
      </c>
      <c r="R61" s="733">
        <f ca="1">R46+R52+R56</f>
        <v>72539.439047493637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0.19790194746121462</v>
      </c>
      <c r="D63" s="779">
        <f t="shared" ca="1" si="9"/>
        <v>0.23764705882352943</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6886.6915059872354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24102</v>
      </c>
      <c r="D76" s="956">
        <f>'lokale energieproductie'!C8</f>
        <v>28355.294117647059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5727.7694117647061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6886.6915059872354</v>
      </c>
      <c r="C78" s="751">
        <f>SUM(C72:C77)</f>
        <v>24102</v>
      </c>
      <c r="D78" s="752">
        <f t="shared" ref="D78:H78" si="10">SUM(D76:D77)</f>
        <v>28355.294117647059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5727.7694117647061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34431.428571428572</v>
      </c>
      <c r="D87" s="775">
        <f>'lokale energieproductie'!C17</f>
        <v>40507.563025210089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8182.5277310924384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34431.428571428572</v>
      </c>
      <c r="D90" s="751">
        <f t="shared" ref="D90:H90" si="12">SUM(D87:D89)</f>
        <v>40507.563025210089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8182.5277310924384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6886.6915059872354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24102</v>
      </c>
      <c r="C8" s="551">
        <f>B48</f>
        <v>28355.294117647059</v>
      </c>
      <c r="D8" s="552"/>
      <c r="E8" s="552">
        <f>E48</f>
        <v>0</v>
      </c>
      <c r="F8" s="553"/>
      <c r="G8" s="554"/>
      <c r="H8" s="552">
        <f>I48</f>
        <v>0</v>
      </c>
      <c r="I8" s="552">
        <f>G48+F48</f>
        <v>0</v>
      </c>
      <c r="J8" s="552">
        <f>H48+D48+C48</f>
        <v>0</v>
      </c>
      <c r="K8" s="552"/>
      <c r="L8" s="552"/>
      <c r="M8" s="552"/>
      <c r="N8" s="555"/>
      <c r="O8" s="556">
        <f>C8*$C$12+D8*$D$12+E8*$E$12+F8*$F$12+G8*$G$12+H8*$H$12+I8*$I$12+J8*$J$12</f>
        <v>5727.7694117647061</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30988.691505987234</v>
      </c>
      <c r="C10" s="566">
        <f t="shared" ref="C10:L10" si="0">SUM(C8:C9)</f>
        <v>28355.294117647059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5727.7694117647061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34431.428571428572</v>
      </c>
      <c r="C17" s="582">
        <f>B49</f>
        <v>40507.563025210089</v>
      </c>
      <c r="D17" s="583"/>
      <c r="E17" s="583">
        <f>E49</f>
        <v>0</v>
      </c>
      <c r="F17" s="584"/>
      <c r="G17" s="585"/>
      <c r="H17" s="582">
        <f>I49</f>
        <v>0</v>
      </c>
      <c r="I17" s="583">
        <f>G49+F49</f>
        <v>0</v>
      </c>
      <c r="J17" s="583">
        <f>H49+D49+C49</f>
        <v>0</v>
      </c>
      <c r="K17" s="583"/>
      <c r="L17" s="583"/>
      <c r="M17" s="583"/>
      <c r="N17" s="970"/>
      <c r="O17" s="586">
        <f>C17*$C$22+E17*$E$22+H17*$H$22+I17*$I$22+J17*$J$22+D17*$D$22+F17*$F$22+G17*$G$22+K17*$K$22+L17*$L$22</f>
        <v>8182.5277310924384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34431.428571428572</v>
      </c>
      <c r="C20" s="565">
        <f>SUM(C17:C19)</f>
        <v>40507.563025210089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8182.5277310924384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35006</v>
      </c>
      <c r="C28" s="794">
        <v>8480</v>
      </c>
      <c r="D28" s="643" t="s">
        <v>865</v>
      </c>
      <c r="E28" s="642" t="s">
        <v>866</v>
      </c>
      <c r="F28" s="642" t="s">
        <v>867</v>
      </c>
      <c r="G28" s="642" t="s">
        <v>868</v>
      </c>
      <c r="H28" s="642" t="s">
        <v>869</v>
      </c>
      <c r="I28" s="642" t="s">
        <v>866</v>
      </c>
      <c r="J28" s="793">
        <v>41992</v>
      </c>
      <c r="K28" s="793">
        <v>39995</v>
      </c>
      <c r="L28" s="642" t="s">
        <v>870</v>
      </c>
      <c r="M28" s="642">
        <v>5356</v>
      </c>
      <c r="N28" s="642">
        <v>24102</v>
      </c>
      <c r="O28" s="642">
        <v>34431.428571428572</v>
      </c>
      <c r="P28" s="642">
        <v>68862.857142857145</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5356</v>
      </c>
      <c r="N29" s="600">
        <f>SUM(N28:N28)</f>
        <v>24102</v>
      </c>
      <c r="O29" s="600">
        <f>SUM(O28:O28)</f>
        <v>34431.428571428572</v>
      </c>
      <c r="P29" s="600">
        <f>SUM(P28:P28)</f>
        <v>68862.857142857145</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5356</v>
      </c>
      <c r="N32" s="605">
        <f>SUMIF($Z$28:$Z$28,"landbouw",N28:N28)</f>
        <v>24102</v>
      </c>
      <c r="O32" s="605">
        <f>SUMIF($Z$28:$Z$28,"landbouw",O28:O28)</f>
        <v>34431.428571428572</v>
      </c>
      <c r="P32" s="605">
        <f>SUMIF($Z$28:$Z$28,"landbouw",P28:P28)</f>
        <v>68862.857142857145</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28355.294117647059</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40507.563025210089</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23767.620885000229</v>
      </c>
      <c r="C4" s="455">
        <f>huishoudens!C8</f>
        <v>0</v>
      </c>
      <c r="D4" s="455">
        <f>huishoudens!D8</f>
        <v>52361.738105008983</v>
      </c>
      <c r="E4" s="455">
        <f>huishoudens!E8</f>
        <v>12003.13268113565</v>
      </c>
      <c r="F4" s="455">
        <f>huishoudens!F8</f>
        <v>6947.9381674561755</v>
      </c>
      <c r="G4" s="455">
        <f>huishoudens!G8</f>
        <v>0</v>
      </c>
      <c r="H4" s="455">
        <f>huishoudens!H8</f>
        <v>0</v>
      </c>
      <c r="I4" s="455">
        <f>huishoudens!I8</f>
        <v>0</v>
      </c>
      <c r="J4" s="455">
        <f>huishoudens!J8</f>
        <v>744.30990138282698</v>
      </c>
      <c r="K4" s="455">
        <f>huishoudens!K8</f>
        <v>0</v>
      </c>
      <c r="L4" s="455">
        <f>huishoudens!L8</f>
        <v>0</v>
      </c>
      <c r="M4" s="455">
        <f>huishoudens!M8</f>
        <v>0</v>
      </c>
      <c r="N4" s="455">
        <f>huishoudens!N8</f>
        <v>22351.98815689368</v>
      </c>
      <c r="O4" s="455">
        <f>huishoudens!O8</f>
        <v>472.18205621411357</v>
      </c>
      <c r="P4" s="456">
        <f>huishoudens!P8</f>
        <v>326.5527385382357</v>
      </c>
      <c r="Q4" s="457">
        <f>SUM(B4:P4)</f>
        <v>118975.46269162989</v>
      </c>
    </row>
    <row r="5" spans="1:17">
      <c r="A5" s="454" t="s">
        <v>155</v>
      </c>
      <c r="B5" s="455">
        <f ca="1">tertiair!B16</f>
        <v>10647.61973552672</v>
      </c>
      <c r="C5" s="455">
        <f ca="1">tertiair!C16</f>
        <v>0</v>
      </c>
      <c r="D5" s="455">
        <f ca="1">tertiair!D16</f>
        <v>14097.255840470523</v>
      </c>
      <c r="E5" s="455">
        <f>tertiair!E16</f>
        <v>43.028928356582163</v>
      </c>
      <c r="F5" s="455">
        <f ca="1">tertiair!F16</f>
        <v>1834.8986533416889</v>
      </c>
      <c r="G5" s="455">
        <f>tertiair!G16</f>
        <v>0</v>
      </c>
      <c r="H5" s="455">
        <f>tertiair!H16</f>
        <v>0</v>
      </c>
      <c r="I5" s="455">
        <f>tertiair!I16</f>
        <v>0</v>
      </c>
      <c r="J5" s="455">
        <f>tertiair!J16</f>
        <v>1.6437642888896369E-2</v>
      </c>
      <c r="K5" s="455">
        <f>tertiair!K16</f>
        <v>0</v>
      </c>
      <c r="L5" s="455">
        <f ca="1">tertiair!L16</f>
        <v>0</v>
      </c>
      <c r="M5" s="455">
        <f>tertiair!M16</f>
        <v>0</v>
      </c>
      <c r="N5" s="455">
        <f ca="1">tertiair!N16</f>
        <v>603.17940575195439</v>
      </c>
      <c r="O5" s="455">
        <f>tertiair!O16</f>
        <v>19.589043063364617</v>
      </c>
      <c r="P5" s="456">
        <f>tertiair!P16</f>
        <v>105.07827661299004</v>
      </c>
      <c r="Q5" s="454">
        <f t="shared" ref="Q5:Q14" ca="1" si="0">SUM(B5:P5)</f>
        <v>27350.666320766712</v>
      </c>
    </row>
    <row r="6" spans="1:17">
      <c r="A6" s="454" t="s">
        <v>193</v>
      </c>
      <c r="B6" s="455">
        <f>'openbare verlichting'!B8</f>
        <v>747.08600000000001</v>
      </c>
      <c r="C6" s="455"/>
      <c r="D6" s="455"/>
      <c r="E6" s="455"/>
      <c r="F6" s="455"/>
      <c r="G6" s="455"/>
      <c r="H6" s="455"/>
      <c r="I6" s="455"/>
      <c r="J6" s="455"/>
      <c r="K6" s="455"/>
      <c r="L6" s="455"/>
      <c r="M6" s="455"/>
      <c r="N6" s="455"/>
      <c r="O6" s="455"/>
      <c r="P6" s="456"/>
      <c r="Q6" s="454">
        <f t="shared" si="0"/>
        <v>747.08600000000001</v>
      </c>
    </row>
    <row r="7" spans="1:17">
      <c r="A7" s="454" t="s">
        <v>111</v>
      </c>
      <c r="B7" s="455">
        <f>landbouw!B8</f>
        <v>3173.3712184896303</v>
      </c>
      <c r="C7" s="455">
        <f>landbouw!C8</f>
        <v>34431.428571428572</v>
      </c>
      <c r="D7" s="455">
        <f>landbouw!D8</f>
        <v>0</v>
      </c>
      <c r="E7" s="455">
        <f>landbouw!E8</f>
        <v>118.34471938760424</v>
      </c>
      <c r="F7" s="455">
        <f>landbouw!F8</f>
        <v>10295.642471687705</v>
      </c>
      <c r="G7" s="455">
        <f>landbouw!G8</f>
        <v>0</v>
      </c>
      <c r="H7" s="455">
        <f>landbouw!H8</f>
        <v>0</v>
      </c>
      <c r="I7" s="455">
        <f>landbouw!I8</f>
        <v>0</v>
      </c>
      <c r="J7" s="455">
        <f>landbouw!J8</f>
        <v>833.02561149253404</v>
      </c>
      <c r="K7" s="455">
        <f>landbouw!K8</f>
        <v>0</v>
      </c>
      <c r="L7" s="455">
        <f>landbouw!L8</f>
        <v>0</v>
      </c>
      <c r="M7" s="455">
        <f>landbouw!M8</f>
        <v>0</v>
      </c>
      <c r="N7" s="455">
        <f>landbouw!N8</f>
        <v>0</v>
      </c>
      <c r="O7" s="455">
        <f>landbouw!O8</f>
        <v>0</v>
      </c>
      <c r="P7" s="456">
        <f>landbouw!P8</f>
        <v>0</v>
      </c>
      <c r="Q7" s="454">
        <f t="shared" si="0"/>
        <v>48851.812592486043</v>
      </c>
    </row>
    <row r="8" spans="1:17">
      <c r="A8" s="454" t="s">
        <v>626</v>
      </c>
      <c r="B8" s="455">
        <f>industrie!B18</f>
        <v>9520.0851845906072</v>
      </c>
      <c r="C8" s="455">
        <f>industrie!C18</f>
        <v>0</v>
      </c>
      <c r="D8" s="455">
        <f>industrie!D18</f>
        <v>88926.318061719066</v>
      </c>
      <c r="E8" s="455">
        <f>industrie!E18</f>
        <v>22.264280021131547</v>
      </c>
      <c r="F8" s="455">
        <f>industrie!F18</f>
        <v>1038.5532272669677</v>
      </c>
      <c r="G8" s="455">
        <f>industrie!G18</f>
        <v>0</v>
      </c>
      <c r="H8" s="455">
        <f>industrie!H18</f>
        <v>0</v>
      </c>
      <c r="I8" s="455">
        <f>industrie!I18</f>
        <v>0</v>
      </c>
      <c r="J8" s="455">
        <f>industrie!J18</f>
        <v>0.7333576109275951</v>
      </c>
      <c r="K8" s="455">
        <f>industrie!K18</f>
        <v>0</v>
      </c>
      <c r="L8" s="455">
        <f>industrie!L18</f>
        <v>0</v>
      </c>
      <c r="M8" s="455">
        <f>industrie!M18</f>
        <v>0</v>
      </c>
      <c r="N8" s="455">
        <f>industrie!N18</f>
        <v>307.42047073838131</v>
      </c>
      <c r="O8" s="455">
        <f>industrie!O18</f>
        <v>0</v>
      </c>
      <c r="P8" s="456">
        <f>industrie!P18</f>
        <v>0</v>
      </c>
      <c r="Q8" s="454">
        <f t="shared" si="0"/>
        <v>99815.374581947064</v>
      </c>
    </row>
    <row r="9" spans="1:17" s="460" customFormat="1">
      <c r="A9" s="458" t="s">
        <v>552</v>
      </c>
      <c r="B9" s="459">
        <f>transport!B14</f>
        <v>41.767391341276955</v>
      </c>
      <c r="C9" s="459">
        <f>transport!C14</f>
        <v>0</v>
      </c>
      <c r="D9" s="459">
        <f>transport!D14</f>
        <v>185.92641377175661</v>
      </c>
      <c r="E9" s="459">
        <f>transport!E14</f>
        <v>98.734249547404502</v>
      </c>
      <c r="F9" s="459">
        <f>transport!F14</f>
        <v>0</v>
      </c>
      <c r="G9" s="459">
        <f>transport!G14</f>
        <v>41683.158960050459</v>
      </c>
      <c r="H9" s="459">
        <f>transport!H14</f>
        <v>11817.43778021825</v>
      </c>
      <c r="I9" s="459">
        <f>transport!I14</f>
        <v>0</v>
      </c>
      <c r="J9" s="459">
        <f>transport!J14</f>
        <v>0</v>
      </c>
      <c r="K9" s="459">
        <f>transport!K14</f>
        <v>0</v>
      </c>
      <c r="L9" s="459">
        <f>transport!L14</f>
        <v>0</v>
      </c>
      <c r="M9" s="459">
        <f>transport!M14</f>
        <v>3168.3297408314666</v>
      </c>
      <c r="N9" s="459">
        <f>transport!N14</f>
        <v>0</v>
      </c>
      <c r="O9" s="459">
        <f>transport!O14</f>
        <v>0</v>
      </c>
      <c r="P9" s="459">
        <f>transport!P14</f>
        <v>0</v>
      </c>
      <c r="Q9" s="458">
        <f>SUM(B9:P9)</f>
        <v>56995.354535760613</v>
      </c>
    </row>
    <row r="10" spans="1:17">
      <c r="A10" s="454" t="s">
        <v>542</v>
      </c>
      <c r="B10" s="455">
        <f>transport!B54</f>
        <v>0</v>
      </c>
      <c r="C10" s="455">
        <f>transport!C54</f>
        <v>0</v>
      </c>
      <c r="D10" s="455">
        <f>transport!D54</f>
        <v>0</v>
      </c>
      <c r="E10" s="455">
        <f>transport!E54</f>
        <v>0</v>
      </c>
      <c r="F10" s="455">
        <f>transport!F54</f>
        <v>0</v>
      </c>
      <c r="G10" s="455">
        <f>transport!G54</f>
        <v>1048.2907044426995</v>
      </c>
      <c r="H10" s="455">
        <f>transport!H54</f>
        <v>0</v>
      </c>
      <c r="I10" s="455">
        <f>transport!I54</f>
        <v>0</v>
      </c>
      <c r="J10" s="455">
        <f>transport!J54</f>
        <v>0</v>
      </c>
      <c r="K10" s="455">
        <f>transport!K54</f>
        <v>0</v>
      </c>
      <c r="L10" s="455">
        <f>transport!L54</f>
        <v>0</v>
      </c>
      <c r="M10" s="455">
        <f>transport!M54</f>
        <v>56.886224255385024</v>
      </c>
      <c r="N10" s="455">
        <f>transport!N54</f>
        <v>0</v>
      </c>
      <c r="O10" s="455">
        <f>transport!O54</f>
        <v>0</v>
      </c>
      <c r="P10" s="456">
        <f>transport!P54</f>
        <v>0</v>
      </c>
      <c r="Q10" s="454">
        <f t="shared" si="0"/>
        <v>1105.1769286980846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623.05144863221005</v>
      </c>
      <c r="C14" s="462"/>
      <c r="D14" s="462">
        <f>'SEAP template'!E25</f>
        <v>1280.50001068748</v>
      </c>
      <c r="E14" s="462"/>
      <c r="F14" s="462"/>
      <c r="G14" s="462"/>
      <c r="H14" s="462"/>
      <c r="I14" s="462"/>
      <c r="J14" s="462"/>
      <c r="K14" s="462"/>
      <c r="L14" s="462"/>
      <c r="M14" s="462"/>
      <c r="N14" s="462"/>
      <c r="O14" s="462"/>
      <c r="P14" s="463"/>
      <c r="Q14" s="454">
        <f t="shared" si="0"/>
        <v>1903.5514593196899</v>
      </c>
    </row>
    <row r="15" spans="1:17" s="466" customFormat="1">
      <c r="A15" s="464" t="s">
        <v>546</v>
      </c>
      <c r="B15" s="465">
        <f ca="1">SUM(B4:B14)</f>
        <v>48520.601863580683</v>
      </c>
      <c r="C15" s="465">
        <f t="shared" ref="C15:Q15" ca="1" si="1">SUM(C4:C14)</f>
        <v>34431.428571428572</v>
      </c>
      <c r="D15" s="465">
        <f t="shared" ca="1" si="1"/>
        <v>156851.73843165781</v>
      </c>
      <c r="E15" s="465">
        <f t="shared" si="1"/>
        <v>12285.504858448372</v>
      </c>
      <c r="F15" s="465">
        <f t="shared" ca="1" si="1"/>
        <v>20117.032519752534</v>
      </c>
      <c r="G15" s="465">
        <f t="shared" si="1"/>
        <v>42731.449664493157</v>
      </c>
      <c r="H15" s="465">
        <f t="shared" si="1"/>
        <v>11817.43778021825</v>
      </c>
      <c r="I15" s="465">
        <f t="shared" si="1"/>
        <v>0</v>
      </c>
      <c r="J15" s="465">
        <f t="shared" si="1"/>
        <v>1578.0853081291775</v>
      </c>
      <c r="K15" s="465">
        <f t="shared" si="1"/>
        <v>0</v>
      </c>
      <c r="L15" s="465">
        <f t="shared" ca="1" si="1"/>
        <v>0</v>
      </c>
      <c r="M15" s="465">
        <f t="shared" si="1"/>
        <v>3225.2159650868516</v>
      </c>
      <c r="N15" s="465">
        <f t="shared" ca="1" si="1"/>
        <v>23262.588033384014</v>
      </c>
      <c r="O15" s="465">
        <f t="shared" si="1"/>
        <v>491.77109927747819</v>
      </c>
      <c r="P15" s="465">
        <f t="shared" si="1"/>
        <v>431.63101515122571</v>
      </c>
      <c r="Q15" s="465">
        <f t="shared" ca="1" si="1"/>
        <v>355744.4851106081</v>
      </c>
    </row>
    <row r="17" spans="1:17">
      <c r="A17" s="467" t="s">
        <v>547</v>
      </c>
      <c r="B17" s="784">
        <f ca="1">huishoudens!B10</f>
        <v>0.19790194746121464</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4703.6584596613829</v>
      </c>
      <c r="C22" s="455">
        <f t="shared" ref="C22:C32" ca="1" si="3">C4*$C$17</f>
        <v>0</v>
      </c>
      <c r="D22" s="455">
        <f t="shared" ref="D22:D32" si="4">D4*$D$17</f>
        <v>10577.071097211816</v>
      </c>
      <c r="E22" s="455">
        <f t="shared" ref="E22:E32" si="5">E4*$E$17</f>
        <v>2724.7111186177926</v>
      </c>
      <c r="F22" s="455">
        <f t="shared" ref="F22:F32" si="6">F4*$F$17</f>
        <v>1855.099490710799</v>
      </c>
      <c r="G22" s="455">
        <f t="shared" ref="G22:G32" si="7">G4*$G$17</f>
        <v>0</v>
      </c>
      <c r="H22" s="455">
        <f t="shared" ref="H22:H32" si="8">H4*$H$17</f>
        <v>0</v>
      </c>
      <c r="I22" s="455">
        <f t="shared" ref="I22:I32" si="9">I4*$I$17</f>
        <v>0</v>
      </c>
      <c r="J22" s="455">
        <f t="shared" ref="J22:J32" si="10">J4*$J$17</f>
        <v>263.48570508952076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20124.025871291313</v>
      </c>
    </row>
    <row r="23" spans="1:17">
      <c r="A23" s="454" t="s">
        <v>155</v>
      </c>
      <c r="B23" s="455">
        <f t="shared" ca="1" si="2"/>
        <v>2107.184681487201</v>
      </c>
      <c r="C23" s="455">
        <f t="shared" ca="1" si="3"/>
        <v>0</v>
      </c>
      <c r="D23" s="455">
        <f t="shared" ca="1" si="4"/>
        <v>2847.6456797750457</v>
      </c>
      <c r="E23" s="455">
        <f t="shared" si="5"/>
        <v>9.7675667369441506</v>
      </c>
      <c r="F23" s="455">
        <f t="shared" ca="1" si="6"/>
        <v>489.91794044223099</v>
      </c>
      <c r="G23" s="455">
        <f t="shared" si="7"/>
        <v>0</v>
      </c>
      <c r="H23" s="455">
        <f t="shared" si="8"/>
        <v>0</v>
      </c>
      <c r="I23" s="455">
        <f t="shared" si="9"/>
        <v>0</v>
      </c>
      <c r="J23" s="455">
        <f t="shared" si="10"/>
        <v>5.8189255826693138E-3</v>
      </c>
      <c r="K23" s="455">
        <f t="shared" si="11"/>
        <v>0</v>
      </c>
      <c r="L23" s="455">
        <f t="shared" ca="1" si="12"/>
        <v>0</v>
      </c>
      <c r="M23" s="455">
        <f t="shared" si="13"/>
        <v>0</v>
      </c>
      <c r="N23" s="455">
        <f t="shared" ca="1" si="14"/>
        <v>0</v>
      </c>
      <c r="O23" s="455">
        <f t="shared" si="15"/>
        <v>0</v>
      </c>
      <c r="P23" s="456">
        <f t="shared" si="16"/>
        <v>0</v>
      </c>
      <c r="Q23" s="454">
        <f t="shared" ref="Q23:Q31" ca="1" si="17">SUM(B23:P23)</f>
        <v>5454.5216873670042</v>
      </c>
    </row>
    <row r="24" spans="1:17">
      <c r="A24" s="454" t="s">
        <v>193</v>
      </c>
      <c r="B24" s="455">
        <f t="shared" ca="1" si="2"/>
        <v>147.84977432100899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147.84977432100899</v>
      </c>
    </row>
    <row r="25" spans="1:17">
      <c r="A25" s="454" t="s">
        <v>111</v>
      </c>
      <c r="B25" s="455">
        <f t="shared" ca="1" si="2"/>
        <v>628.01634415646549</v>
      </c>
      <c r="C25" s="455">
        <f t="shared" ca="1" si="3"/>
        <v>8182.5277310924375</v>
      </c>
      <c r="D25" s="455">
        <f t="shared" si="4"/>
        <v>0</v>
      </c>
      <c r="E25" s="455">
        <f t="shared" si="5"/>
        <v>26.864251300986165</v>
      </c>
      <c r="F25" s="455">
        <f t="shared" si="6"/>
        <v>2748.9365399406174</v>
      </c>
      <c r="G25" s="455">
        <f t="shared" si="7"/>
        <v>0</v>
      </c>
      <c r="H25" s="455">
        <f t="shared" si="8"/>
        <v>0</v>
      </c>
      <c r="I25" s="455">
        <f t="shared" si="9"/>
        <v>0</v>
      </c>
      <c r="J25" s="455">
        <f t="shared" si="10"/>
        <v>294.89106646835705</v>
      </c>
      <c r="K25" s="455">
        <f t="shared" si="11"/>
        <v>0</v>
      </c>
      <c r="L25" s="455">
        <f t="shared" si="12"/>
        <v>0</v>
      </c>
      <c r="M25" s="455">
        <f t="shared" si="13"/>
        <v>0</v>
      </c>
      <c r="N25" s="455">
        <f t="shared" si="14"/>
        <v>0</v>
      </c>
      <c r="O25" s="455">
        <f t="shared" si="15"/>
        <v>0</v>
      </c>
      <c r="P25" s="456">
        <f t="shared" si="16"/>
        <v>0</v>
      </c>
      <c r="Q25" s="454">
        <f t="shared" ca="1" si="17"/>
        <v>11881.235932958863</v>
      </c>
    </row>
    <row r="26" spans="1:17">
      <c r="A26" s="454" t="s">
        <v>626</v>
      </c>
      <c r="B26" s="455">
        <f t="shared" ca="1" si="2"/>
        <v>1884.0433980271382</v>
      </c>
      <c r="C26" s="455">
        <f t="shared" ca="1" si="3"/>
        <v>0</v>
      </c>
      <c r="D26" s="455">
        <f t="shared" si="4"/>
        <v>17963.116248467253</v>
      </c>
      <c r="E26" s="455">
        <f t="shared" si="5"/>
        <v>5.0539915647968616</v>
      </c>
      <c r="F26" s="455">
        <f t="shared" si="6"/>
        <v>277.29371168028041</v>
      </c>
      <c r="G26" s="455">
        <f t="shared" si="7"/>
        <v>0</v>
      </c>
      <c r="H26" s="455">
        <f t="shared" si="8"/>
        <v>0</v>
      </c>
      <c r="I26" s="455">
        <f t="shared" si="9"/>
        <v>0</v>
      </c>
      <c r="J26" s="455">
        <f t="shared" si="10"/>
        <v>0.25960859426836863</v>
      </c>
      <c r="K26" s="455">
        <f t="shared" si="11"/>
        <v>0</v>
      </c>
      <c r="L26" s="455">
        <f t="shared" si="12"/>
        <v>0</v>
      </c>
      <c r="M26" s="455">
        <f t="shared" si="13"/>
        <v>0</v>
      </c>
      <c r="N26" s="455">
        <f t="shared" si="14"/>
        <v>0</v>
      </c>
      <c r="O26" s="455">
        <f t="shared" si="15"/>
        <v>0</v>
      </c>
      <c r="P26" s="456">
        <f t="shared" si="16"/>
        <v>0</v>
      </c>
      <c r="Q26" s="454">
        <f t="shared" ca="1" si="17"/>
        <v>20129.766958333734</v>
      </c>
    </row>
    <row r="27" spans="1:17" s="460" customFormat="1">
      <c r="A27" s="458" t="s">
        <v>552</v>
      </c>
      <c r="B27" s="778">
        <f t="shared" ca="1" si="2"/>
        <v>8.2658480868133832</v>
      </c>
      <c r="C27" s="459">
        <f t="shared" ca="1" si="3"/>
        <v>0</v>
      </c>
      <c r="D27" s="459">
        <f t="shared" si="4"/>
        <v>37.55713558189484</v>
      </c>
      <c r="E27" s="459">
        <f t="shared" si="5"/>
        <v>22.412674647260822</v>
      </c>
      <c r="F27" s="459">
        <f t="shared" si="6"/>
        <v>0</v>
      </c>
      <c r="G27" s="459">
        <f t="shared" si="7"/>
        <v>11129.403442333472</v>
      </c>
      <c r="H27" s="459">
        <f t="shared" si="8"/>
        <v>2942.5420072743441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14140.181107923785</v>
      </c>
    </row>
    <row r="28" spans="1:17" ht="16.5" customHeight="1">
      <c r="A28" s="454" t="s">
        <v>542</v>
      </c>
      <c r="B28" s="455">
        <f t="shared" ca="1" si="2"/>
        <v>0</v>
      </c>
      <c r="C28" s="455">
        <f t="shared" ca="1" si="3"/>
        <v>0</v>
      </c>
      <c r="D28" s="455">
        <f t="shared" si="4"/>
        <v>0</v>
      </c>
      <c r="E28" s="455">
        <f t="shared" si="5"/>
        <v>0</v>
      </c>
      <c r="F28" s="455">
        <f t="shared" si="6"/>
        <v>0</v>
      </c>
      <c r="G28" s="455">
        <f t="shared" si="7"/>
        <v>279.89361808620077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279.89361808620077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123.30309505284531</v>
      </c>
      <c r="C32" s="455">
        <f t="shared" ca="1" si="3"/>
        <v>0</v>
      </c>
      <c r="D32" s="455">
        <f t="shared" si="4"/>
        <v>258.66100215887099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381.96409721171631</v>
      </c>
    </row>
    <row r="33" spans="1:17" s="466" customFormat="1">
      <c r="A33" s="464" t="s">
        <v>546</v>
      </c>
      <c r="B33" s="465">
        <f ca="1">SUM(B22:B32)</f>
        <v>9602.321600792855</v>
      </c>
      <c r="C33" s="465">
        <f t="shared" ref="C33:Q33" ca="1" si="19">SUM(C22:C32)</f>
        <v>8182.5277310924375</v>
      </c>
      <c r="D33" s="465">
        <f t="shared" ca="1" si="19"/>
        <v>31684.051163194879</v>
      </c>
      <c r="E33" s="465">
        <f t="shared" si="19"/>
        <v>2788.8096028677805</v>
      </c>
      <c r="F33" s="465">
        <f t="shared" ca="1" si="19"/>
        <v>5371.2476827739283</v>
      </c>
      <c r="G33" s="465">
        <f t="shared" si="19"/>
        <v>11409.297060419673</v>
      </c>
      <c r="H33" s="465">
        <f t="shared" si="19"/>
        <v>2942.5420072743441</v>
      </c>
      <c r="I33" s="465">
        <f t="shared" si="19"/>
        <v>0</v>
      </c>
      <c r="J33" s="465">
        <f t="shared" si="19"/>
        <v>558.64219907772883</v>
      </c>
      <c r="K33" s="465">
        <f t="shared" si="19"/>
        <v>0</v>
      </c>
      <c r="L33" s="465">
        <f t="shared" ca="1" si="19"/>
        <v>0</v>
      </c>
      <c r="M33" s="465">
        <f t="shared" si="19"/>
        <v>0</v>
      </c>
      <c r="N33" s="465">
        <f t="shared" ca="1" si="19"/>
        <v>0</v>
      </c>
      <c r="O33" s="465">
        <f t="shared" si="19"/>
        <v>0</v>
      </c>
      <c r="P33" s="465">
        <f t="shared" si="19"/>
        <v>0</v>
      </c>
      <c r="Q33" s="465">
        <f t="shared" ca="1" si="19"/>
        <v>72539.439047493637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6886.6915059872354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24102</v>
      </c>
      <c r="D8" s="1026">
        <f>'SEAP template'!D76</f>
        <v>28355.294117647059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5727.7694117647061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6886.6915059872354</v>
      </c>
      <c r="C10" s="1028">
        <f>SUM(C4:C9)</f>
        <v>24102</v>
      </c>
      <c r="D10" s="1028">
        <f t="shared" ref="D10:H10" si="0">SUM(D8:D9)</f>
        <v>28355.294117647059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5727.7694117647061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0.19790194746121464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34431.428571428572</v>
      </c>
      <c r="D17" s="1027">
        <f>'SEAP template'!D87</f>
        <v>40507.563025210089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8182.5277310924384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34431.428571428572</v>
      </c>
      <c r="D20" s="1028">
        <f t="shared" ref="D20:H20" si="2">SUM(D17:D19)</f>
        <v>40507.563025210089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8182.5277310924384</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0.19790194746121464</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2020-06-20T15:22:41Z</dcterms:modified>
</cp:coreProperties>
</file>