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I9" i="18" s="1"/>
  <c r="I77" i="14" s="1"/>
  <c r="I9" i="59" s="1"/>
  <c r="T37" i="18"/>
  <c r="S37" i="18"/>
  <c r="E9" i="18" s="1"/>
  <c r="F77" i="14" s="1"/>
  <c r="F9" i="59" s="1"/>
  <c r="R37" i="18"/>
  <c r="Q37" i="18"/>
  <c r="P37" i="18"/>
  <c r="O37" i="18"/>
  <c r="N37" i="18"/>
  <c r="B9" i="18" s="1"/>
  <c r="M37" i="18"/>
  <c r="W33" i="18"/>
  <c r="V33" i="18"/>
  <c r="U33" i="18"/>
  <c r="T33" i="18"/>
  <c r="L6" i="17" s="1"/>
  <c r="L5" i="17" s="1"/>
  <c r="S33" i="18"/>
  <c r="F6" i="17" s="1"/>
  <c r="R33" i="18"/>
  <c r="Q33" i="18"/>
  <c r="P33" i="18"/>
  <c r="O33" i="18"/>
  <c r="N33" i="18"/>
  <c r="M33" i="18"/>
  <c r="W32" i="18"/>
  <c r="V32" i="18"/>
  <c r="U32" i="18"/>
  <c r="T32" i="18"/>
  <c r="S32" i="18"/>
  <c r="R32" i="18"/>
  <c r="Q32" i="18"/>
  <c r="P32" i="18"/>
  <c r="O32" i="18"/>
  <c r="C13" i="15" s="1"/>
  <c r="N32" i="18"/>
  <c r="B13" i="15" s="1"/>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7" i="49"/>
  <c r="C22" i="59"/>
  <c r="C29" i="20"/>
  <c r="C56" i="22"/>
  <c r="C58" i="22" s="1"/>
  <c r="D49" i="14" s="1"/>
  <c r="D52" i="14" s="1"/>
  <c r="C20" i="16"/>
  <c r="C22" i="16" s="1"/>
  <c r="D43" i="14" s="1"/>
  <c r="C10" i="17"/>
  <c r="C12" i="17" s="1"/>
  <c r="D54" i="14" s="1"/>
  <c r="D56" i="14" s="1"/>
  <c r="C18" i="15"/>
  <c r="C20" i="15" s="1"/>
  <c r="D40" i="14" s="1"/>
  <c r="C10" i="13"/>
  <c r="C12" i="13" s="1"/>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<sst xmlns="http://schemas.openxmlformats.org/spreadsheetml/2006/main" count="2393" uniqueCount="880">
  <si>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</si>
  <si>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</si>
  <si>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</si>
  <si>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</si>
  <si>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</si>
  <si>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</si>
  <si>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</si>
  <si>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</si>
  <si>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</si>
  <si>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</si>
  <si>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</si>
  <si>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</si>
  <si>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</si>
  <si>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</si>
  <si>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</si>
  <si>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</si>
  <si>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</si>
  <si>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</si>
  <si>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</si>
  <si>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</si>
  <si>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</si>
  <si>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</si>
  <si>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</si>
  <si>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</si>
  <si>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</si>
  <si>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</si>
  <si>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</si>
  <si>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</si>
  <si>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</si>
  <si>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</si>
  <si>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</si>
  <si>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</si>
  <si>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</si>
  <si>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</si>
  <si>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</si>
  <si>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</si>
  <si>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</si>
  <si>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</si>
  <si>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</si>
  <si>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</si>
  <si>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</si>
  <si>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</si>
  <si>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</si>
  <si>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</si>
  <si>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</si>
  <si>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</si>
  <si>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</si>
  <si>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</si>
  <si>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</si>
  <si>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</si>
  <si>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</si>
  <si>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</si>
  <si>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</si>
  <si>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</si>
  <si>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</si>
  <si>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</si>
  <si>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</si>
  <si>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</si>
  <si>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</si>
  <si>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</si>
  <si>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</si>
  <si>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</si>
  <si>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</si>
  <si>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</si>
  <si>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</si>
  <si>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</si>
  <si>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</si>
  <si>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</si>
  <si>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</si>
  <si>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</si>
  <si>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</si>
  <si>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</si>
  <si>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</si>
  <si>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</si>
  <si>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</si>
  <si>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</si>
  <si>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</si>
  <si>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</si>
  <si>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</si>
  <si>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</si>
  <si>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</si>
  <si>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</si>
  <si>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</si>
  <si>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</si>
  <si>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</si>
  <si>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</si>
  <si>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</si>
  <si>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</si>
  <si>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</si>
  <si>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</si>
  <si>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</si>
  <si>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</si>
  <si>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</si>
  <si>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</si>
  <si>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</si>
  <si>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</si>
  <si>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</si>
  <si>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</si>
  <si>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</si>
  <si>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</si>
  <si>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</si>
  <si>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</si>
  <si>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</si>
  <si>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</si>
  <si>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</si>
  <si>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</si>
  <si>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</si>
  <si>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</si>
  <si>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</si>
  <si>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</si>
  <si>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</si>
  <si>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</si>
  <si>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</si>
  <si>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</si>
  <si>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</si>
  <si>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</si>
  <si>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</si>
  <si>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</si>
  <si>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</si>
  <si>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</si>
  <si>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</si>
  <si>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</si>
  <si>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</si>
  <si>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</si>
  <si>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</si>
  <si>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</si>
  <si>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</si>
  <si>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</si>
  <si>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</si>
  <si>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</si>
  <si>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</si>
  <si>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</si>
  <si>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</si>
  <si>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</si>
  <si>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</si>
  <si>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</si>
  <si>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</si>
  <si>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</si>
  <si>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</si>
  <si>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</si>
  <si>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</si>
  <si>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</si>
  <si>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</si>
  <si>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</si>
  <si>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</si>
  <si>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</si>
  <si>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</si>
  <si>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</si>
  <si>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</si>
  <si>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</si>
  <si>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</si>
  <si>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</si>
  <si>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</si>
  <si>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</si>
  <si>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</si>
  <si>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</si>
  <si>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</si>
  <si>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</si>
  <si>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</si>
  <si>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</si>
  <si>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</si>
  <si>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</si>
  <si>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</si>
  <si>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</si>
  <si>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</si>
  <si>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</si>
  <si>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</si>
  <si>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</si>
  <si>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</si>
  <si>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</si>
  <si>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</si>
  <si>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</si>
  <si>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</si>
  <si>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</si>
  <si>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</si>
  <si>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</si>
  <si>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</si>
  <si>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</si>
  <si>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</si>
  <si>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</si>
  <si>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</si>
  <si>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</si>
  <si>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</si>
  <si>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</si>
  <si>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</si>
  <si>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</si>
  <si>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</si>
  <si>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</si>
  <si>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</si>
  <si>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</si>
  <si>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</si>
  <si>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</si>
  <si>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</si>
  <si>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</si>
  <si>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</si>
  <si>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</si>
  <si>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</si>
  <si>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</si>
  <si>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</si>
  <si>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</si>
  <si>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</si>
  <si>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</si>
  <si>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</si>
  <si>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</si>
  <si>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</si>
  <si>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</si>
  <si>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</si>
  <si>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</si>
  <si>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</si>
  <si>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</si>
  <si>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</si>
  <si>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</si>
  <si>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</si>
  <si>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</si>
  <si>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</si>
  <si>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</si>
  <si>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</si>
  <si>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</si>
  <si>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</si>
  <si>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</si>
  <si>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</si>
  <si>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</si>
  <si>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</si>
  <si>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</si>
  <si>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</si>
  <si>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</si>
  <si>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</si>
  <si>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</si>
  <si>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</si>
  <si>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</si>
  <si>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</si>
  <si>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</si>
  <si>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</si>
  <si>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</si>
  <si>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</si>
  <si>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</si>
  <si>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</si>
  <si>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</si>
  <si>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</si>
  <si>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</si>
  <si>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</si>
  <si>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</si>
  <si>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</si>
  <si>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</si>
  <si>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</si>
  <si>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</si>
  <si>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</si>
  <si>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</si>
  <si>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</si>
  <si>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</si>
  <si>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</si>
  <si>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</si>
  <si>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</si>
  <si>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</si>
  <si>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</si>
  <si>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</si>
  <si>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</si>
  <si>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</si>
  <si>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</si>
  <si>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</si>
  <si>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</si>
  <si>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</si>
  <si>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</si>
  <si>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</si>
  <si>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</si>
  <si>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</si>
  <si>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</si>
  <si>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</si>
  <si>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</si>
  <si>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</si>
  <si>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</si>
  <si>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</si>
  <si>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</si>
  <si>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</si>
  <si>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</si>
  <si>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</si>
  <si>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</si>
  <si>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</si>
  <si>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</si>
  <si>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</si>
  <si>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</si>
  <si>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</si>
  <si>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</si>
  <si>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</si>
  <si>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</si>
  <si>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</si>
  <si>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</si>
  <si>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</si>
  <si>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</si>
  <si>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</si>
  <si>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</si>
  <si>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</si>
  <si>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</si>
  <si>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</si>
  <si>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</si>
  <si>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</si>
  <si>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</si>
  <si>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</si>
  <si>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</si>
  <si>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</si>
  <si>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</si>
  <si>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</si>
  <si>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</si>
  <si>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</si>
  <si>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</si>
  <si>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</si>
  <si>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</si>
  <si>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</si>
  <si>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</si>
  <si>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</si>
  <si>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</si>
  <si>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</si>
  <si>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</si>
  <si>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</si>
  <si>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</si>
  <si>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</si>
  <si>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</si>
  <si>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</si>
  <si>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</si>
  <si>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</si>
  <si>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</si>
  <si>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</si>
  <si>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</si>
  <si>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</si>
  <si>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</si>
  <si>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</si>
  <si>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</si>
  <si>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</si>
  <si>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</si>
  <si>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</si>
  <si>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</si>
  <si>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</si>
  <si>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</si>
  <si>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</si>
  <si>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</si>
  <si>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</si>
  <si>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</si>
  <si>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</si>
  <si>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</si>
  <si>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</si>
  <si>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</si>
  <si>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</si>
  <si>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</si>
  <si>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</si>
  <si>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</si>
  <si>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</si>
  <si>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</si>
  <si>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</si>
  <si>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</si>
  <si>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</si>
  <si>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</si>
  <si>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</si>
  <si>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</si>
  <si>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</si>
  <si>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</si>
  <si>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</si>
  <si>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</si>
  <si>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</si>
  <si>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</si>
  <si>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</si>
  <si>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</si>
  <si>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</si>
  <si>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</si>
  <si>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</si>
  <si>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</si>
  <si>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</si>
  <si>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</si>
  <si>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</si>
  <si>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</si>
  <si>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</si>
  <si>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</si>
  <si>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</si>
  <si>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</si>
  <si>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</si>
  <si>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</si>
  <si>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</si>
  <si>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</si>
  <si>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</si>
  <si>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</si>
  <si>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</si>
  <si>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</si>
  <si>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</si>
  <si>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</si>
  <si>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</si>
  <si>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</si>
  <si>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</si>
  <si>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</si>
  <si>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</si>
  <si>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</si>
  <si>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</si>
  <si>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</si>
  <si>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</si>
  <si>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</si>
  <si>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</si>
  <si>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</si>
  <si>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</si>
  <si>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</si>
  <si>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</si>
  <si>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</si>
  <si>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</si>
  <si>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</si>
  <si>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</si>
  <si>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</si>
  <si>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</si>
  <si>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</si>
  <si>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</si>
  <si>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</si>
  <si>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</si>
  <si>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</si>
  <si>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</si>
  <si>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</si>
  <si>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</si>
  <si>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</si>
  <si>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</si>
  <si>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</si>
  <si>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</si>
  <si>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</si>
  <si>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</si>
  <si>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</si>
  <si>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</si>
  <si>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</si>
  <si>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</si>
  <si>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</si>
  <si>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</si>
  <si>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</si>
  <si>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</si>
  <si>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</si>
  <si>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</si>
  <si>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</si>
  <si>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</si>
  <si>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</si>
  <si>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</si>
  <si>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</si>
  <si>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</si>
  <si>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</si>
  <si>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</si>
  <si>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</si>
  <si>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</si>
  <si>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</si>
  <si>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</si>
  <si>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</si>
  <si>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</si>
  <si>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</si>
  <si>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</si>
  <si>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</si>
  <si>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</si>
  <si>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</si>
  <si>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</si>
  <si>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</si>
  <si>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</si>
  <si>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</si>
  <si>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</si>
  <si>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</si>
  <si>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</si>
  <si>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</si>
  <si>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</si>
  <si>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</si>
  <si>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</si>
  <si>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</si>
  <si>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</si>
  <si>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</si>
  <si>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</si>
  <si>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</si>
  <si>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</si>
  <si>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</si>
  <si>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</si>
  <si>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</si>
  <si>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</si>
  <si>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</si>
  <si>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</si>
  <si>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</si>
  <si>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</si>
  <si>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</si>
  <si>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</si>
  <si>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</si>
  <si>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</si>
  <si>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</si>
  <si>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</si>
  <si>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</si>
  <si>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</si>
  <si>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</si>
  <si>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</si>
  <si>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</si>
  <si>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</si>
  <si>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</si>
  <si>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</si>
  <si>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</si>
  <si>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</si>
  <si>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</si>
  <si>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</si>
  <si>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</si>
  <si>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</si>
  <si>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</si>
  <si>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</si>
  <si>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</si>
  <si>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</si>
  <si>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</si>
  <si>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</si>
  <si>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</si>
  <si>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</si>
  <si>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</si>
  <si>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</si>
  <si>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</si>
  <si>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</si>
  <si>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</si>
  <si>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</si>
  <si>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</si>
  <si>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</si>
  <si>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</si>
  <si>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</si>
  <si>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</si>
  <si>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</si>
  <si>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</si>
  <si>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</si>
  <si>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</si>
  <si>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</si>
  <si>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</si>
  <si>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</si>
  <si>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</si>
  <si>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</si>
  <si>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</si>
  <si>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</si>
  <si>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</si>
  <si>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</si>
  <si>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</si>
  <si>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</si>
  <si>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</si>
  <si>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</si>
  <si>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</si>
  <si>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</si>
  <si>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</si>
  <si>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</si>
  <si>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</si>
  <si>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</si>
  <si>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</si>
  <si>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</si>
  <si>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</si>
  <si>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</si>
  <si>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</si>
  <si>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</si>
  <si>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</si>
  <si>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</si>
  <si>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</si>
  <si>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</si>
  <si>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</si>
  <si>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</si>
  <si>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</si>
  <si>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</si>
  <si>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</si>
  <si>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</si>
  <si>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</si>
  <si>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</si>
  <si>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</si>
  <si>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</si>
  <si>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</si>
  <si>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</si>
  <si>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</si>
  <si>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</si>
  <si>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</si>
  <si>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</si>
  <si>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</si>
  <si>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</si>
  <si>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</si>
  <si>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</si>
  <si>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</si>
  <si>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</si>
  <si>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</si>
  <si>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</si>
  <si>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</si>
  <si>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</si>
  <si>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</si>
  <si>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</si>
  <si>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</si>
  <si>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</si>
  <si>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</si>
  <si>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</si>
  <si>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</si>
  <si>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</si>
  <si>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</si>
  <si>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</si>
  <si>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</si>
  <si>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</si>
  <si>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</si>
  <si>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</si>
  <si>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</si>
  <si>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</si>
  <si>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</si>
  <si>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</si>
  <si>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</si>
  <si>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</si>
  <si>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</si>
  <si>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</si>
  <si>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</si>
  <si>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</si>
  <si>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</si>
  <si>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</si>
  <si>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</si>
  <si>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</si>
  <si>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</si>
  <si>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</si>
  <si>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</si>
  <si>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</si>
  <si>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</si>
  <si>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</si>
  <si>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</si>
  <si>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</si>
  <si>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</si>
  <si>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</si>
  <si>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</si>
  <si>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</si>
  <si>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</si>
  <si>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</si>
  <si>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</si>
  <si>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</si>
  <si>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</si>
  <si>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</si>
  <si>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</si>
  <si>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</si>
  <si>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</si>
  <si>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</si>
  <si>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</si>
  <si>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</si>
  <si>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</si>
  <si>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</si>
  <si>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</si>
  <si>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</si>
  <si>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</si>
  <si>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</si>
  <si>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</si>
  <si>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</si>
  <si>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</si>
  <si>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</si>
  <si>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</si>
  <si>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</si>
  <si>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</si>
  <si>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</si>
  <si>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</si>
  <si>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</si>
  <si>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</si>
  <si>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</si>
  <si>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</si>
  <si>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</si>
  <si>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</si>
  <si>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</si>
  <si>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</si>
  <si>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</si>
  <si>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</si>
  <si>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</si>
  <si>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</si>
  <si>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</si>
  <si>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</si>
  <si>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</si>
  <si>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</si>
  <si>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</si>
  <si>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</si>
  <si>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</si>
  <si>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</si>
  <si>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</si>
  <si>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</si>
  <si>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</si>
  <si>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</si>
  <si>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</si>
  <si>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</si>
  <si>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</si>
  <si>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</si>
  <si>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</si>
  <si>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</si>
  <si>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</si>
  <si>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</si>
  <si>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</si>
  <si>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</si>
  <si>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</si>
  <si>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</si>
  <si>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</si>
  <si>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</si>
  <si>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</si>
  <si>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</si>
  <si>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</si>
  <si>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</si>
  <si>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</si>
  <si>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</si>
  <si>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</si>
  <si>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</si>
  <si>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</si>
  <si>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</si>
  <si>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</si>
  <si>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</si>
  <si>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</si>
  <si>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</si>
  <si>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</si>
  <si>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</si>
  <si>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</si>
  <si>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</si>
  <si>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</si>
  <si>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</si>
  <si>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</si>
  <si>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</si>
  <si>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</si>
  <si>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</si>
  <si>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</si>
  <si>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</si>
  <si>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</si>
  <si>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</si>
  <si>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</si>
  <si>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</si>
  <si>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</si>
  <si>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</si>
  <si>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</si>
  <si>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</si>
  <si>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</si>
  <si>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</si>
  <si>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</si>
  <si>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</si>
  <si>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</si>
  <si>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</si>
  <si>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</si>
  <si>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</si>
  <si>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</si>
  <si>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</si>
  <si>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</si>
  <si>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</si>
  <si>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</si>
  <si>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</si>
  <si>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</si>
  <si>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</si>
  <si>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</si>
  <si>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</si>
  <si>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</si>
  <si>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</si>
  <si>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</si>
  <si>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</si>
  <si>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</si>
  <si>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</si>
  <si>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</si>
  <si>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</si>
  <si>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</si>
  <si>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</si>
  <si>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</si>
  <si>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</si>
  <si>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</si>
  <si>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</si>
  <si>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</si>
  <si>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</si>
  <si>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</si>
  <si>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</si>
  <si>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</si>
  <si>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</si>
  <si>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</si>
  <si>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</si>
  <si>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</si>
  <si>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</si>
  <si>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</si>
  <si>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</si>
  <si>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</si>
  <si>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</si>
  <si>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</si>
  <si>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</si>
  <si>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</si>
  <si>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</si>
  <si>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</si>
  <si>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</si>
  <si>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</si>
  <si>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</si>
  <si>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</si>
  <si>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</si>
  <si>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</si>
  <si>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</si>
  <si>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</si>
  <si>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</si>
  <si>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</si>
  <si>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</si>
  <si>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</si>
  <si>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</si>
  <si>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</si>
  <si>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</si>
  <si>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</si>
  <si>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</si>
  <si>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</si>
  <si>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</si>
  <si>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</si>
  <si>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</si>
  <si>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</si>
  <si>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</si>
  <si>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</si>
  <si>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</si>
  <si>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</si>
  <si>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</si>
  <si>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</si>
  <si>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</si>
  <si>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</si>
  <si>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</si>
  <si>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</si>
  <si>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</si>
  <si>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</si>
  <si>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</si>
  <si>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</si>
  <si>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</si>
  <si>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</si>
  <si>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</si>
  <si>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</si>
  <si>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</si>
  <si>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</si>
  <si>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</si>
  <si>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</si>
  <si>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</si>
  <si>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</si>
  <si>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</si>
  <si>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</si>
  <si>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</si>
  <si>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</si>
  <si>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</si>
  <si>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</si>
  <si>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</si>
  <si>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</si>
  <si>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</si>
  <si>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</si>
  <si>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</si>
  <si>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</si>
  <si>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</si>
  <si>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</si>
  <si>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</si>
  <si>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</si>
  <si>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</si>
  <si>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</si>
  <si>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</si>
  <si>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</si>
  <si>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</si>
  <si>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</si>
  <si>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</si>
  <si>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</si>
  <si>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</si>
  <si>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</si>
  <si>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</si>
  <si>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</si>
  <si>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</si>
  <si>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</si>
  <si>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</si>
  <si>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</si>
  <si>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</si>
  <si>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</si>
  <si>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</si>
  <si>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</si>
  <si>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</si>
  <si>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</si>
  <si>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</si>
  <si>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</si>
  <si>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</si>
  <si>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</si>
  <si>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</si>
  <si>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</si>
  <si>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</si>
  <si>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</si>
  <si>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</si>
  <si>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</si>
  <si>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</si>
  <si>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</si>
  <si>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</si>
  <si>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</si>
  <si>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</si>
  <si>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</si>
  <si>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</si>
  <si>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</si>
  <si>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35005</t>
  </si>
  <si>
    <t>GISTEL</t>
  </si>
  <si>
    <t>referentietaak LNE (2017); Jaarverslag De Lijn</t>
  </si>
  <si>
    <t>De Bazelaar GCV</t>
  </si>
  <si>
    <t>Zevekotestraat 107 , 8470 Zevekote</t>
  </si>
  <si>
    <t>WKK-0461 De Bazelaar</t>
  </si>
  <si>
    <t>interne verbrandingsmotor</t>
  </si>
  <si>
    <t>WKK interne verbrandinsgmotor (gas)</t>
  </si>
  <si>
    <t>Infrax West</t>
  </si>
  <si>
    <t>Ivaco cvba</t>
  </si>
  <si>
    <t>Muizeveld 7, 8470 Gistel</t>
  </si>
  <si>
    <t>WKK-0529 Ivaco</t>
  </si>
  <si>
    <t>Bazelaar 1 , 8470 Gistel</t>
  </si>
  <si>
    <t>A.K. Gistel bvba</t>
  </si>
  <si>
    <t>Nieuwpoortse Steenweg 195 B, 8470 Gistel</t>
  </si>
  <si>
    <t>BMS-0031 A.K. Gistel Plantenolie</t>
  </si>
  <si>
    <t>biomassa uit land- of bosbouw</t>
  </si>
  <si>
    <t>niet WKK interne verbrandingsmotor (vloeibaar)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</si>
</sst>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87511.878694110987</c:v>
                </c:pt>
                <c:pt idx="1">
                  <c:v>27325.027749833407</c:v>
                </c:pt>
                <c:pt idx="2">
                  <c:v>927.27157499999998</c:v>
                </c:pt>
                <c:pt idx="3">
                  <c:v>11760.241182606884</c:v>
                </c:pt>
                <c:pt idx="4">
                  <c:v>16137.281554999816</c:v>
                </c:pt>
                <c:pt idx="5">
                  <c:v>193699.5342279438</c:v>
                </c:pt>
                <c:pt idx="6">
                  <c:v>1351.4081286297042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87511.878694110987</c:v>
                </c:pt>
                <c:pt idx="1">
                  <c:v>27325.027749833407</c:v>
                </c:pt>
                <c:pt idx="2">
                  <c:v>927.27157499999998</c:v>
                </c:pt>
                <c:pt idx="3">
                  <c:v>11760.241182606884</c:v>
                </c:pt>
                <c:pt idx="4">
                  <c:v>16137.281554999816</c:v>
                </c:pt>
                <c:pt idx="5">
                  <c:v>193699.5342279438</c:v>
                </c:pt>
                <c:pt idx="6">
                  <c:v>1351.4081286297042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11472.689746382577</c:v>
                </c:pt>
                <c:pt idx="1">
                  <c:v>3570.2484826706109</c:v>
                </c:pt>
                <c:pt idx="2">
                  <c:v>36.691282020805637</c:v>
                </c:pt>
                <c:pt idx="3">
                  <c:v>2586.9081865624166</c:v>
                </c:pt>
                <c:pt idx="4">
                  <c:v>2501.0978557282547</c:v>
                </c:pt>
                <c:pt idx="5">
                  <c:v>48334.405392944842</c:v>
                </c:pt>
                <c:pt idx="6">
                  <c:v>342.25335402074916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11472.689746382577</c:v>
                </c:pt>
                <c:pt idx="1">
                  <c:v>3570.2484826706109</c:v>
                </c:pt>
                <c:pt idx="2">
                  <c:v>36.691282020805637</c:v>
                </c:pt>
                <c:pt idx="3">
                  <c:v>2586.9081865624166</c:v>
                </c:pt>
                <c:pt idx="4">
                  <c:v>2501.0978557282547</c:v>
                </c:pt>
                <c:pt idx="5">
                  <c:v>48334.405392944842</c:v>
                </c:pt>
                <c:pt idx="6">
                  <c:v>342.25335402074916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35005</v>
      </c>
      <c r="B6" s="392"/>
      <c r="C6" s="393"/>
    </row>
    <row r="7" spans="1:7" s="390" customFormat="1" ht="15.75" customHeight="1">
      <c r="A7" s="394" t="str">
        <f>txtMunicipality</f>
        <v>GISTEL</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3.9569078800679981E-2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3.9569078800679981E-2</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5116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3139.64</v>
      </c>
      <c r="C14" s="332"/>
      <c r="D14" s="332"/>
      <c r="E14" s="332"/>
      <c r="F14" s="332"/>
    </row>
    <row r="15" spans="1:6">
      <c r="A15" s="1310" t="s">
        <v>183</v>
      </c>
      <c r="B15" s="1311">
        <v>49</v>
      </c>
      <c r="C15" s="332"/>
      <c r="D15" s="332"/>
      <c r="E15" s="332"/>
      <c r="F15" s="332"/>
    </row>
    <row r="16" spans="1:6">
      <c r="A16" s="1310" t="s">
        <v>6</v>
      </c>
      <c r="B16" s="1311">
        <v>1847</v>
      </c>
      <c r="C16" s="332"/>
      <c r="D16" s="332"/>
      <c r="E16" s="332"/>
      <c r="F16" s="332"/>
    </row>
    <row r="17" spans="1:6">
      <c r="A17" s="1310" t="s">
        <v>7</v>
      </c>
      <c r="B17" s="1311">
        <v>744</v>
      </c>
      <c r="C17" s="332"/>
      <c r="D17" s="332"/>
      <c r="E17" s="332"/>
      <c r="F17" s="332"/>
    </row>
    <row r="18" spans="1:6">
      <c r="A18" s="1310" t="s">
        <v>8</v>
      </c>
      <c r="B18" s="1311">
        <v>1389</v>
      </c>
      <c r="C18" s="332"/>
      <c r="D18" s="332"/>
      <c r="E18" s="332"/>
      <c r="F18" s="332"/>
    </row>
    <row r="19" spans="1:6">
      <c r="A19" s="1310" t="s">
        <v>9</v>
      </c>
      <c r="B19" s="1311">
        <v>1256</v>
      </c>
      <c r="C19" s="332"/>
      <c r="D19" s="332"/>
      <c r="E19" s="332"/>
      <c r="F19" s="332"/>
    </row>
    <row r="20" spans="1:6">
      <c r="A20" s="1310" t="s">
        <v>10</v>
      </c>
      <c r="B20" s="1311">
        <v>901</v>
      </c>
      <c r="C20" s="332"/>
      <c r="D20" s="332"/>
      <c r="E20" s="332"/>
      <c r="F20" s="332"/>
    </row>
    <row r="21" spans="1:6">
      <c r="A21" s="1310" t="s">
        <v>11</v>
      </c>
      <c r="B21" s="1311">
        <v>8006</v>
      </c>
      <c r="C21" s="332"/>
      <c r="D21" s="332"/>
      <c r="E21" s="332"/>
      <c r="F21" s="332"/>
    </row>
    <row r="22" spans="1:6">
      <c r="A22" s="1310" t="s">
        <v>12</v>
      </c>
      <c r="B22" s="1311">
        <v>18525</v>
      </c>
      <c r="C22" s="332"/>
      <c r="D22" s="332"/>
      <c r="E22" s="332"/>
      <c r="F22" s="332"/>
    </row>
    <row r="23" spans="1:6">
      <c r="A23" s="1310" t="s">
        <v>13</v>
      </c>
      <c r="B23" s="1311">
        <v>75</v>
      </c>
      <c r="C23" s="332"/>
      <c r="D23" s="332"/>
      <c r="E23" s="332"/>
      <c r="F23" s="332"/>
    </row>
    <row r="24" spans="1:6">
      <c r="A24" s="1310" t="s">
        <v>14</v>
      </c>
      <c r="B24" s="1311">
        <v>5</v>
      </c>
      <c r="C24" s="332"/>
      <c r="D24" s="332"/>
      <c r="E24" s="332"/>
      <c r="F24" s="332"/>
    </row>
    <row r="25" spans="1:6">
      <c r="A25" s="1310" t="s">
        <v>15</v>
      </c>
      <c r="B25" s="1311">
        <v>532</v>
      </c>
      <c r="C25" s="332"/>
      <c r="D25" s="332"/>
      <c r="E25" s="332"/>
      <c r="F25" s="332"/>
    </row>
    <row r="26" spans="1:6">
      <c r="A26" s="1310" t="s">
        <v>16</v>
      </c>
      <c r="B26" s="1311">
        <v>273</v>
      </c>
      <c r="C26" s="332"/>
      <c r="D26" s="332"/>
      <c r="E26" s="332"/>
      <c r="F26" s="332"/>
    </row>
    <row r="27" spans="1:6">
      <c r="A27" s="1310" t="s">
        <v>17</v>
      </c>
      <c r="B27" s="1311">
        <v>0</v>
      </c>
      <c r="C27" s="332"/>
      <c r="D27" s="332"/>
      <c r="E27" s="332"/>
      <c r="F27" s="332"/>
    </row>
    <row r="28" spans="1:6" s="43" customFormat="1">
      <c r="A28" s="1312" t="s">
        <v>18</v>
      </c>
      <c r="B28" s="1313">
        <v>71661</v>
      </c>
      <c r="C28" s="338"/>
      <c r="D28" s="338"/>
      <c r="E28" s="338"/>
      <c r="F28" s="338"/>
    </row>
    <row r="29" spans="1:6">
      <c r="A29" s="1312" t="s">
        <v>699</v>
      </c>
      <c r="B29" s="1313">
        <v>37</v>
      </c>
      <c r="C29" s="338"/>
      <c r="D29" s="338"/>
      <c r="E29" s="338"/>
      <c r="F29" s="338"/>
    </row>
    <row r="30" spans="1:6">
      <c r="A30" s="1305" t="s">
        <v>700</v>
      </c>
      <c r="B30" s="1314">
        <v>11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5</v>
      </c>
      <c r="F36" s="1311">
        <v>87433.506999999998</v>
      </c>
    </row>
    <row r="37" spans="1:6">
      <c r="A37" s="1310" t="s">
        <v>24</v>
      </c>
      <c r="B37" s="1310" t="s">
        <v>27</v>
      </c>
      <c r="C37" s="1311">
        <v>0</v>
      </c>
      <c r="D37" s="1311">
        <v>0</v>
      </c>
      <c r="E37" s="1311">
        <v>0</v>
      </c>
      <c r="F37" s="1311">
        <v>0</v>
      </c>
    </row>
    <row r="38" spans="1:6">
      <c r="A38" s="1310" t="s">
        <v>24</v>
      </c>
      <c r="B38" s="1310" t="s">
        <v>28</v>
      </c>
      <c r="C38" s="1311">
        <v>1</v>
      </c>
      <c r="D38" s="1311">
        <v>741024.72499999998</v>
      </c>
      <c r="E38" s="1311">
        <v>1</v>
      </c>
      <c r="F38" s="1311">
        <v>26396.958999999999</v>
      </c>
    </row>
    <row r="39" spans="1:6">
      <c r="A39" s="1310" t="s">
        <v>29</v>
      </c>
      <c r="B39" s="1310" t="s">
        <v>30</v>
      </c>
      <c r="C39" s="1311">
        <v>3815</v>
      </c>
      <c r="D39" s="1311">
        <v>53120353.974999897</v>
      </c>
      <c r="E39" s="1311">
        <v>5044</v>
      </c>
      <c r="F39" s="1311">
        <v>16939460.827</v>
      </c>
    </row>
    <row r="40" spans="1:6">
      <c r="A40" s="1310" t="s">
        <v>29</v>
      </c>
      <c r="B40" s="1310" t="s">
        <v>28</v>
      </c>
      <c r="C40" s="1311">
        <v>0</v>
      </c>
      <c r="D40" s="1311">
        <v>0</v>
      </c>
      <c r="E40" s="1311">
        <v>0</v>
      </c>
      <c r="F40" s="1311">
        <v>0</v>
      </c>
    </row>
    <row r="41" spans="1:6">
      <c r="A41" s="1310" t="s">
        <v>31</v>
      </c>
      <c r="B41" s="1310" t="s">
        <v>32</v>
      </c>
      <c r="C41" s="1311">
        <v>64</v>
      </c>
      <c r="D41" s="1311">
        <v>7727432.6600000001</v>
      </c>
      <c r="E41" s="1311">
        <v>132</v>
      </c>
      <c r="F41" s="1311">
        <v>2905862.8059999999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7</v>
      </c>
      <c r="D44" s="1311">
        <v>774210.29299999995</v>
      </c>
      <c r="E44" s="1311">
        <v>15</v>
      </c>
      <c r="F44" s="1311">
        <v>486925.91600000003</v>
      </c>
    </row>
    <row r="45" spans="1:6">
      <c r="A45" s="1310" t="s">
        <v>31</v>
      </c>
      <c r="B45" s="1310" t="s">
        <v>36</v>
      </c>
      <c r="C45" s="1311">
        <v>4</v>
      </c>
      <c r="D45" s="1311">
        <v>498178.16499999998</v>
      </c>
      <c r="E45" s="1311">
        <v>5</v>
      </c>
      <c r="F45" s="1311">
        <v>835453.728</v>
      </c>
    </row>
    <row r="46" spans="1:6">
      <c r="A46" s="1310" t="s">
        <v>31</v>
      </c>
      <c r="B46" s="1310" t="s">
        <v>37</v>
      </c>
      <c r="C46" s="1311">
        <v>0</v>
      </c>
      <c r="D46" s="1311">
        <v>0</v>
      </c>
      <c r="E46" s="1311">
        <v>0</v>
      </c>
      <c r="F46" s="1311">
        <v>0</v>
      </c>
    </row>
    <row r="47" spans="1:6">
      <c r="A47" s="1310" t="s">
        <v>31</v>
      </c>
      <c r="B47" s="1310" t="s">
        <v>38</v>
      </c>
      <c r="C47" s="1311">
        <v>4</v>
      </c>
      <c r="D47" s="1311">
        <v>320757.32699999999</v>
      </c>
      <c r="E47" s="1311">
        <v>5</v>
      </c>
      <c r="F47" s="1311">
        <v>198006.49600000001</v>
      </c>
    </row>
    <row r="48" spans="1:6">
      <c r="A48" s="1310" t="s">
        <v>31</v>
      </c>
      <c r="B48" s="1310" t="s">
        <v>28</v>
      </c>
      <c r="C48" s="1311">
        <v>1</v>
      </c>
      <c r="D48" s="1311">
        <v>21703.596000000001</v>
      </c>
      <c r="E48" s="1311">
        <v>2</v>
      </c>
      <c r="F48" s="1311">
        <v>11404.388999999999</v>
      </c>
    </row>
    <row r="49" spans="1:6">
      <c r="A49" s="1310" t="s">
        <v>31</v>
      </c>
      <c r="B49" s="1310" t="s">
        <v>39</v>
      </c>
      <c r="C49" s="1311">
        <v>0</v>
      </c>
      <c r="D49" s="1311">
        <v>0</v>
      </c>
      <c r="E49" s="1311">
        <v>0</v>
      </c>
      <c r="F49" s="1311">
        <v>0</v>
      </c>
    </row>
    <row r="50" spans="1:6">
      <c r="A50" s="1310" t="s">
        <v>31</v>
      </c>
      <c r="B50" s="1310" t="s">
        <v>40</v>
      </c>
      <c r="C50" s="1311">
        <v>6</v>
      </c>
      <c r="D50" s="1311">
        <v>536287.11699999997</v>
      </c>
      <c r="E50" s="1311">
        <v>8</v>
      </c>
      <c r="F50" s="1311">
        <v>616845.49300000002</v>
      </c>
    </row>
    <row r="51" spans="1:6">
      <c r="A51" s="1310" t="s">
        <v>41</v>
      </c>
      <c r="B51" s="1310" t="s">
        <v>42</v>
      </c>
      <c r="C51" s="1311">
        <v>14</v>
      </c>
      <c r="D51" s="1311">
        <v>333233.89199999999</v>
      </c>
      <c r="E51" s="1311">
        <v>85</v>
      </c>
      <c r="F51" s="1311">
        <v>2508035.0630000001</v>
      </c>
    </row>
    <row r="52" spans="1:6">
      <c r="A52" s="1310" t="s">
        <v>41</v>
      </c>
      <c r="B52" s="1310" t="s">
        <v>28</v>
      </c>
      <c r="C52" s="1311">
        <v>0</v>
      </c>
      <c r="D52" s="1311">
        <v>0</v>
      </c>
      <c r="E52" s="1311">
        <v>0</v>
      </c>
      <c r="F52" s="1311">
        <v>0</v>
      </c>
    </row>
    <row r="53" spans="1:6">
      <c r="A53" s="1310" t="s">
        <v>43</v>
      </c>
      <c r="B53" s="1310" t="s">
        <v>44</v>
      </c>
      <c r="C53" s="1311">
        <v>78</v>
      </c>
      <c r="D53" s="1311">
        <v>2891684.0269999998</v>
      </c>
      <c r="E53" s="1311">
        <v>100</v>
      </c>
      <c r="F53" s="1311">
        <v>313306.49300000002</v>
      </c>
    </row>
    <row r="54" spans="1:6">
      <c r="A54" s="1310" t="s">
        <v>45</v>
      </c>
      <c r="B54" s="1310" t="s">
        <v>46</v>
      </c>
      <c r="C54" s="1311">
        <v>0</v>
      </c>
      <c r="D54" s="1311">
        <v>0</v>
      </c>
      <c r="E54" s="1311">
        <v>1</v>
      </c>
      <c r="F54" s="1311">
        <v>927271.57499999995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46</v>
      </c>
      <c r="D57" s="1311">
        <v>2357173.0529999998</v>
      </c>
      <c r="E57" s="1311">
        <v>73</v>
      </c>
      <c r="F57" s="1311">
        <v>1516430.5649999999</v>
      </c>
    </row>
    <row r="58" spans="1:6">
      <c r="A58" s="1310" t="s">
        <v>48</v>
      </c>
      <c r="B58" s="1310" t="s">
        <v>50</v>
      </c>
      <c r="C58" s="1311">
        <v>30</v>
      </c>
      <c r="D58" s="1311">
        <v>2306253.5809999998</v>
      </c>
      <c r="E58" s="1311">
        <v>34</v>
      </c>
      <c r="F58" s="1311">
        <v>573843.26800000004</v>
      </c>
    </row>
    <row r="59" spans="1:6">
      <c r="A59" s="1310" t="s">
        <v>48</v>
      </c>
      <c r="B59" s="1310" t="s">
        <v>51</v>
      </c>
      <c r="C59" s="1311">
        <v>96</v>
      </c>
      <c r="D59" s="1311">
        <v>4566912.6390000004</v>
      </c>
      <c r="E59" s="1311">
        <v>178</v>
      </c>
      <c r="F59" s="1311">
        <v>4552404.42</v>
      </c>
    </row>
    <row r="60" spans="1:6">
      <c r="A60" s="1310" t="s">
        <v>48</v>
      </c>
      <c r="B60" s="1310" t="s">
        <v>52</v>
      </c>
      <c r="C60" s="1311">
        <v>42</v>
      </c>
      <c r="D60" s="1311">
        <v>2715292.1740000001</v>
      </c>
      <c r="E60" s="1311">
        <v>55</v>
      </c>
      <c r="F60" s="1311">
        <v>1026598.96</v>
      </c>
    </row>
    <row r="61" spans="1:6">
      <c r="A61" s="1310" t="s">
        <v>48</v>
      </c>
      <c r="B61" s="1310" t="s">
        <v>53</v>
      </c>
      <c r="C61" s="1311">
        <v>102</v>
      </c>
      <c r="D61" s="1311">
        <v>2580925.3859999999</v>
      </c>
      <c r="E61" s="1311">
        <v>241</v>
      </c>
      <c r="F61" s="1311">
        <v>2152305.8229999999</v>
      </c>
    </row>
    <row r="62" spans="1:6">
      <c r="A62" s="1310" t="s">
        <v>48</v>
      </c>
      <c r="B62" s="1310" t="s">
        <v>54</v>
      </c>
      <c r="C62" s="1311">
        <v>3</v>
      </c>
      <c r="D62" s="1311">
        <v>61569.266000000003</v>
      </c>
      <c r="E62" s="1311">
        <v>11</v>
      </c>
      <c r="F62" s="1311">
        <v>425650.99400000001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38609.65</v>
      </c>
      <c r="E65" s="1311">
        <v>0</v>
      </c>
      <c r="F65" s="1311">
        <v>0</v>
      </c>
    </row>
    <row r="66" spans="1:6">
      <c r="A66" s="1310" t="s">
        <v>55</v>
      </c>
      <c r="B66" s="1310" t="s">
        <v>57</v>
      </c>
      <c r="C66" s="1311">
        <v>0</v>
      </c>
      <c r="D66" s="1311">
        <v>0</v>
      </c>
      <c r="E66" s="1311">
        <v>11</v>
      </c>
      <c r="F66" s="1311">
        <v>192947.65700000001</v>
      </c>
    </row>
    <row r="67" spans="1:6">
      <c r="A67" s="1312" t="s">
        <v>55</v>
      </c>
      <c r="B67" s="1312" t="s">
        <v>58</v>
      </c>
      <c r="C67" s="1311">
        <v>0</v>
      </c>
      <c r="D67" s="1311">
        <v>0</v>
      </c>
      <c r="E67" s="1311">
        <v>0</v>
      </c>
      <c r="F67" s="1311">
        <v>0</v>
      </c>
    </row>
    <row r="68" spans="1:6">
      <c r="A68" s="1305" t="s">
        <v>55</v>
      </c>
      <c r="B68" s="1305" t="s">
        <v>59</v>
      </c>
      <c r="C68" s="1314">
        <v>0</v>
      </c>
      <c r="D68" s="1314">
        <v>0</v>
      </c>
      <c r="E68" s="1314">
        <v>13</v>
      </c>
      <c r="F68" s="1314">
        <v>110760.518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47997044</v>
      </c>
      <c r="E73" s="453"/>
      <c r="F73" s="332"/>
    </row>
    <row r="74" spans="1:6">
      <c r="A74" s="1310" t="s">
        <v>63</v>
      </c>
      <c r="B74" s="1310" t="s">
        <v>648</v>
      </c>
      <c r="C74" s="1324" t="s">
        <v>650</v>
      </c>
      <c r="D74" s="1325">
        <v>5387754.1036455324</v>
      </c>
      <c r="E74" s="453"/>
      <c r="F74" s="332"/>
    </row>
    <row r="75" spans="1:6">
      <c r="A75" s="1310" t="s">
        <v>64</v>
      </c>
      <c r="B75" s="1310" t="s">
        <v>647</v>
      </c>
      <c r="C75" s="1324" t="s">
        <v>651</v>
      </c>
      <c r="D75" s="1325">
        <v>9095186</v>
      </c>
      <c r="E75" s="453"/>
      <c r="F75" s="332"/>
    </row>
    <row r="76" spans="1:6">
      <c r="A76" s="1310" t="s">
        <v>64</v>
      </c>
      <c r="B76" s="1310" t="s">
        <v>648</v>
      </c>
      <c r="C76" s="1324" t="s">
        <v>652</v>
      </c>
      <c r="D76" s="1325">
        <v>730856.10364553251</v>
      </c>
      <c r="E76" s="453"/>
      <c r="F76" s="332"/>
    </row>
    <row r="77" spans="1:6">
      <c r="A77" s="1310" t="s">
        <v>65</v>
      </c>
      <c r="B77" s="1310" t="s">
        <v>647</v>
      </c>
      <c r="C77" s="1324" t="s">
        <v>653</v>
      </c>
      <c r="D77" s="1325">
        <v>104674151</v>
      </c>
      <c r="E77" s="453"/>
      <c r="F77" s="332"/>
    </row>
    <row r="78" spans="1:6">
      <c r="A78" s="1305" t="s">
        <v>65</v>
      </c>
      <c r="B78" s="1305" t="s">
        <v>648</v>
      </c>
      <c r="C78" s="1305" t="s">
        <v>654</v>
      </c>
      <c r="D78" s="1326">
        <v>25806923</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374847.79270893498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25738.002061195177</v>
      </c>
      <c r="C90" s="332"/>
      <c r="D90" s="332"/>
      <c r="E90" s="332"/>
      <c r="F90" s="332"/>
    </row>
    <row r="91" spans="1:6">
      <c r="A91" s="1310" t="s">
        <v>67</v>
      </c>
      <c r="B91" s="1311">
        <v>3829.0198484116095</v>
      </c>
      <c r="C91" s="332"/>
      <c r="D91" s="332"/>
      <c r="E91" s="332"/>
      <c r="F91" s="332"/>
    </row>
    <row r="92" spans="1:6">
      <c r="A92" s="1305" t="s">
        <v>68</v>
      </c>
      <c r="B92" s="1306">
        <v>2610.394890654622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2525</v>
      </c>
      <c r="C97" s="332"/>
      <c r="D97" s="332"/>
      <c r="E97" s="332"/>
      <c r="F97" s="332"/>
    </row>
    <row r="98" spans="1:6">
      <c r="A98" s="1310" t="s">
        <v>71</v>
      </c>
      <c r="B98" s="1311">
        <v>2</v>
      </c>
      <c r="C98" s="332"/>
      <c r="D98" s="332"/>
      <c r="E98" s="332"/>
      <c r="F98" s="332"/>
    </row>
    <row r="99" spans="1:6">
      <c r="A99" s="1310" t="s">
        <v>72</v>
      </c>
      <c r="B99" s="1311">
        <v>56</v>
      </c>
      <c r="C99" s="332"/>
      <c r="D99" s="332"/>
      <c r="E99" s="332"/>
      <c r="F99" s="332"/>
    </row>
    <row r="100" spans="1:6">
      <c r="A100" s="1310" t="s">
        <v>73</v>
      </c>
      <c r="B100" s="1311">
        <v>449</v>
      </c>
      <c r="C100" s="332"/>
      <c r="D100" s="332"/>
      <c r="E100" s="332"/>
      <c r="F100" s="332"/>
    </row>
    <row r="101" spans="1:6">
      <c r="A101" s="1310" t="s">
        <v>74</v>
      </c>
      <c r="B101" s="1311">
        <v>96</v>
      </c>
      <c r="C101" s="332"/>
      <c r="D101" s="332"/>
      <c r="E101" s="332"/>
      <c r="F101" s="332"/>
    </row>
    <row r="102" spans="1:6">
      <c r="A102" s="1310" t="s">
        <v>75</v>
      </c>
      <c r="B102" s="1311">
        <v>58</v>
      </c>
      <c r="C102" s="332"/>
      <c r="D102" s="332"/>
      <c r="E102" s="332"/>
      <c r="F102" s="332"/>
    </row>
    <row r="103" spans="1:6">
      <c r="A103" s="1310" t="s">
        <v>76</v>
      </c>
      <c r="B103" s="1311">
        <v>129</v>
      </c>
      <c r="C103" s="332"/>
      <c r="D103" s="332"/>
      <c r="E103" s="332"/>
      <c r="F103" s="332"/>
    </row>
    <row r="104" spans="1:6">
      <c r="A104" s="1310" t="s">
        <v>77</v>
      </c>
      <c r="B104" s="1311">
        <v>902</v>
      </c>
      <c r="C104" s="332"/>
      <c r="D104" s="332"/>
      <c r="E104" s="332"/>
      <c r="F104" s="332"/>
    </row>
    <row r="105" spans="1:6">
      <c r="A105" s="1305" t="s">
        <v>78</v>
      </c>
      <c r="B105" s="1314">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1</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16</v>
      </c>
      <c r="C123" s="1311">
        <v>77</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195</v>
      </c>
      <c r="C129" s="332"/>
      <c r="D129" s="332"/>
      <c r="E129" s="332"/>
      <c r="F129" s="332"/>
    </row>
    <row r="130" spans="1:6">
      <c r="A130" s="1310" t="s">
        <v>294</v>
      </c>
      <c r="B130" s="1311">
        <v>2</v>
      </c>
      <c r="C130" s="332"/>
      <c r="D130" s="332"/>
      <c r="E130" s="332"/>
      <c r="F130" s="332"/>
    </row>
    <row r="131" spans="1:6">
      <c r="A131" s="1310" t="s">
        <v>295</v>
      </c>
      <c r="B131" s="1311">
        <v>0</v>
      </c>
      <c r="C131" s="332"/>
      <c r="D131" s="332"/>
      <c r="E131" s="332"/>
      <c r="F131" s="332"/>
    </row>
    <row r="132" spans="1:6">
      <c r="A132" s="1305" t="s">
        <v>296</v>
      </c>
      <c r="B132" s="1306">
        <v>21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40783.101986947877</v>
      </c>
      <c r="C3" s="43" t="s">
        <v>169</v>
      </c>
      <c r="D3" s="43"/>
      <c r="E3" s="154"/>
      <c r="F3" s="43"/>
      <c r="G3" s="43"/>
      <c r="H3" s="43"/>
      <c r="I3" s="43"/>
      <c r="J3" s="43"/>
      <c r="K3" s="96"/>
    </row>
    <row r="4" spans="1:11">
      <c r="A4" s="360" t="s">
        <v>170</v>
      </c>
      <c r="B4" s="49">
        <f>IF(ISERROR('SEAP template'!B78+'SEAP template'!C78),0,'SEAP template'!B78+'SEAP template'!C78)</f>
        <v>33481.066800261411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3.9569078800679981E-2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1283.7857142857144</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927.27157499999998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927.27157499999998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3.9569078800679981E-2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36.691282020805637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16939.460826999999</v>
      </c>
      <c r="C5" s="17">
        <f>IF(ISERROR('Eigen informatie GS &amp; warmtenet'!B59),0,'Eigen informatie GS &amp; warmtenet'!B59)</f>
        <v>0</v>
      </c>
      <c r="D5" s="30">
        <f>(SUM(HH_hh_gas_kWh,HH_rest_gas_kWh)/1000)*0.903</f>
        <v>47967.67963942491</v>
      </c>
      <c r="E5" s="17">
        <f>B46*B57</f>
        <v>4235.3692105858327</v>
      </c>
      <c r="F5" s="17">
        <f>B51*B62</f>
        <v>0</v>
      </c>
      <c r="G5" s="18"/>
      <c r="H5" s="17"/>
      <c r="I5" s="17"/>
      <c r="J5" s="17">
        <f>B50*B61+C50*C61</f>
        <v>0</v>
      </c>
      <c r="K5" s="17"/>
      <c r="L5" s="17"/>
      <c r="M5" s="17"/>
      <c r="N5" s="17">
        <f>B48*B59+C48*C59</f>
        <v>13608.972080411633</v>
      </c>
      <c r="O5" s="17">
        <f>B69*B70*B71</f>
        <v>541.62059389265971</v>
      </c>
      <c r="P5" s="17">
        <f>B77*B78*B79/1000-B77*B78*B79/1000/B80</f>
        <v>389.75649438434584</v>
      </c>
    </row>
    <row r="6" spans="1:16">
      <c r="A6" s="16" t="s">
        <v>612</v>
      </c>
      <c r="B6" s="786">
        <f>kWh_PV_kleiner_dan_10kW</f>
        <v>3829.0198484116095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20768.480675411607</v>
      </c>
      <c r="C8" s="21">
        <f>C5</f>
        <v>0</v>
      </c>
      <c r="D8" s="21">
        <f>D5</f>
        <v>47967.67963942491</v>
      </c>
      <c r="E8" s="21">
        <f>E5</f>
        <v>4235.3692105858327</v>
      </c>
      <c r="F8" s="21">
        <f>F5</f>
        <v>0</v>
      </c>
      <c r="G8" s="21"/>
      <c r="H8" s="21"/>
      <c r="I8" s="21"/>
      <c r="J8" s="21">
        <f>J5</f>
        <v>0</v>
      </c>
      <c r="K8" s="21"/>
      <c r="L8" s="21">
        <f>L5</f>
        <v>0</v>
      </c>
      <c r="M8" s="21">
        <f>M5</f>
        <v>0</v>
      </c>
      <c r="N8" s="21">
        <f>N5</f>
        <v>13608.972080411633</v>
      </c>
      <c r="O8" s="21">
        <f>O5</f>
        <v>541.62059389265971</v>
      </c>
      <c r="P8" s="21">
        <f>P5</f>
        <v>389.75649438434584</v>
      </c>
    </row>
    <row r="9" spans="1:16">
      <c r="B9" s="19"/>
      <c r="C9" s="19"/>
      <c r="D9" s="258"/>
      <c r="E9" s="19"/>
      <c r="F9" s="19"/>
      <c r="G9" s="19"/>
      <c r="H9" s="19"/>
      <c r="I9" s="19"/>
      <c r="J9" s="19"/>
      <c r="K9" s="19"/>
      <c r="L9" s="19"/>
      <c r="M9" s="19"/>
      <c r="N9" s="19"/>
      <c r="O9" s="19"/>
      <c r="P9" s="19"/>
    </row>
    <row r="10" spans="1:16">
      <c r="A10" s="24" t="s">
        <v>213</v>
      </c>
      <c r="B10" s="25">
        <f ca="1">'EF ele_warmte'!B12</f>
        <v>3.9569078800679981E-2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821.78964841576123</v>
      </c>
      <c r="C12" s="23">
        <f ca="1">C10*C8</f>
        <v>0</v>
      </c>
      <c r="D12" s="23">
        <f>D8*D10</f>
        <v>9689.471287163833</v>
      </c>
      <c r="E12" s="23">
        <f>E10*E8</f>
        <v>961.428810802984</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2525</v>
      </c>
      <c r="C18" s="166" t="s">
        <v>110</v>
      </c>
      <c r="D18" s="228"/>
      <c r="E18" s="15"/>
    </row>
    <row r="19" spans="1:7">
      <c r="A19" s="171" t="s">
        <v>71</v>
      </c>
      <c r="B19" s="37">
        <f>aantalw2001_ander</f>
        <v>2</v>
      </c>
      <c r="C19" s="166" t="s">
        <v>110</v>
      </c>
      <c r="D19" s="229"/>
      <c r="E19" s="15"/>
    </row>
    <row r="20" spans="1:7">
      <c r="A20" s="171" t="s">
        <v>72</v>
      </c>
      <c r="B20" s="37">
        <f>aantalw2001_propaan</f>
        <v>56</v>
      </c>
      <c r="C20" s="167">
        <f>IF(ISERROR(B20/SUM($B$20,$B$21,$B$22)*100),0,B20/SUM($B$20,$B$21,$B$22)*100)</f>
        <v>9.3178036605657244</v>
      </c>
      <c r="D20" s="229"/>
      <c r="E20" s="15"/>
    </row>
    <row r="21" spans="1:7">
      <c r="A21" s="171" t="s">
        <v>73</v>
      </c>
      <c r="B21" s="37">
        <f>aantalw2001_elektriciteit</f>
        <v>449</v>
      </c>
      <c r="C21" s="167">
        <f>IF(ISERROR(B21/SUM($B$20,$B$21,$B$22)*100),0,B21/SUM($B$20,$B$21,$B$22)*100)</f>
        <v>74.708818635607315</v>
      </c>
      <c r="D21" s="229"/>
      <c r="E21" s="15"/>
    </row>
    <row r="22" spans="1:7">
      <c r="A22" s="171" t="s">
        <v>74</v>
      </c>
      <c r="B22" s="37">
        <f>aantalw2001_hout</f>
        <v>96</v>
      </c>
      <c r="C22" s="167">
        <f>IF(ISERROR(B22/SUM($B$20,$B$21,$B$22)*100),0,B22/SUM($B$20,$B$21,$B$22)*100)</f>
        <v>15.973377703826955</v>
      </c>
      <c r="D22" s="229"/>
      <c r="E22" s="15"/>
    </row>
    <row r="23" spans="1:7">
      <c r="A23" s="171" t="s">
        <v>75</v>
      </c>
      <c r="B23" s="37">
        <f>aantalw2001_niet_gespec</f>
        <v>58</v>
      </c>
      <c r="C23" s="166" t="s">
        <v>110</v>
      </c>
      <c r="D23" s="228"/>
      <c r="E23" s="15"/>
    </row>
    <row r="24" spans="1:7">
      <c r="A24" s="171" t="s">
        <v>76</v>
      </c>
      <c r="B24" s="37">
        <f>aantalw2001_steenkool</f>
        <v>129</v>
      </c>
      <c r="C24" s="166" t="s">
        <v>110</v>
      </c>
      <c r="D24" s="229"/>
      <c r="E24" s="15"/>
    </row>
    <row r="25" spans="1:7">
      <c r="A25" s="171" t="s">
        <v>77</v>
      </c>
      <c r="B25" s="37">
        <f>aantalw2001_stookolie</f>
        <v>902</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838</v>
      </c>
      <c r="B28" s="37">
        <f>aantalHuishoudens</f>
        <v>5116</v>
      </c>
      <c r="C28" s="36"/>
      <c r="D28" s="228"/>
    </row>
    <row r="29" spans="1:7" s="15" customFormat="1">
      <c r="A29" s="230" t="s">
        <v>839</v>
      </c>
      <c r="B29" s="37">
        <f>SUM(HH_hh_gas_aantal,HH_rest_gas_aantal)</f>
        <v>3815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3815</v>
      </c>
      <c r="C32" s="167">
        <f>IF(ISERROR(B32/SUM($B$32,$B$34,$B$35,$B$36,$B$38,$B$39)*100),0,B32/SUM($B$32,$B$34,$B$35,$B$36,$B$38,$B$39)*100)</f>
        <v>75.113211262059465</v>
      </c>
      <c r="D32" s="233"/>
      <c r="G32" s="15"/>
    </row>
    <row r="33" spans="1:7">
      <c r="A33" s="171" t="s">
        <v>71</v>
      </c>
      <c r="B33" s="34" t="s">
        <v>110</v>
      </c>
      <c r="C33" s="167"/>
      <c r="D33" s="233"/>
      <c r="G33" s="15"/>
    </row>
    <row r="34" spans="1:7">
      <c r="A34" s="171" t="s">
        <v>72</v>
      </c>
      <c r="B34" s="33">
        <f>IF((($B$28-$B$32-$B$39-$B$77-$B$38)*C20/100)&lt;0,0,($B$28-$B$32-$B$39-$B$77-$B$38)*C20/100)</f>
        <v>117.77703826955076</v>
      </c>
      <c r="C34" s="167">
        <f>IF(ISERROR(B34/SUM($B$32,$B$34,$B$35,$B$36,$B$38,$B$39)*100),0,B34/SUM($B$32,$B$34,$B$35,$B$36,$B$38,$B$39)*100)</f>
        <v>2.3189021120210822</v>
      </c>
      <c r="D34" s="233"/>
      <c r="G34" s="15"/>
    </row>
    <row r="35" spans="1:7">
      <c r="A35" s="171" t="s">
        <v>73</v>
      </c>
      <c r="B35" s="33">
        <f>IF((($B$28-$B$32-$B$39-$B$77-$B$38)*C21/100)&lt;0,0,($B$28-$B$32-$B$39-$B$77-$B$38)*C21/100)</f>
        <v>944.31946755407637</v>
      </c>
      <c r="C35" s="167">
        <f>IF(ISERROR(B35/SUM($B$32,$B$34,$B$35,$B$36,$B$38,$B$39)*100),0,B35/SUM($B$32,$B$34,$B$35,$B$36,$B$38,$B$39)*100)</f>
        <v>18.592625862454742</v>
      </c>
      <c r="D35" s="233"/>
      <c r="G35" s="15"/>
    </row>
    <row r="36" spans="1:7">
      <c r="A36" s="171" t="s">
        <v>74</v>
      </c>
      <c r="B36" s="33">
        <f>IF((($B$28-$B$32-$B$39-$B$77-$B$38)*C22/100)&lt;0,0,($B$28-$B$32-$B$39-$B$77-$B$38)*C22/100)</f>
        <v>201.9034941763727</v>
      </c>
      <c r="C36" s="167">
        <f>IF(ISERROR(B36/SUM($B$32,$B$34,$B$35,$B$36,$B$38,$B$39)*100),0,B36/SUM($B$32,$B$34,$B$35,$B$36,$B$38,$B$39)*100)</f>
        <v>3.9752607634647115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3815</v>
      </c>
      <c r="C44" s="34" t="s">
        <v>110</v>
      </c>
      <c r="D44" s="174"/>
    </row>
    <row r="45" spans="1:7">
      <c r="A45" s="171" t="s">
        <v>71</v>
      </c>
      <c r="B45" s="33" t="str">
        <f t="shared" si="0"/>
        <v>-</v>
      </c>
      <c r="C45" s="34" t="s">
        <v>110</v>
      </c>
      <c r="D45" s="174"/>
    </row>
    <row r="46" spans="1:7">
      <c r="A46" s="171" t="s">
        <v>72</v>
      </c>
      <c r="B46" s="33">
        <f t="shared" si="0"/>
        <v>117.77703826955076</v>
      </c>
      <c r="C46" s="34" t="s">
        <v>110</v>
      </c>
      <c r="D46" s="174"/>
    </row>
    <row r="47" spans="1:7">
      <c r="A47" s="171" t="s">
        <v>73</v>
      </c>
      <c r="B47" s="33">
        <f t="shared" si="0"/>
        <v>944.31946755407637</v>
      </c>
      <c r="C47" s="34" t="s">
        <v>110</v>
      </c>
      <c r="D47" s="174"/>
    </row>
    <row r="48" spans="1:7">
      <c r="A48" s="171" t="s">
        <v>74</v>
      </c>
      <c r="B48" s="33">
        <f t="shared" si="0"/>
        <v>201.9034941763727</v>
      </c>
      <c r="C48" s="33">
        <f>B48*10</f>
        <v>2019.0349417637271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273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10247.23403</v>
      </c>
      <c r="C5" s="17">
        <f>IF(ISERROR('Eigen informatie GS &amp; warmtenet'!B60),0,'Eigen informatie GS &amp; warmtenet'!B60)</f>
        <v>0</v>
      </c>
      <c r="D5" s="30">
        <f>SUM(D6:D12)</f>
        <v>13173.077867397</v>
      </c>
      <c r="E5" s="17">
        <f>SUM(E6:E12)</f>
        <v>38.233487603725635</v>
      </c>
      <c r="F5" s="17">
        <f>SUM(F6:F12)</f>
        <v>1727.7051575704693</v>
      </c>
      <c r="G5" s="18"/>
      <c r="H5" s="17"/>
      <c r="I5" s="17"/>
      <c r="J5" s="17">
        <f>SUM(J6:J12)</f>
        <v>1.4975995464862113E-2</v>
      </c>
      <c r="K5" s="17"/>
      <c r="L5" s="17"/>
      <c r="M5" s="17"/>
      <c r="N5" s="17">
        <f>SUM(N6:N12)</f>
        <v>549.7115178870805</v>
      </c>
      <c r="O5" s="17">
        <f>B38*B39*B40</f>
        <v>9.7945215316823084</v>
      </c>
      <c r="P5" s="17">
        <f>B46*B47*B48/1000-B46*B47*B48/1000/B49</f>
        <v>52.539138306495019</v>
      </c>
      <c r="R5" s="32"/>
    </row>
    <row r="6" spans="1:18">
      <c r="A6" s="32" t="s">
        <v>53</v>
      </c>
      <c r="B6" s="37">
        <f>B26</f>
        <v>2152.3058229999997</v>
      </c>
      <c r="C6" s="33"/>
      <c r="D6" s="37">
        <f>IF(ISERROR(TER_kantoor_gas_kWh/1000),0,TER_kantoor_gas_kWh/1000)*0.903</f>
        <v>2330.5756235580002</v>
      </c>
      <c r="E6" s="33">
        <f>$C$26*'E Balans VL '!I12/100/3.6*1000000</f>
        <v>0.51564131570133742</v>
      </c>
      <c r="F6" s="33">
        <f>$C$26*('E Balans VL '!L12+'E Balans VL '!N12)/100/3.6*1000000</f>
        <v>204.10063324436854</v>
      </c>
      <c r="G6" s="34"/>
      <c r="H6" s="33"/>
      <c r="I6" s="33"/>
      <c r="J6" s="33">
        <f>$C$26*('E Balans VL '!D12+'E Balans VL '!E12)/100/3.6*1000000</f>
        <v>0</v>
      </c>
      <c r="K6" s="33"/>
      <c r="L6" s="33"/>
      <c r="M6" s="33"/>
      <c r="N6" s="33">
        <f>$C$26*'E Balans VL '!Y12/100/3.6*1000000</f>
        <v>1.0932600328722877</v>
      </c>
      <c r="O6" s="33"/>
      <c r="P6" s="33"/>
      <c r="R6" s="32"/>
    </row>
    <row r="7" spans="1:18">
      <c r="A7" s="32" t="s">
        <v>52</v>
      </c>
      <c r="B7" s="37">
        <f t="shared" ref="B7:B12" si="0">B27</f>
        <v>1026.59896</v>
      </c>
      <c r="C7" s="33"/>
      <c r="D7" s="37">
        <f>IF(ISERROR(TER_horeca_gas_kWh/1000),0,TER_horeca_gas_kWh/1000)*0.903</f>
        <v>2451.908833122</v>
      </c>
      <c r="E7" s="33">
        <f>$C$27*'E Balans VL '!I9/100/3.6*1000000</f>
        <v>0</v>
      </c>
      <c r="F7" s="33">
        <f>$C$27*('E Balans VL '!L9+'E Balans VL '!N9)/100/3.6*1000000</f>
        <v>84.178701504811016</v>
      </c>
      <c r="G7" s="34"/>
      <c r="H7" s="33"/>
      <c r="I7" s="33"/>
      <c r="J7" s="33">
        <f>$C$27*('E Balans VL '!D9+'E Balans VL '!E9)/100/3.6*1000000</f>
        <v>0</v>
      </c>
      <c r="K7" s="33"/>
      <c r="L7" s="33"/>
      <c r="M7" s="33"/>
      <c r="N7" s="33">
        <f>$C$27*'E Balans VL '!Y9/100/3.6*1000000</f>
        <v>0.31469382696151227</v>
      </c>
      <c r="O7" s="33"/>
      <c r="P7" s="33"/>
      <c r="R7" s="32"/>
    </row>
    <row r="8" spans="1:18">
      <c r="A8" s="6" t="s">
        <v>51</v>
      </c>
      <c r="B8" s="37">
        <f t="shared" si="0"/>
        <v>4552.4044199999998</v>
      </c>
      <c r="C8" s="33"/>
      <c r="D8" s="37">
        <f>IF(ISERROR(TER_handel_gas_kWh/1000),0,TER_handel_gas_kWh/1000)*0.903</f>
        <v>4123.9221130169999</v>
      </c>
      <c r="E8" s="33">
        <f>$C$28*'E Balans VL '!I13/100/3.6*1000000</f>
        <v>15.999213405541123</v>
      </c>
      <c r="F8" s="33">
        <f>$C$28*('E Balans VL '!L13+'E Balans VL '!N13)/100/3.6*1000000</f>
        <v>416.53682907463786</v>
      </c>
      <c r="G8" s="34"/>
      <c r="H8" s="33"/>
      <c r="I8" s="33"/>
      <c r="J8" s="33">
        <f>$C$28*('E Balans VL '!D13+'E Balans VL '!E13)/100/3.6*1000000</f>
        <v>0</v>
      </c>
      <c r="K8" s="33"/>
      <c r="L8" s="33"/>
      <c r="M8" s="33"/>
      <c r="N8" s="33">
        <f>$C$28*'E Balans VL '!Y13/100/3.6*1000000</f>
        <v>1.6486848925789266</v>
      </c>
      <c r="O8" s="33"/>
      <c r="P8" s="33"/>
      <c r="R8" s="32"/>
    </row>
    <row r="9" spans="1:18">
      <c r="A9" s="32" t="s">
        <v>50</v>
      </c>
      <c r="B9" s="37">
        <f t="shared" si="0"/>
        <v>573.84326800000008</v>
      </c>
      <c r="C9" s="33"/>
      <c r="D9" s="37">
        <f>IF(ISERROR(TER_gezond_gas_kWh/1000),0,TER_gezond_gas_kWh/1000)*0.903</f>
        <v>2082.5469836430002</v>
      </c>
      <c r="E9" s="33">
        <f>$C$29*'E Balans VL '!I10/100/3.6*1000000</f>
        <v>0</v>
      </c>
      <c r="F9" s="33">
        <f>$C$29*('E Balans VL '!L10+'E Balans VL '!N10)/100/3.6*1000000</f>
        <v>70.342647202549045</v>
      </c>
      <c r="G9" s="34"/>
      <c r="H9" s="33"/>
      <c r="I9" s="33"/>
      <c r="J9" s="33">
        <f>$C$29*('E Balans VL '!D10+'E Balans VL '!E10)/100/3.6*1000000</f>
        <v>0</v>
      </c>
      <c r="K9" s="33"/>
      <c r="L9" s="33"/>
      <c r="M9" s="33"/>
      <c r="N9" s="33">
        <f>$C$29*'E Balans VL '!Y10/100/3.6*1000000</f>
        <v>4.2316942160439757</v>
      </c>
      <c r="O9" s="33"/>
      <c r="P9" s="33"/>
      <c r="R9" s="32"/>
    </row>
    <row r="10" spans="1:18">
      <c r="A10" s="32" t="s">
        <v>49</v>
      </c>
      <c r="B10" s="37">
        <f t="shared" si="0"/>
        <v>1516.4305649999999</v>
      </c>
      <c r="C10" s="33"/>
      <c r="D10" s="37">
        <f>IF(ISERROR(TER_ander_gas_kWh/1000),0,TER_ander_gas_kWh/1000)*0.903</f>
        <v>2128.5272668590001</v>
      </c>
      <c r="E10" s="33">
        <f>$C$30*'E Balans VL '!I14/100/3.6*1000000</f>
        <v>21.718632882483178</v>
      </c>
      <c r="F10" s="33">
        <f>$C$30*('E Balans VL '!L14+'E Balans VL '!N14)/100/3.6*1000000</f>
        <v>902.78267651776252</v>
      </c>
      <c r="G10" s="34"/>
      <c r="H10" s="33"/>
      <c r="I10" s="33"/>
      <c r="J10" s="33">
        <f>$C$30*('E Balans VL '!D14+'E Balans VL '!E14)/100/3.6*1000000</f>
        <v>1.4975995464862113E-2</v>
      </c>
      <c r="K10" s="33"/>
      <c r="L10" s="33"/>
      <c r="M10" s="33"/>
      <c r="N10" s="33">
        <f>$C$30*'E Balans VL '!Y14/100/3.6*1000000</f>
        <v>541.22460059754155</v>
      </c>
      <c r="O10" s="33"/>
      <c r="P10" s="33"/>
      <c r="R10" s="32"/>
    </row>
    <row r="11" spans="1:18">
      <c r="A11" s="32" t="s">
        <v>54</v>
      </c>
      <c r="B11" s="37">
        <f t="shared" si="0"/>
        <v>425.65099400000003</v>
      </c>
      <c r="C11" s="33"/>
      <c r="D11" s="37">
        <f>IF(ISERROR(TER_onderwijs_gas_kWh/1000),0,TER_onderwijs_gas_kWh/1000)*0.903</f>
        <v>55.597047198000006</v>
      </c>
      <c r="E11" s="33">
        <f>$C$31*'E Balans VL '!I11/100/3.6*1000000</f>
        <v>0</v>
      </c>
      <c r="F11" s="33">
        <f>$C$31*('E Balans VL '!L11+'E Balans VL '!N11)/100/3.6*1000000</f>
        <v>49.763670026340321</v>
      </c>
      <c r="G11" s="34"/>
      <c r="H11" s="33"/>
      <c r="I11" s="33"/>
      <c r="J11" s="33">
        <f>$C$31*('E Balans VL '!D11+'E Balans VL '!E11)/100/3.6*1000000</f>
        <v>0</v>
      </c>
      <c r="K11" s="33"/>
      <c r="L11" s="33"/>
      <c r="M11" s="33"/>
      <c r="N11" s="33">
        <f>$C$31*'E Balans VL '!Y11/100/3.6*1000000</f>
        <v>1.1985843210822182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855</v>
      </c>
      <c r="C13" s="247">
        <f ca="1">'lokale energieproductie'!O39+'lokale energieproductie'!O32</f>
        <v>1221.4285714285716</v>
      </c>
      <c r="D13" s="310">
        <f ca="1">('lokale energieproductie'!P32+'lokale energieproductie'!P39)*(-1)</f>
        <v>0</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-2442.8571428571431</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11102.23403</v>
      </c>
      <c r="C16" s="21">
        <f t="shared" ca="1" si="1"/>
        <v>1221.4285714285716</v>
      </c>
      <c r="D16" s="21">
        <f t="shared" ca="1" si="1"/>
        <v>13173.077867397</v>
      </c>
      <c r="E16" s="21">
        <f t="shared" si="1"/>
        <v>38.233487603725635</v>
      </c>
      <c r="F16" s="21">
        <f t="shared" ca="1" si="1"/>
        <v>1727.7051575704693</v>
      </c>
      <c r="G16" s="21">
        <f t="shared" si="1"/>
        <v>0</v>
      </c>
      <c r="H16" s="21">
        <f t="shared" si="1"/>
        <v>0</v>
      </c>
      <c r="I16" s="21">
        <f t="shared" si="1"/>
        <v>0</v>
      </c>
      <c r="J16" s="21">
        <f t="shared" si="1"/>
        <v>1.4975995464862113E-2</v>
      </c>
      <c r="K16" s="21">
        <f t="shared" si="1"/>
        <v>0</v>
      </c>
      <c r="L16" s="21">
        <f t="shared" ca="1" si="1"/>
        <v>0</v>
      </c>
      <c r="M16" s="21">
        <f t="shared" si="1"/>
        <v>0</v>
      </c>
      <c r="N16" s="21">
        <f t="shared" ca="1" si="1"/>
        <v>0</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3.9569078800679981E-2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439.30517319666086</v>
      </c>
      <c r="C20" s="23">
        <f t="shared" ref="C20:P20" ca="1" si="2">C16*C18</f>
        <v>0</v>
      </c>
      <c r="D20" s="23">
        <f t="shared" ca="1" si="2"/>
        <v>2660.9617292141943</v>
      </c>
      <c r="E20" s="23">
        <f t="shared" si="2"/>
        <v>8.6790016860457193</v>
      </c>
      <c r="F20" s="23">
        <f t="shared" ca="1" si="2"/>
        <v>461.29727707131531</v>
      </c>
      <c r="G20" s="23">
        <f t="shared" si="2"/>
        <v>0</v>
      </c>
      <c r="H20" s="23">
        <f t="shared" si="2"/>
        <v>0</v>
      </c>
      <c r="I20" s="23">
        <f t="shared" si="2"/>
        <v>0</v>
      </c>
      <c r="J20" s="23">
        <f t="shared" si="2"/>
        <v>5.301502394561188E-3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2152.3058229999997</v>
      </c>
      <c r="C26" s="39">
        <f>IF(ISERROR(B26*3.6/1000000/'E Balans VL '!Z12*100),0,B26*3.6/1000000/'E Balans VL '!Z12*100)</f>
        <v>6.0700723802990776E-2</v>
      </c>
      <c r="D26" s="237" t="s">
        <v>702</v>
      </c>
      <c r="F26" s="6"/>
    </row>
    <row r="27" spans="1:18">
      <c r="A27" s="231" t="s">
        <v>52</v>
      </c>
      <c r="B27" s="33">
        <f>IF(ISERROR(TER_horeca_ele_kWh/1000),0,TER_horeca_ele_kWh/1000)</f>
        <v>1026.59896</v>
      </c>
      <c r="C27" s="39">
        <f>IF(ISERROR(B27*3.6/1000000/'E Balans VL '!Z9*100),0,B27*3.6/1000000/'E Balans VL '!Z9*100)</f>
        <v>7.6109701447131431E-2</v>
      </c>
      <c r="D27" s="237" t="s">
        <v>702</v>
      </c>
      <c r="F27" s="6"/>
    </row>
    <row r="28" spans="1:18">
      <c r="A28" s="171" t="s">
        <v>51</v>
      </c>
      <c r="B28" s="33">
        <f>IF(ISERROR(TER_handel_ele_kWh/1000),0,TER_handel_ele_kWh/1000)</f>
        <v>4552.4044199999998</v>
      </c>
      <c r="C28" s="39">
        <f>IF(ISERROR(B28*3.6/1000000/'E Balans VL '!Z13*100),0,B28*3.6/1000000/'E Balans VL '!Z13*100)</f>
        <v>0.13637921267757824</v>
      </c>
      <c r="D28" s="237" t="s">
        <v>702</v>
      </c>
      <c r="F28" s="6"/>
    </row>
    <row r="29" spans="1:18">
      <c r="A29" s="231" t="s">
        <v>50</v>
      </c>
      <c r="B29" s="33">
        <f>IF(ISERROR(TER_gezond_ele_kWh/1000),0,TER_gezond_ele_kWh/1000)</f>
        <v>573.84326800000008</v>
      </c>
      <c r="C29" s="39">
        <f>IF(ISERROR(B29*3.6/1000000/'E Balans VL '!Z10*100),0,B29*3.6/1000000/'E Balans VL '!Z10*100)</f>
        <v>5.6741847256625434E-2</v>
      </c>
      <c r="D29" s="237" t="s">
        <v>702</v>
      </c>
      <c r="F29" s="6"/>
    </row>
    <row r="30" spans="1:18">
      <c r="A30" s="231" t="s">
        <v>49</v>
      </c>
      <c r="B30" s="33">
        <f>IF(ISERROR(TER_ander_ele_kWh/1000),0,TER_ander_ele_kWh/1000)</f>
        <v>1516.4305649999999</v>
      </c>
      <c r="C30" s="39">
        <f>IF(ISERROR(B30*3.6/1000000/'E Balans VL '!Z14*100),0,B30*3.6/1000000/'E Balans VL '!Z14*100)</f>
        <v>6.1335135009674177E-2</v>
      </c>
      <c r="D30" s="237" t="s">
        <v>702</v>
      </c>
      <c r="F30" s="6"/>
    </row>
    <row r="31" spans="1:18">
      <c r="A31" s="231" t="s">
        <v>54</v>
      </c>
      <c r="B31" s="33">
        <f>IF(ISERROR(TER_onderwijs_ele_kWh/1000),0,TER_onderwijs_ele_kWh/1000)</f>
        <v>425.65099400000003</v>
      </c>
      <c r="C31" s="39">
        <f>IF(ISERROR(B31*3.6/1000000/'E Balans VL '!Z11*100),0,B31*3.6/1000000/'E Balans VL '!Z11*100)</f>
        <v>0.11694494374310199</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5054.4988280000007</v>
      </c>
      <c r="C5" s="17">
        <f>IF(ISERROR('Eigen informatie GS &amp; warmtenet'!B61),0,'Eigen informatie GS &amp; warmtenet'!B61)</f>
        <v>0</v>
      </c>
      <c r="D5" s="30">
        <f>SUM(D6:D15)</f>
        <v>8920.3479496740019</v>
      </c>
      <c r="E5" s="17">
        <f>SUM(E6:E15)</f>
        <v>16.500901348309029</v>
      </c>
      <c r="F5" s="17">
        <f>SUM(F6:F15)</f>
        <v>1854.97006390352</v>
      </c>
      <c r="G5" s="18"/>
      <c r="H5" s="17"/>
      <c r="I5" s="17"/>
      <c r="J5" s="17">
        <f>SUM(J6:J15)</f>
        <v>0.46044012068867229</v>
      </c>
      <c r="K5" s="17"/>
      <c r="L5" s="17"/>
      <c r="M5" s="17"/>
      <c r="N5" s="17">
        <f>SUM(N6:N15)</f>
        <v>290.50337195329564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486.92591600000003</v>
      </c>
      <c r="C8" s="33"/>
      <c r="D8" s="37">
        <f>IF( ISERROR(IND_metaal_Gas_kWH/1000),0,IND_metaal_Gas_kWH/1000)*0.903</f>
        <v>699.11189457900002</v>
      </c>
      <c r="E8" s="33">
        <f>C30*'E Balans VL '!I18/100/3.6*1000000</f>
        <v>2.4551654269775423</v>
      </c>
      <c r="F8" s="33">
        <f>C30*'E Balans VL '!L18/100/3.6*1000000+C30*'E Balans VL '!N18/100/3.6*1000000</f>
        <v>33.267773590383236</v>
      </c>
      <c r="G8" s="34"/>
      <c r="H8" s="33"/>
      <c r="I8" s="33"/>
      <c r="J8" s="40">
        <f>C30*'E Balans VL '!D18/100/3.6*1000000+C30*'E Balans VL '!E18/100/3.6*1000000</f>
        <v>0.43170135984971264</v>
      </c>
      <c r="K8" s="33"/>
      <c r="L8" s="33"/>
      <c r="M8" s="33"/>
      <c r="N8" s="33">
        <f>C30*'E Balans VL '!Y18/100/3.6*1000000</f>
        <v>6.4712483133151384</v>
      </c>
      <c r="O8" s="33"/>
      <c r="P8" s="33"/>
      <c r="R8" s="32"/>
    </row>
    <row r="9" spans="1:18">
      <c r="A9" s="6" t="s">
        <v>32</v>
      </c>
      <c r="B9" s="37">
        <f t="shared" si="0"/>
        <v>2905.8628060000001</v>
      </c>
      <c r="C9" s="33"/>
      <c r="D9" s="37">
        <f>IF( ISERROR(IND_andere_gas_kWh/1000),0,IND_andere_gas_kWh/1000)*0.903</f>
        <v>6977.8716919800008</v>
      </c>
      <c r="E9" s="33">
        <f>C31*'E Balans VL '!I19/100/3.6*1000000</f>
        <v>9.1599663457329612</v>
      </c>
      <c r="F9" s="33">
        <f>C31*'E Balans VL '!L19/100/3.6*1000000+C31*'E Balans VL '!N19/100/3.6*1000000</f>
        <v>1778.8469929880582</v>
      </c>
      <c r="G9" s="34"/>
      <c r="H9" s="33"/>
      <c r="I9" s="33"/>
      <c r="J9" s="40">
        <f>C31*'E Balans VL '!D19/100/3.6*1000000+C31*'E Balans VL '!E19/100/3.6*1000000</f>
        <v>0</v>
      </c>
      <c r="K9" s="33"/>
      <c r="L9" s="33"/>
      <c r="M9" s="33"/>
      <c r="N9" s="33">
        <f>C31*'E Balans VL '!Y19/100/3.6*1000000</f>
        <v>121.8467730967245</v>
      </c>
      <c r="O9" s="33"/>
      <c r="P9" s="33"/>
      <c r="R9" s="32"/>
    </row>
    <row r="10" spans="1:18">
      <c r="A10" s="6" t="s">
        <v>40</v>
      </c>
      <c r="B10" s="37">
        <f t="shared" si="0"/>
        <v>616.84549300000003</v>
      </c>
      <c r="C10" s="33"/>
      <c r="D10" s="37">
        <f>IF( ISERROR(IND_voed_gas_kWh/1000),0,IND_voed_gas_kWh/1000)*0.903</f>
        <v>484.267266651</v>
      </c>
      <c r="E10" s="33">
        <f>C32*'E Balans VL '!I20/100/3.6*1000000</f>
        <v>0.98307847897631029</v>
      </c>
      <c r="F10" s="33">
        <f>C32*'E Balans VL '!L20/100/3.6*1000000+C32*'E Balans VL '!N20/100/3.6*1000000</f>
        <v>10.022240773687765</v>
      </c>
      <c r="G10" s="34"/>
      <c r="H10" s="33"/>
      <c r="I10" s="33"/>
      <c r="J10" s="40">
        <f>C32*'E Balans VL '!D20/100/3.6*1000000+C32*'E Balans VL '!E20/100/3.6*1000000</f>
        <v>0</v>
      </c>
      <c r="K10" s="33"/>
      <c r="L10" s="33"/>
      <c r="M10" s="33"/>
      <c r="N10" s="33">
        <f>C32*'E Balans VL '!Y20/100/3.6*1000000</f>
        <v>19.483061424750069</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835.45372799999996</v>
      </c>
      <c r="C12" s="33"/>
      <c r="D12" s="37">
        <f>IF( ISERROR(IND_min_gas_kWh/1000),0,IND_min_gas_kWh/1000)*0.903</f>
        <v>449.85488299499997</v>
      </c>
      <c r="E12" s="33">
        <f>C34*'E Balans VL '!I22/100/3.6*1000000</f>
        <v>3.6152345087647726</v>
      </c>
      <c r="F12" s="33">
        <f>C34*'E Balans VL '!L22/100/3.6*1000000+C34*'E Balans VL '!N22/100/3.6*1000000</f>
        <v>31.898654643639933</v>
      </c>
      <c r="G12" s="34"/>
      <c r="H12" s="33"/>
      <c r="I12" s="33"/>
      <c r="J12" s="40">
        <f>C34*'E Balans VL '!D22/100/3.6*1000000+C34*'E Balans VL '!E22/100/3.6*1000000</f>
        <v>0</v>
      </c>
      <c r="K12" s="33"/>
      <c r="L12" s="33"/>
      <c r="M12" s="33"/>
      <c r="N12" s="33">
        <f>C34*'E Balans VL '!Y22/100/3.6*1000000</f>
        <v>142.50958621021158</v>
      </c>
      <c r="O12" s="33"/>
      <c r="P12" s="33"/>
      <c r="R12" s="32"/>
    </row>
    <row r="13" spans="1:18">
      <c r="A13" s="6" t="s">
        <v>38</v>
      </c>
      <c r="B13" s="37">
        <f t="shared" si="0"/>
        <v>198.00649600000003</v>
      </c>
      <c r="C13" s="33"/>
      <c r="D13" s="37">
        <f>IF( ISERROR(IND_papier_gas_kWh/1000),0,IND_papier_gas_kWh/1000)*0.903</f>
        <v>289.64386628099999</v>
      </c>
      <c r="E13" s="33">
        <f>C35*'E Balans VL '!I23/100/3.6*1000000</f>
        <v>0</v>
      </c>
      <c r="F13" s="33">
        <f>C35*'E Balans VL '!L23/100/3.6*1000000+C35*'E Balans VL '!N23/100/3.6*1000000</f>
        <v>8.578562113137957E-3</v>
      </c>
      <c r="G13" s="34"/>
      <c r="H13" s="33"/>
      <c r="I13" s="33"/>
      <c r="J13" s="40">
        <f>C35*'E Balans VL '!D23/100/3.6*1000000+C35*'E Balans VL '!E23/100/3.6*1000000</f>
        <v>5.4560233096662449E-3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11.404388999999998</v>
      </c>
      <c r="C15" s="33"/>
      <c r="D15" s="37">
        <f>IF( ISERROR(IND_rest_gas_kWh/1000),0,IND_rest_gas_kWh/1000)*0.903</f>
        <v>19.598347188000002</v>
      </c>
      <c r="E15" s="33">
        <f>C37*'E Balans VL '!I15/100/3.6*1000000</f>
        <v>0.28745658785744138</v>
      </c>
      <c r="F15" s="33">
        <f>C37*'E Balans VL '!L15/100/3.6*1000000+C37*'E Balans VL '!N15/100/3.6*1000000</f>
        <v>0.92582334563759738</v>
      </c>
      <c r="G15" s="34"/>
      <c r="H15" s="33"/>
      <c r="I15" s="33"/>
      <c r="J15" s="40">
        <f>C37*'E Balans VL '!D15/100/3.6*1000000+C37*'E Balans VL '!E15/100/3.6*1000000</f>
        <v>2.3282737529293399E-2</v>
      </c>
      <c r="K15" s="33"/>
      <c r="L15" s="33"/>
      <c r="M15" s="33"/>
      <c r="N15" s="33">
        <f>C37*'E Balans VL '!Y15/100/3.6*1000000</f>
        <v>0.19270290829435893</v>
      </c>
      <c r="O15" s="33"/>
      <c r="P15" s="33"/>
      <c r="R15" s="32"/>
    </row>
    <row r="16" spans="1:18">
      <c r="A16" s="16" t="s">
        <v>479</v>
      </c>
      <c r="B16" s="247">
        <f>'lokale energieproductie'!N38+'lokale energieproductie'!N31</f>
        <v>0</v>
      </c>
      <c r="C16" s="247">
        <f>'lokale energieproductie'!O38+'lokale energieproductie'!O31</f>
        <v>0</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5054.4988280000007</v>
      </c>
      <c r="C18" s="21">
        <f>C5+C16</f>
        <v>0</v>
      </c>
      <c r="D18" s="21">
        <f>MAX((D5+D16),0)</f>
        <v>8920.3479496740019</v>
      </c>
      <c r="E18" s="21">
        <f>MAX((E5+E16),0)</f>
        <v>16.500901348309029</v>
      </c>
      <c r="F18" s="21">
        <f>MAX((F5+F16),0)</f>
        <v>1854.97006390352</v>
      </c>
      <c r="G18" s="21"/>
      <c r="H18" s="21"/>
      <c r="I18" s="21"/>
      <c r="J18" s="21">
        <f>MAX((J5+J16),0)</f>
        <v>0.46044012068867229</v>
      </c>
      <c r="K18" s="21"/>
      <c r="L18" s="21">
        <f>MAX((L5+L16),0)</f>
        <v>0</v>
      </c>
      <c r="M18" s="21"/>
      <c r="N18" s="21">
        <f>MAX((N5+N16),0)</f>
        <v>290.50337195329564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3.9569078800679981E-2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200.00186242307663</v>
      </c>
      <c r="C22" s="23">
        <f ca="1">C18*C20</f>
        <v>0</v>
      </c>
      <c r="D22" s="23">
        <f>D18*D20</f>
        <v>1801.9102858341485</v>
      </c>
      <c r="E22" s="23">
        <f>E18*E20</f>
        <v>3.7457046060661496</v>
      </c>
      <c r="F22" s="23">
        <f>F18*F20</f>
        <v>495.27700706223987</v>
      </c>
      <c r="G22" s="23"/>
      <c r="H22" s="23"/>
      <c r="I22" s="23"/>
      <c r="J22" s="23">
        <f>J18*J20</f>
        <v>0.16299580272379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486.92591600000003</v>
      </c>
      <c r="C30" s="39">
        <f>IF(ISERROR(B30*3.6/1000000/'E Balans VL '!Z18*100),0,B30*3.6/1000000/'E Balans VL '!Z18*100)</f>
        <v>2.4169905061570154E-2</v>
      </c>
      <c r="D30" s="237" t="s">
        <v>702</v>
      </c>
    </row>
    <row r="31" spans="1:18">
      <c r="A31" s="6" t="s">
        <v>32</v>
      </c>
      <c r="B31" s="37">
        <f>IF( ISERROR(IND_ander_ele_kWh/1000),0,IND_ander_ele_kWh/1000)</f>
        <v>2905.8628060000001</v>
      </c>
      <c r="C31" s="39">
        <f>IF(ISERROR(B31*3.6/1000000/'E Balans VL '!Z19*100),0,B31*3.6/1000000/'E Balans VL '!Z19*100)</f>
        <v>9.8057979140128204E-2</v>
      </c>
      <c r="D31" s="237" t="s">
        <v>702</v>
      </c>
    </row>
    <row r="32" spans="1:18">
      <c r="A32" s="171" t="s">
        <v>40</v>
      </c>
      <c r="B32" s="37">
        <f>IF( ISERROR(IND_voed_ele_kWh/1000),0,IND_voed_ele_kWh/1000)</f>
        <v>616.84549300000003</v>
      </c>
      <c r="C32" s="39">
        <f>IF(ISERROR(B32*3.6/1000000/'E Balans VL '!Z20*100),0,B32*3.6/1000000/'E Balans VL '!Z20*100)</f>
        <v>1.4486192679775479E-2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835.45372799999996</v>
      </c>
      <c r="C34" s="39">
        <f>IF(ISERROR(B34*3.6/1000000/'E Balans VL '!Z22*100),0,B34*3.6/1000000/'E Balans VL '!Z22*100)</f>
        <v>0.11852645412392286</v>
      </c>
      <c r="D34" s="237" t="s">
        <v>702</v>
      </c>
    </row>
    <row r="35" spans="1:5">
      <c r="A35" s="171" t="s">
        <v>38</v>
      </c>
      <c r="B35" s="37">
        <f>IF( ISERROR(IND_papier_ele_kWh/1000),0,IND_papier_ele_kWh/1000)</f>
        <v>198.00649600000003</v>
      </c>
      <c r="C35" s="39">
        <f>IF(ISERROR(B35*3.6/1000000/'E Balans VL '!Z22*100),0,B35*3.6/1000000/'E Balans VL '!Z22*100)</f>
        <v>2.8091331785143132E-2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11.404388999999998</v>
      </c>
      <c r="C37" s="39">
        <f>IF(ISERROR(B37*3.6/1000000/'E Balans VL '!Z15*100),0,B37*3.6/1000000/'E Balans VL '!Z15*100)</f>
        <v>4.2738280816328188E-5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2508.0350630000003</v>
      </c>
      <c r="C5" s="17">
        <f>'Eigen informatie GS &amp; warmtenet'!B62</f>
        <v>0</v>
      </c>
      <c r="D5" s="30">
        <f>IF(ISERROR(SUM(LB_lb_gas_kWh,LB_rest_gas_kWh)/1000),0,SUM(LB_lb_gas_kWh,LB_rest_gas_kWh)/1000)*0.903</f>
        <v>300.91020447599999</v>
      </c>
      <c r="E5" s="17">
        <f>B17*'E Balans VL '!I25/3.6*1000000/100</f>
        <v>93.532299031272998</v>
      </c>
      <c r="F5" s="17">
        <f>B17*('E Balans VL '!L25/3.6*1000000+'E Balans VL '!N25/3.6*1000000)/100</f>
        <v>8137.0348872687746</v>
      </c>
      <c r="G5" s="18"/>
      <c r="H5" s="17"/>
      <c r="I5" s="17"/>
      <c r="J5" s="17">
        <f>('E Balans VL '!D25+'E Balans VL '!E25)/3.6*1000000*landbouw!B17/100</f>
        <v>658.37158597369375</v>
      </c>
      <c r="K5" s="17"/>
      <c r="L5" s="17">
        <f>L6*(-1)</f>
        <v>1012.5</v>
      </c>
      <c r="M5" s="17"/>
      <c r="N5" s="17">
        <f>N6*(-1)</f>
        <v>124.71428571428569</v>
      </c>
      <c r="O5" s="17"/>
      <c r="P5" s="17"/>
      <c r="R5" s="32"/>
    </row>
    <row r="6" spans="1:18">
      <c r="A6" s="16" t="s">
        <v>479</v>
      </c>
      <c r="B6" s="17" t="s">
        <v>210</v>
      </c>
      <c r="C6" s="17">
        <f>'lokale energieproductie'!O40+'lokale energieproductie'!O33</f>
        <v>62.357142857142847</v>
      </c>
      <c r="D6" s="310">
        <f>('lokale energieproductie'!P33+'lokale energieproductie'!P40)*(-1)</f>
        <v>0</v>
      </c>
      <c r="E6" s="248"/>
      <c r="F6" s="310">
        <f>('lokale energieproductie'!S33+'lokale energieproductie'!S40)*(-1)</f>
        <v>0</v>
      </c>
      <c r="G6" s="249"/>
      <c r="H6" s="248"/>
      <c r="I6" s="248"/>
      <c r="J6" s="248"/>
      <c r="K6" s="248"/>
      <c r="L6" s="310">
        <f>('lokale energieproductie'!T33+'lokale energieproductie'!U33+'lokale energieproductie'!T40+'lokale energieproductie'!U40)*(-1)</f>
        <v>-1012.5</v>
      </c>
      <c r="M6" s="248"/>
      <c r="N6" s="310">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2508.0350630000003</v>
      </c>
      <c r="C8" s="21">
        <f>C5+C6</f>
        <v>62.357142857142847</v>
      </c>
      <c r="D8" s="21">
        <f>MAX((D5+D6),0)</f>
        <v>300.91020447599999</v>
      </c>
      <c r="E8" s="21">
        <f>MAX((E5+E6),0)</f>
        <v>93.532299031272998</v>
      </c>
      <c r="F8" s="21">
        <f>MAX((F5+F6),0)</f>
        <v>8137.0348872687746</v>
      </c>
      <c r="G8" s="21"/>
      <c r="H8" s="21"/>
      <c r="I8" s="21"/>
      <c r="J8" s="21">
        <f>MAX((J5+J6),0)</f>
        <v>658.37158597369375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3.9569078800679981E-2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99.240637042715392</v>
      </c>
      <c r="C12" s="23">
        <f ca="1">C8*C10</f>
        <v>0</v>
      </c>
      <c r="D12" s="23">
        <f>D8*D10</f>
        <v>60.783861304152005</v>
      </c>
      <c r="E12" s="23">
        <f>E8*E10</f>
        <v>21.231831880098973</v>
      </c>
      <c r="F12" s="23">
        <f>F8*F10</f>
        <v>2172.5883149007627</v>
      </c>
      <c r="G12" s="23"/>
      <c r="H12" s="23"/>
      <c r="I12" s="23"/>
      <c r="J12" s="23">
        <f>J8*J10</f>
        <v>233.06354143468758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0.34447207113952039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550.24031610580505</v>
      </c>
      <c r="C26" s="247">
        <f>B26*'GWP N2O_CH4'!B5</f>
        <v>11555.046638221906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196.51404705810924</v>
      </c>
      <c r="C27" s="247">
        <f>B27*'GWP N2O_CH4'!B5</f>
        <v>4126.7949882202938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6.515402683102427</v>
      </c>
      <c r="C28" s="247">
        <f>B28*'GWP N2O_CH4'!B4</f>
        <v>2019.7748317617525</v>
      </c>
      <c r="D28" s="50"/>
    </row>
    <row r="29" spans="1:4">
      <c r="A29" s="41" t="s">
        <v>276</v>
      </c>
      <c r="B29" s="247">
        <f>B34*'ha_N2O bodem landbouw'!B4</f>
        <v>20.38156912676062</v>
      </c>
      <c r="C29" s="247">
        <f>B29*'GWP N2O_CH4'!B4</f>
        <v>6318.286429295792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4.6450178099159125E-3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3.9339116113057849E-4</v>
      </c>
      <c r="C5" s="440" t="s">
        <v>210</v>
      </c>
      <c r="D5" s="425">
        <f>SUM(D6:D11)</f>
        <v>1.4801288814075809E-3</v>
      </c>
      <c r="E5" s="425">
        <f>SUM(E6:E11)</f>
        <v>9.2422706414820965E-4</v>
      </c>
      <c r="F5" s="438" t="s">
        <v>210</v>
      </c>
      <c r="G5" s="425">
        <f>SUM(G6:G11)</f>
        <v>0.55911753014385024</v>
      </c>
      <c r="H5" s="425">
        <f>SUM(H6:H11)</f>
        <v>9.7169185392502758E-2</v>
      </c>
      <c r="I5" s="440" t="s">
        <v>210</v>
      </c>
      <c r="J5" s="440" t="s">
        <v>210</v>
      </c>
      <c r="K5" s="440" t="s">
        <v>210</v>
      </c>
      <c r="L5" s="440" t="s">
        <v>210</v>
      </c>
      <c r="M5" s="425">
        <f>SUM(M6:M11)</f>
        <v>3.8233860577558405E-2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1.1672148905893781E-4</v>
      </c>
      <c r="C6" s="426"/>
      <c r="D6" s="893">
        <f>vkm_GW_PW*SUMIFS(TableVerdeelsleutelVkm[CNG],TableVerdeelsleutelVkm[Voertuigtype],"Lichte voertuigen")*SUMIFS(TableECFTransport[EnergieConsumptieFactor (PJ per km)],TableECFTransport[Index],CONCATENATE($A6,"_CNG_CNG"))</f>
        <v>4.215623985987695E-4</v>
      </c>
      <c r="E6" s="893">
        <f>vkm_GW_PW*SUMIFS(TableVerdeelsleutelVkm[LPG],TableVerdeelsleutelVkm[Voertuigtype],"Lichte voertuigen")*SUMIFS(TableECFTransport[EnergieConsumptieFactor (PJ per km)],TableECFTransport[Index],CONCATENATE($A6,"_LPG_LPG"))</f>
        <v>2.2910834268889425E-4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7.1297104629858485E-2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2.6983091383185571E-2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5.8899163687555576E-3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5.1468160995698543E-2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5.4183328069065326E-7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2.8977380806426141E-3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2.21181048813757E-5</v>
      </c>
      <c r="C8" s="426"/>
      <c r="D8" s="428">
        <f>vkm_NGW_PW*SUMIFS(TableVerdeelsleutelVkm[CNG],TableVerdeelsleutelVkm[Voertuigtype],"Lichte voertuigen")*SUMIFS(TableECFTransport[EnergieConsumptieFactor (PJ per km)],TableECFTransport[Index],CONCATENATE($A8,"_CNG_CNG"))</f>
        <v>1.3540832497511006E-4</v>
      </c>
      <c r="E8" s="428">
        <f>vkm_NGW_PW*SUMIFS(TableVerdeelsleutelVkm[LPG],TableVerdeelsleutelVkm[Voertuigtype],"Lichte voertuigen")*SUMIFS(TableECFTransport[EnergieConsumptieFactor (PJ per km)],TableECFTransport[Index],CONCATENATE($A8,"_LPG_LPG"))</f>
        <v>6.9931064399265087E-5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2.025205350970425E-2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8.5351761820137619E-3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1.7335620064193424E-3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8.4157369661985084E-3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1.2868327055936056E-7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4.7382195983727463E-4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2.5455156719026497E-4</v>
      </c>
      <c r="C10" s="426"/>
      <c r="D10" s="428">
        <f>vkm_SW_PW*SUMIFS(TableVerdeelsleutelVkm[CNG],TableVerdeelsleutelVkm[Voertuigtype],"Lichte voertuigen")*SUMIFS(TableECFTransport[EnergieConsumptieFactor (PJ per km)],TableECFTransport[Index],CONCATENATE($A10,"_CNG_CNG"))</f>
        <v>9.2315815783370128E-4</v>
      </c>
      <c r="E10" s="428">
        <f>vkm_SW_PW*SUMIFS(TableVerdeelsleutelVkm[LPG],TableVerdeelsleutelVkm[Voertuigtype],"Lichte voertuigen")*SUMIFS(TableECFTransport[EnergieConsumptieFactor (PJ per km)],TableECFTransport[Index],CONCATENATE($A10,"_LPG_LPG"))</f>
        <v>6.2518765706005028E-4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0.17288995922928321</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6.1647629621074077E-2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1.4019513068721743E-2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0.23479451481310715</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2.617689678084691E-6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1.3219309093181874E-2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109.2753225362718</v>
      </c>
      <c r="C14" s="21"/>
      <c r="D14" s="21">
        <f t="shared" ref="D14:M14" si="0">((D5)*10^9/3600)+D12</f>
        <v>411.14691150210575</v>
      </c>
      <c r="E14" s="21">
        <f t="shared" si="0"/>
        <v>256.72974004116935</v>
      </c>
      <c r="F14" s="21"/>
      <c r="G14" s="21">
        <f t="shared" si="0"/>
        <v>155310.42503995838</v>
      </c>
      <c r="H14" s="21">
        <f t="shared" si="0"/>
        <v>26991.44038680632</v>
      </c>
      <c r="I14" s="21"/>
      <c r="J14" s="21"/>
      <c r="K14" s="21"/>
      <c r="L14" s="21"/>
      <c r="M14" s="21">
        <f t="shared" si="0"/>
        <v>10620.516827099556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3.9569078800679981E-2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4.3239238484074596</v>
      </c>
      <c r="C18" s="23"/>
      <c r="D18" s="23">
        <f t="shared" ref="D18:M18" si="1">D14*D16</f>
        <v>83.051676123425366</v>
      </c>
      <c r="E18" s="23">
        <f t="shared" si="1"/>
        <v>58.277650989345446</v>
      </c>
      <c r="F18" s="23"/>
      <c r="G18" s="23">
        <f t="shared" si="1"/>
        <v>41467.883485668892</v>
      </c>
      <c r="H18" s="23">
        <f t="shared" si="1"/>
        <v>6720.8686563147739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4.6146519643247069E-3</v>
      </c>
      <c r="H50" s="321">
        <f t="shared" si="2"/>
        <v>0</v>
      </c>
      <c r="I50" s="321">
        <f t="shared" si="2"/>
        <v>0</v>
      </c>
      <c r="J50" s="321">
        <f t="shared" si="2"/>
        <v>0</v>
      </c>
      <c r="K50" s="321">
        <f t="shared" si="2"/>
        <v>0</v>
      </c>
      <c r="L50" s="321">
        <f t="shared" si="2"/>
        <v>0</v>
      </c>
      <c r="M50" s="321">
        <f t="shared" si="2"/>
        <v>2.5041729874222812E-4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4.6146519643247069E-3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2.5041729874222812E-4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1281.8477678679742</v>
      </c>
      <c r="H54" s="21">
        <f t="shared" si="3"/>
        <v>0</v>
      </c>
      <c r="I54" s="21">
        <f t="shared" si="3"/>
        <v>0</v>
      </c>
      <c r="J54" s="21">
        <f t="shared" si="3"/>
        <v>0</v>
      </c>
      <c r="K54" s="21">
        <f t="shared" si="3"/>
        <v>0</v>
      </c>
      <c r="L54" s="21">
        <f t="shared" si="3"/>
        <v>0</v>
      </c>
      <c r="M54" s="21">
        <f t="shared" si="3"/>
        <v>69.560360761730038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3.9569078800679981E-2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342.25335402074916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12029.505605</v>
      </c>
      <c r="D10" s="689">
        <f ca="1">tertiair!C16</f>
        <v>1221.4285714285716</v>
      </c>
      <c r="E10" s="689">
        <f ca="1">tertiair!D16</f>
        <v>13173.077867397</v>
      </c>
      <c r="F10" s="689">
        <f>tertiair!E16</f>
        <v>38.233487603725635</v>
      </c>
      <c r="G10" s="689">
        <f ca="1">tertiair!F16</f>
        <v>1727.7051575704693</v>
      </c>
      <c r="H10" s="689">
        <f>tertiair!G16</f>
        <v>0</v>
      </c>
      <c r="I10" s="689">
        <f>tertiair!H16</f>
        <v>0</v>
      </c>
      <c r="J10" s="689">
        <f>tertiair!I16</f>
        <v>0</v>
      </c>
      <c r="K10" s="689">
        <f>tertiair!J16</f>
        <v>1.4975995464862113E-2</v>
      </c>
      <c r="L10" s="689">
        <f>tertiair!K16</f>
        <v>0</v>
      </c>
      <c r="M10" s="689">
        <f ca="1">tertiair!L16</f>
        <v>0</v>
      </c>
      <c r="N10" s="689">
        <f>tertiair!M16</f>
        <v>0</v>
      </c>
      <c r="O10" s="689">
        <f ca="1">tertiair!N16</f>
        <v>0</v>
      </c>
      <c r="P10" s="689">
        <f>tertiair!O16</f>
        <v>9.7945215316823084</v>
      </c>
      <c r="Q10" s="690">
        <f>tertiair!P16</f>
        <v>52.539138306495019</v>
      </c>
      <c r="R10" s="692">
        <f ca="1">SUM(C10:Q10)</f>
        <v>28252.299324833406</v>
      </c>
      <c r="S10" s="67"/>
    </row>
    <row r="11" spans="1:19" s="451" customFormat="1">
      <c r="A11" s="811" t="s">
        <v>224</v>
      </c>
      <c r="B11" s="816"/>
      <c r="C11" s="689">
        <f>huishoudens!B8</f>
        <v>20768.480675411607</v>
      </c>
      <c r="D11" s="689">
        <f>huishoudens!C8</f>
        <v>0</v>
      </c>
      <c r="E11" s="689">
        <f>huishoudens!D8</f>
        <v>47967.67963942491</v>
      </c>
      <c r="F11" s="689">
        <f>huishoudens!E8</f>
        <v>4235.3692105858327</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13608.972080411633</v>
      </c>
      <c r="P11" s="689">
        <f>huishoudens!O8</f>
        <v>541.62059389265971</v>
      </c>
      <c r="Q11" s="690">
        <f>huishoudens!P8</f>
        <v>389.75649438434584</v>
      </c>
      <c r="R11" s="692">
        <f>SUM(C11:Q11)</f>
        <v>87511.878694110987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5054.4988280000007</v>
      </c>
      <c r="D13" s="689">
        <f>industrie!C18</f>
        <v>0</v>
      </c>
      <c r="E13" s="689">
        <f>industrie!D18</f>
        <v>8920.3479496740019</v>
      </c>
      <c r="F13" s="689">
        <f>industrie!E18</f>
        <v>16.500901348309029</v>
      </c>
      <c r="G13" s="689">
        <f>industrie!F18</f>
        <v>1854.97006390352</v>
      </c>
      <c r="H13" s="689">
        <f>industrie!G18</f>
        <v>0</v>
      </c>
      <c r="I13" s="689">
        <f>industrie!H18</f>
        <v>0</v>
      </c>
      <c r="J13" s="689">
        <f>industrie!I18</f>
        <v>0</v>
      </c>
      <c r="K13" s="689">
        <f>industrie!J18</f>
        <v>0.46044012068867229</v>
      </c>
      <c r="L13" s="689">
        <f>industrie!K18</f>
        <v>0</v>
      </c>
      <c r="M13" s="689">
        <f>industrie!L18</f>
        <v>0</v>
      </c>
      <c r="N13" s="689">
        <f>industrie!M18</f>
        <v>0</v>
      </c>
      <c r="O13" s="689">
        <f>industrie!N18</f>
        <v>290.50337195329564</v>
      </c>
      <c r="P13" s="689">
        <f>industrie!O18</f>
        <v>0</v>
      </c>
      <c r="Q13" s="690">
        <f>industrie!P18</f>
        <v>0</v>
      </c>
      <c r="R13" s="692">
        <f>SUM(C13:Q13)</f>
        <v>16137.281554999816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37852.485108411609</v>
      </c>
      <c r="D16" s="725">
        <f t="shared" ref="D16:R16" ca="1" si="0">SUM(D9:D15)</f>
        <v>1221.4285714285716</v>
      </c>
      <c r="E16" s="725">
        <f t="shared" ca="1" si="0"/>
        <v>70061.105456495905</v>
      </c>
      <c r="F16" s="725">
        <f t="shared" si="0"/>
        <v>4290.103599537867</v>
      </c>
      <c r="G16" s="725">
        <f t="shared" ca="1" si="0"/>
        <v>3582.675221473989</v>
      </c>
      <c r="H16" s="725">
        <f t="shared" si="0"/>
        <v>0</v>
      </c>
      <c r="I16" s="725">
        <f t="shared" si="0"/>
        <v>0</v>
      </c>
      <c r="J16" s="725">
        <f t="shared" si="0"/>
        <v>0</v>
      </c>
      <c r="K16" s="725">
        <f t="shared" si="0"/>
        <v>0.47541611615353441</v>
      </c>
      <c r="L16" s="725">
        <f t="shared" si="0"/>
        <v>0</v>
      </c>
      <c r="M16" s="725">
        <f t="shared" ca="1" si="0"/>
        <v>0</v>
      </c>
      <c r="N16" s="725">
        <f t="shared" si="0"/>
        <v>0</v>
      </c>
      <c r="O16" s="725">
        <f t="shared" ca="1" si="0"/>
        <v>13899.475452364928</v>
      </c>
      <c r="P16" s="725">
        <f t="shared" si="0"/>
        <v>551.41511542434205</v>
      </c>
      <c r="Q16" s="725">
        <f t="shared" si="0"/>
        <v>442.29563269084088</v>
      </c>
      <c r="R16" s="725">
        <f t="shared" ca="1" si="0"/>
        <v>131901.45957394422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1281.8477678679742</v>
      </c>
      <c r="I19" s="689">
        <f>transport!H54</f>
        <v>0</v>
      </c>
      <c r="J19" s="689">
        <f>transport!I54</f>
        <v>0</v>
      </c>
      <c r="K19" s="689">
        <f>transport!J54</f>
        <v>0</v>
      </c>
      <c r="L19" s="689">
        <f>transport!K54</f>
        <v>0</v>
      </c>
      <c r="M19" s="689">
        <f>transport!L54</f>
        <v>0</v>
      </c>
      <c r="N19" s="689">
        <f>transport!M54</f>
        <v>69.560360761730038</v>
      </c>
      <c r="O19" s="689">
        <f>transport!N54</f>
        <v>0</v>
      </c>
      <c r="P19" s="689">
        <f>transport!O54</f>
        <v>0</v>
      </c>
      <c r="Q19" s="690">
        <f>transport!P54</f>
        <v>0</v>
      </c>
      <c r="R19" s="692">
        <f>SUM(C19:Q19)</f>
        <v>1351.4081286297042</v>
      </c>
      <c r="S19" s="67"/>
    </row>
    <row r="20" spans="1:19" s="451" customFormat="1">
      <c r="A20" s="811" t="s">
        <v>306</v>
      </c>
      <c r="B20" s="816"/>
      <c r="C20" s="689">
        <f>transport!B14</f>
        <v>109.2753225362718</v>
      </c>
      <c r="D20" s="689">
        <f>transport!C14</f>
        <v>0</v>
      </c>
      <c r="E20" s="689">
        <f>transport!D14</f>
        <v>411.14691150210575</v>
      </c>
      <c r="F20" s="689">
        <f>transport!E14</f>
        <v>256.72974004116935</v>
      </c>
      <c r="G20" s="689">
        <f>transport!F14</f>
        <v>0</v>
      </c>
      <c r="H20" s="689">
        <f>transport!G14</f>
        <v>155310.42503995838</v>
      </c>
      <c r="I20" s="689">
        <f>transport!H14</f>
        <v>26991.44038680632</v>
      </c>
      <c r="J20" s="689">
        <f>transport!I14</f>
        <v>0</v>
      </c>
      <c r="K20" s="689">
        <f>transport!J14</f>
        <v>0</v>
      </c>
      <c r="L20" s="689">
        <f>transport!K14</f>
        <v>0</v>
      </c>
      <c r="M20" s="689">
        <f>transport!L14</f>
        <v>0</v>
      </c>
      <c r="N20" s="689">
        <f>transport!M14</f>
        <v>10620.516827099556</v>
      </c>
      <c r="O20" s="689">
        <f>transport!N14</f>
        <v>0</v>
      </c>
      <c r="P20" s="689">
        <f>transport!O14</f>
        <v>0</v>
      </c>
      <c r="Q20" s="690">
        <f>transport!P14</f>
        <v>0</v>
      </c>
      <c r="R20" s="692">
        <f>SUM(C20:Q20)</f>
        <v>193699.5342279438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109.2753225362718</v>
      </c>
      <c r="D22" s="814">
        <f t="shared" ref="D22:R22" si="1">SUM(D18:D21)</f>
        <v>0</v>
      </c>
      <c r="E22" s="814">
        <f t="shared" si="1"/>
        <v>411.14691150210575</v>
      </c>
      <c r="F22" s="814">
        <f t="shared" si="1"/>
        <v>256.72974004116935</v>
      </c>
      <c r="G22" s="814">
        <f t="shared" si="1"/>
        <v>0</v>
      </c>
      <c r="H22" s="814">
        <f t="shared" si="1"/>
        <v>156592.27280782635</v>
      </c>
      <c r="I22" s="814">
        <f t="shared" si="1"/>
        <v>26991.44038680632</v>
      </c>
      <c r="J22" s="814">
        <f t="shared" si="1"/>
        <v>0</v>
      </c>
      <c r="K22" s="814">
        <f t="shared" si="1"/>
        <v>0</v>
      </c>
      <c r="L22" s="814">
        <f t="shared" si="1"/>
        <v>0</v>
      </c>
      <c r="M22" s="814">
        <f t="shared" si="1"/>
        <v>0</v>
      </c>
      <c r="N22" s="814">
        <f t="shared" si="1"/>
        <v>10690.077187861287</v>
      </c>
      <c r="O22" s="814">
        <f t="shared" si="1"/>
        <v>0</v>
      </c>
      <c r="P22" s="814">
        <f t="shared" si="1"/>
        <v>0</v>
      </c>
      <c r="Q22" s="814">
        <f t="shared" si="1"/>
        <v>0</v>
      </c>
      <c r="R22" s="814">
        <f t="shared" si="1"/>
        <v>195050.94235657351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2508.0350630000003</v>
      </c>
      <c r="D24" s="689">
        <f>+landbouw!C8</f>
        <v>62.357142857142847</v>
      </c>
      <c r="E24" s="689">
        <f>+landbouw!D8</f>
        <v>300.91020447599999</v>
      </c>
      <c r="F24" s="689">
        <f>+landbouw!E8</f>
        <v>93.532299031272998</v>
      </c>
      <c r="G24" s="689">
        <f>+landbouw!F8</f>
        <v>8137.0348872687746</v>
      </c>
      <c r="H24" s="689">
        <f>+landbouw!G8</f>
        <v>0</v>
      </c>
      <c r="I24" s="689">
        <f>+landbouw!H8</f>
        <v>0</v>
      </c>
      <c r="J24" s="689">
        <f>+landbouw!I8</f>
        <v>0</v>
      </c>
      <c r="K24" s="689">
        <f>+landbouw!J8</f>
        <v>658.37158597369375</v>
      </c>
      <c r="L24" s="689">
        <f>+landbouw!K8</f>
        <v>0</v>
      </c>
      <c r="M24" s="689">
        <f>+landbouw!L8</f>
        <v>0</v>
      </c>
      <c r="N24" s="689">
        <f>+landbouw!M8</f>
        <v>0</v>
      </c>
      <c r="O24" s="689">
        <f>+landbouw!N8</f>
        <v>0</v>
      </c>
      <c r="P24" s="689">
        <f>+landbouw!O8</f>
        <v>0</v>
      </c>
      <c r="Q24" s="690">
        <f>+landbouw!P8</f>
        <v>0</v>
      </c>
      <c r="R24" s="692">
        <f>SUM(C24:Q24)</f>
        <v>11760.241182606884</v>
      </c>
      <c r="S24" s="67"/>
    </row>
    <row r="25" spans="1:19" s="451" customFormat="1" ht="15" thickBot="1">
      <c r="A25" s="833" t="s">
        <v>714</v>
      </c>
      <c r="B25" s="947"/>
      <c r="C25" s="948">
        <f>IF(Onbekend_ele_kWh="---",0,Onbekend_ele_kWh)/1000+IF(REST_rest_ele_kWh="---",0,REST_rest_ele_kWh)/1000</f>
        <v>313.30649299999999</v>
      </c>
      <c r="D25" s="948"/>
      <c r="E25" s="948">
        <f>IF(onbekend_gas_kWh="---",0,onbekend_gas_kWh)/1000+IF(REST_rest_gas_kWh="---",0,REST_rest_gas_kWh)/1000</f>
        <v>2891.6840269999998</v>
      </c>
      <c r="F25" s="948"/>
      <c r="G25" s="948"/>
      <c r="H25" s="948"/>
      <c r="I25" s="948"/>
      <c r="J25" s="948"/>
      <c r="K25" s="948"/>
      <c r="L25" s="948"/>
      <c r="M25" s="948"/>
      <c r="N25" s="948"/>
      <c r="O25" s="948"/>
      <c r="P25" s="948"/>
      <c r="Q25" s="949"/>
      <c r="R25" s="692">
        <f>SUM(C25:Q25)</f>
        <v>3204.9905199999998</v>
      </c>
      <c r="S25" s="67"/>
    </row>
    <row r="26" spans="1:19" s="451" customFormat="1" ht="15.75" thickBot="1">
      <c r="A26" s="697" t="s">
        <v>715</v>
      </c>
      <c r="B26" s="819"/>
      <c r="C26" s="814">
        <f>SUM(C24:C25)</f>
        <v>2821.3415560000003</v>
      </c>
      <c r="D26" s="814">
        <f t="shared" ref="D26:R26" si="2">SUM(D24:D25)</f>
        <v>62.357142857142847</v>
      </c>
      <c r="E26" s="814">
        <f t="shared" si="2"/>
        <v>3192.5942314759995</v>
      </c>
      <c r="F26" s="814">
        <f t="shared" si="2"/>
        <v>93.532299031272998</v>
      </c>
      <c r="G26" s="814">
        <f t="shared" si="2"/>
        <v>8137.0348872687746</v>
      </c>
      <c r="H26" s="814">
        <f t="shared" si="2"/>
        <v>0</v>
      </c>
      <c r="I26" s="814">
        <f t="shared" si="2"/>
        <v>0</v>
      </c>
      <c r="J26" s="814">
        <f t="shared" si="2"/>
        <v>0</v>
      </c>
      <c r="K26" s="814">
        <f t="shared" si="2"/>
        <v>658.37158597369375</v>
      </c>
      <c r="L26" s="814">
        <f t="shared" si="2"/>
        <v>0</v>
      </c>
      <c r="M26" s="814">
        <f t="shared" si="2"/>
        <v>0</v>
      </c>
      <c r="N26" s="814">
        <f t="shared" si="2"/>
        <v>0</v>
      </c>
      <c r="O26" s="814">
        <f t="shared" si="2"/>
        <v>0</v>
      </c>
      <c r="P26" s="814">
        <f t="shared" si="2"/>
        <v>0</v>
      </c>
      <c r="Q26" s="814">
        <f t="shared" si="2"/>
        <v>0</v>
      </c>
      <c r="R26" s="814">
        <f t="shared" si="2"/>
        <v>14965.231702606883</v>
      </c>
      <c r="S26" s="67"/>
    </row>
    <row r="27" spans="1:19" s="451" customFormat="1" ht="17.25" thickTop="1" thickBot="1">
      <c r="A27" s="698" t="s">
        <v>115</v>
      </c>
      <c r="B27" s="806"/>
      <c r="C27" s="699">
        <f ca="1">C22+C16+C26</f>
        <v>40783.101986947877</v>
      </c>
      <c r="D27" s="699">
        <f t="shared" ref="D27:R27" ca="1" si="3">D22+D16+D26</f>
        <v>1283.7857142857144</v>
      </c>
      <c r="E27" s="699">
        <f t="shared" ca="1" si="3"/>
        <v>73664.846599474011</v>
      </c>
      <c r="F27" s="699">
        <f t="shared" si="3"/>
        <v>4640.3656386103094</v>
      </c>
      <c r="G27" s="699">
        <f t="shared" ca="1" si="3"/>
        <v>11719.710108742764</v>
      </c>
      <c r="H27" s="699">
        <f t="shared" si="3"/>
        <v>156592.27280782635</v>
      </c>
      <c r="I27" s="699">
        <f t="shared" si="3"/>
        <v>26991.44038680632</v>
      </c>
      <c r="J27" s="699">
        <f t="shared" si="3"/>
        <v>0</v>
      </c>
      <c r="K27" s="699">
        <f t="shared" si="3"/>
        <v>658.84700208984725</v>
      </c>
      <c r="L27" s="699">
        <f t="shared" si="3"/>
        <v>0</v>
      </c>
      <c r="M27" s="699">
        <f t="shared" ca="1" si="3"/>
        <v>0</v>
      </c>
      <c r="N27" s="699">
        <f t="shared" si="3"/>
        <v>10690.077187861287</v>
      </c>
      <c r="O27" s="699">
        <f t="shared" ca="1" si="3"/>
        <v>13899.475452364928</v>
      </c>
      <c r="P27" s="699">
        <f t="shared" si="3"/>
        <v>551.41511542434205</v>
      </c>
      <c r="Q27" s="699">
        <f t="shared" si="3"/>
        <v>442.29563269084088</v>
      </c>
      <c r="R27" s="699">
        <f t="shared" ca="1" si="3"/>
        <v>341917.63363312464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475.99645521746652</v>
      </c>
      <c r="D40" s="689">
        <f ca="1">tertiair!C20</f>
        <v>0</v>
      </c>
      <c r="E40" s="689">
        <f ca="1">tertiair!D20</f>
        <v>2660.9617292141943</v>
      </c>
      <c r="F40" s="689">
        <f>tertiair!E20</f>
        <v>8.6790016860457193</v>
      </c>
      <c r="G40" s="689">
        <f ca="1">tertiair!F20</f>
        <v>461.29727707131531</v>
      </c>
      <c r="H40" s="689">
        <f>tertiair!G20</f>
        <v>0</v>
      </c>
      <c r="I40" s="689">
        <f>tertiair!H20</f>
        <v>0</v>
      </c>
      <c r="J40" s="689">
        <f>tertiair!I20</f>
        <v>0</v>
      </c>
      <c r="K40" s="689">
        <f>tertiair!J20</f>
        <v>5.301502394561188E-3</v>
      </c>
      <c r="L40" s="689">
        <f>tertiair!K20</f>
        <v>0</v>
      </c>
      <c r="M40" s="689">
        <f ca="1">tertiair!L20</f>
        <v>0</v>
      </c>
      <c r="N40" s="689">
        <f>tertiair!M20</f>
        <v>0</v>
      </c>
      <c r="O40" s="689">
        <f ca="1">tertiair!N20</f>
        <v>0</v>
      </c>
      <c r="P40" s="689">
        <f>tertiair!O20</f>
        <v>0</v>
      </c>
      <c r="Q40" s="772">
        <f>tertiair!P20</f>
        <v>0</v>
      </c>
      <c r="R40" s="852">
        <f t="shared" ca="1" si="4"/>
        <v>3606.9397646914167</v>
      </c>
    </row>
    <row r="41" spans="1:18">
      <c r="A41" s="824" t="s">
        <v>224</v>
      </c>
      <c r="B41" s="831"/>
      <c r="C41" s="689">
        <f ca="1">huishoudens!B12</f>
        <v>821.78964841576123</v>
      </c>
      <c r="D41" s="689">
        <f ca="1">huishoudens!C12</f>
        <v>0</v>
      </c>
      <c r="E41" s="689">
        <f>huishoudens!D12</f>
        <v>9689.471287163833</v>
      </c>
      <c r="F41" s="689">
        <f>huishoudens!E12</f>
        <v>961.428810802984</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11472.689746382577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200.00186242307663</v>
      </c>
      <c r="D43" s="689">
        <f ca="1">industrie!C22</f>
        <v>0</v>
      </c>
      <c r="E43" s="689">
        <f>industrie!D22</f>
        <v>1801.9102858341485</v>
      </c>
      <c r="F43" s="689">
        <f>industrie!E22</f>
        <v>3.7457046060661496</v>
      </c>
      <c r="G43" s="689">
        <f>industrie!F22</f>
        <v>495.27700706223987</v>
      </c>
      <c r="H43" s="689">
        <f>industrie!G22</f>
        <v>0</v>
      </c>
      <c r="I43" s="689">
        <f>industrie!H22</f>
        <v>0</v>
      </c>
      <c r="J43" s="689">
        <f>industrie!I22</f>
        <v>0</v>
      </c>
      <c r="K43" s="689">
        <f>industrie!J22</f>
        <v>0.16299580272379</v>
      </c>
      <c r="L43" s="689">
        <f>industrie!K22</f>
        <v>0</v>
      </c>
      <c r="M43" s="689">
        <f>industrie!L22</f>
        <v>0</v>
      </c>
      <c r="N43" s="689">
        <f>industrie!M22</f>
        <v>0</v>
      </c>
      <c r="O43" s="689">
        <f>industrie!N22</f>
        <v>0</v>
      </c>
      <c r="P43" s="689">
        <f>industrie!O22</f>
        <v>0</v>
      </c>
      <c r="Q43" s="772">
        <f>industrie!P22</f>
        <v>0</v>
      </c>
      <c r="R43" s="851">
        <f t="shared" ca="1" si="4"/>
        <v>2501.0978557282547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1497.7879660563044</v>
      </c>
      <c r="D46" s="725">
        <f t="shared" ref="D46:Q46" ca="1" si="5">SUM(D39:D45)</f>
        <v>0</v>
      </c>
      <c r="E46" s="725">
        <f t="shared" ca="1" si="5"/>
        <v>14152.343302212175</v>
      </c>
      <c r="F46" s="725">
        <f t="shared" si="5"/>
        <v>973.85351709509587</v>
      </c>
      <c r="G46" s="725">
        <f t="shared" ca="1" si="5"/>
        <v>956.57428413355524</v>
      </c>
      <c r="H46" s="725">
        <f t="shared" si="5"/>
        <v>0</v>
      </c>
      <c r="I46" s="725">
        <f t="shared" si="5"/>
        <v>0</v>
      </c>
      <c r="J46" s="725">
        <f t="shared" si="5"/>
        <v>0</v>
      </c>
      <c r="K46" s="725">
        <f t="shared" si="5"/>
        <v>0.16829730511835117</v>
      </c>
      <c r="L46" s="725">
        <f t="shared" si="5"/>
        <v>0</v>
      </c>
      <c r="M46" s="725">
        <f t="shared" ca="1" si="5"/>
        <v>0</v>
      </c>
      <c r="N46" s="725">
        <f t="shared" si="5"/>
        <v>0</v>
      </c>
      <c r="O46" s="725">
        <f t="shared" ca="1" si="5"/>
        <v>0</v>
      </c>
      <c r="P46" s="725">
        <f t="shared" si="5"/>
        <v>0</v>
      </c>
      <c r="Q46" s="725">
        <f t="shared" si="5"/>
        <v>0</v>
      </c>
      <c r="R46" s="725">
        <f ca="1">SUM(R39:R45)</f>
        <v>17580.72736680225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342.25335402074916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342.25335402074916</v>
      </c>
    </row>
    <row r="50" spans="1:18">
      <c r="A50" s="827" t="s">
        <v>306</v>
      </c>
      <c r="B50" s="837"/>
      <c r="C50" s="695">
        <f ca="1">transport!B18</f>
        <v>4.3239238484074596</v>
      </c>
      <c r="D50" s="695">
        <f>transport!C18</f>
        <v>0</v>
      </c>
      <c r="E50" s="695">
        <f>transport!D18</f>
        <v>83.051676123425366</v>
      </c>
      <c r="F50" s="695">
        <f>transport!E18</f>
        <v>58.277650989345446</v>
      </c>
      <c r="G50" s="695">
        <f>transport!F18</f>
        <v>0</v>
      </c>
      <c r="H50" s="695">
        <f>transport!G18</f>
        <v>41467.883485668892</v>
      </c>
      <c r="I50" s="695">
        <f>transport!H18</f>
        <v>6720.8686563147739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48334.405392944842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4.3239238484074596</v>
      </c>
      <c r="D52" s="725">
        <f t="shared" ref="D52:Q52" ca="1" si="6">SUM(D48:D51)</f>
        <v>0</v>
      </c>
      <c r="E52" s="725">
        <f t="shared" si="6"/>
        <v>83.051676123425366</v>
      </c>
      <c r="F52" s="725">
        <f t="shared" si="6"/>
        <v>58.277650989345446</v>
      </c>
      <c r="G52" s="725">
        <f t="shared" si="6"/>
        <v>0</v>
      </c>
      <c r="H52" s="725">
        <f t="shared" si="6"/>
        <v>41810.136839689643</v>
      </c>
      <c r="I52" s="725">
        <f t="shared" si="6"/>
        <v>6720.8686563147739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48676.658746965593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99.240637042715392</v>
      </c>
      <c r="D54" s="695">
        <f ca="1">+landbouw!C12</f>
        <v>0</v>
      </c>
      <c r="E54" s="695">
        <f>+landbouw!D12</f>
        <v>60.783861304152005</v>
      </c>
      <c r="F54" s="695">
        <f>+landbouw!E12</f>
        <v>21.231831880098973</v>
      </c>
      <c r="G54" s="695">
        <f>+landbouw!F12</f>
        <v>2172.5883149007627</v>
      </c>
      <c r="H54" s="695">
        <f>+landbouw!G12</f>
        <v>0</v>
      </c>
      <c r="I54" s="695">
        <f>+landbouw!H12</f>
        <v>0</v>
      </c>
      <c r="J54" s="695">
        <f>+landbouw!I12</f>
        <v>0</v>
      </c>
      <c r="K54" s="695">
        <f>+landbouw!J12</f>
        <v>233.06354143468758</v>
      </c>
      <c r="L54" s="695">
        <f>+landbouw!K12</f>
        <v>0</v>
      </c>
      <c r="M54" s="695">
        <f>+landbouw!L12</f>
        <v>0</v>
      </c>
      <c r="N54" s="695">
        <f>+landbouw!M12</f>
        <v>0</v>
      </c>
      <c r="O54" s="695">
        <f>+landbouw!N12</f>
        <v>0</v>
      </c>
      <c r="P54" s="695">
        <f>+landbouw!O12</f>
        <v>0</v>
      </c>
      <c r="Q54" s="696">
        <f>+landbouw!P12</f>
        <v>0</v>
      </c>
      <c r="R54" s="724">
        <f ca="1">SUM(C54:Q54)</f>
        <v>2586.9081865624166</v>
      </c>
    </row>
    <row r="55" spans="1:18" ht="15" thickBot="1">
      <c r="A55" s="827" t="s">
        <v>714</v>
      </c>
      <c r="B55" s="837"/>
      <c r="C55" s="695">
        <f ca="1">C25*'EF ele_warmte'!B12</f>
        <v>12.397249310281691</v>
      </c>
      <c r="D55" s="695"/>
      <c r="E55" s="695">
        <f>E25*EF_CO2_aardgas</f>
        <v>584.120173454</v>
      </c>
      <c r="F55" s="695"/>
      <c r="G55" s="695"/>
      <c r="H55" s="695"/>
      <c r="I55" s="695"/>
      <c r="J55" s="695"/>
      <c r="K55" s="695"/>
      <c r="L55" s="695"/>
      <c r="M55" s="695"/>
      <c r="N55" s="695"/>
      <c r="O55" s="695"/>
      <c r="P55" s="695"/>
      <c r="Q55" s="696"/>
      <c r="R55" s="724">
        <f ca="1">SUM(C55:Q55)</f>
        <v>596.51742276428172</v>
      </c>
    </row>
    <row r="56" spans="1:18" ht="15.75" thickBot="1">
      <c r="A56" s="825" t="s">
        <v>715</v>
      </c>
      <c r="B56" s="838"/>
      <c r="C56" s="725">
        <f ca="1">SUM(C54:C55)</f>
        <v>111.63788635299709</v>
      </c>
      <c r="D56" s="725">
        <f t="shared" ref="D56:Q56" ca="1" si="7">SUM(D54:D55)</f>
        <v>0</v>
      </c>
      <c r="E56" s="725">
        <f t="shared" si="7"/>
        <v>644.90403475815197</v>
      </c>
      <c r="F56" s="725">
        <f t="shared" si="7"/>
        <v>21.231831880098973</v>
      </c>
      <c r="G56" s="725">
        <f t="shared" si="7"/>
        <v>2172.5883149007627</v>
      </c>
      <c r="H56" s="725">
        <f t="shared" si="7"/>
        <v>0</v>
      </c>
      <c r="I56" s="725">
        <f t="shared" si="7"/>
        <v>0</v>
      </c>
      <c r="J56" s="725">
        <f t="shared" si="7"/>
        <v>0</v>
      </c>
      <c r="K56" s="725">
        <f t="shared" si="7"/>
        <v>233.06354143468758</v>
      </c>
      <c r="L56" s="725">
        <f t="shared" si="7"/>
        <v>0</v>
      </c>
      <c r="M56" s="725">
        <f t="shared" si="7"/>
        <v>0</v>
      </c>
      <c r="N56" s="725">
        <f t="shared" si="7"/>
        <v>0</v>
      </c>
      <c r="O56" s="725">
        <f t="shared" si="7"/>
        <v>0</v>
      </c>
      <c r="P56" s="725">
        <f t="shared" si="7"/>
        <v>0</v>
      </c>
      <c r="Q56" s="726">
        <f t="shared" si="7"/>
        <v>0</v>
      </c>
      <c r="R56" s="727">
        <f ca="1">SUM(R54:R55)</f>
        <v>3183.4256093266986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1613.7497762577091</v>
      </c>
      <c r="D61" s="733">
        <f t="shared" ref="D61:Q61" ca="1" si="8">D46+D52+D56</f>
        <v>0</v>
      </c>
      <c r="E61" s="733">
        <f t="shared" ca="1" si="8"/>
        <v>14880.299013093752</v>
      </c>
      <c r="F61" s="733">
        <f t="shared" si="8"/>
        <v>1053.3629999645402</v>
      </c>
      <c r="G61" s="733">
        <f t="shared" ca="1" si="8"/>
        <v>3129.1625990343182</v>
      </c>
      <c r="H61" s="733">
        <f t="shared" si="8"/>
        <v>41810.136839689643</v>
      </c>
      <c r="I61" s="733">
        <f t="shared" si="8"/>
        <v>6720.8686563147739</v>
      </c>
      <c r="J61" s="733">
        <f t="shared" si="8"/>
        <v>0</v>
      </c>
      <c r="K61" s="733">
        <f t="shared" si="8"/>
        <v>233.23183873980594</v>
      </c>
      <c r="L61" s="733">
        <f t="shared" si="8"/>
        <v>0</v>
      </c>
      <c r="M61" s="733">
        <f t="shared" ca="1" si="8"/>
        <v>0</v>
      </c>
      <c r="N61" s="733">
        <f t="shared" si="8"/>
        <v>0</v>
      </c>
      <c r="O61" s="733">
        <f t="shared" ca="1" si="8"/>
        <v>0</v>
      </c>
      <c r="P61" s="733">
        <f t="shared" si="8"/>
        <v>0</v>
      </c>
      <c r="Q61" s="733">
        <f t="shared" si="8"/>
        <v>0</v>
      </c>
      <c r="R61" s="733">
        <f ca="1">R46+R52+R56</f>
        <v>69440.81172309455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3.9569078800679988E-2</v>
      </c>
      <c r="D63" s="779">
        <f t="shared" ca="1" si="9"/>
        <v>0</v>
      </c>
      <c r="E63" s="973">
        <f t="shared" ca="1" si="9"/>
        <v>0.20200000000000004</v>
      </c>
      <c r="F63" s="779">
        <f t="shared" si="9"/>
        <v>0.22700000000000001</v>
      </c>
      <c r="G63" s="779">
        <f t="shared" ca="1" si="9"/>
        <v>0.26700000000000002</v>
      </c>
      <c r="H63" s="779">
        <f t="shared" si="9"/>
        <v>0.26700000000000007</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25738.002061195177</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6439.414739066231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898.65</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1057.2352941176471</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405</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1012.5</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33481.066800261411</v>
      </c>
      <c r="C78" s="751">
        <f>SUM(C72:C77)</f>
        <v>0</v>
      </c>
      <c r="D78" s="752">
        <f t="shared" ref="D78:H78" si="10">SUM(D76:D77)</f>
        <v>0</v>
      </c>
      <c r="E78" s="752">
        <f t="shared" si="10"/>
        <v>0</v>
      </c>
      <c r="F78" s="752">
        <f t="shared" si="10"/>
        <v>0</v>
      </c>
      <c r="G78" s="752">
        <f t="shared" si="10"/>
        <v>0</v>
      </c>
      <c r="H78" s="752">
        <f t="shared" si="10"/>
        <v>0</v>
      </c>
      <c r="I78" s="752">
        <f>SUM(I76:I77)</f>
        <v>1012.5</v>
      </c>
      <c r="J78" s="752">
        <f>SUM(J76:J77)</f>
        <v>1057.2352941176471</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1283.7857142857144</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1510.3361344537818</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1283.7857142857144</v>
      </c>
      <c r="C90" s="751">
        <f>SUM(C87:C89)</f>
        <v>0</v>
      </c>
      <c r="D90" s="751">
        <f t="shared" ref="D90:H90" si="12">SUM(D87:D89)</f>
        <v>0</v>
      </c>
      <c r="E90" s="751">
        <f t="shared" si="12"/>
        <v>0</v>
      </c>
      <c r="F90" s="751">
        <f t="shared" si="12"/>
        <v>0</v>
      </c>
      <c r="G90" s="751">
        <f t="shared" si="12"/>
        <v>0</v>
      </c>
      <c r="H90" s="751">
        <f t="shared" si="12"/>
        <v>0</v>
      </c>
      <c r="I90" s="751">
        <f>SUM(I87:I89)</f>
        <v>0</v>
      </c>
      <c r="J90" s="751">
        <f>SUM(J87:J89)</f>
        <v>1510.3361344537818</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25738.002061195177</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6439.414739066231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898.65</v>
      </c>
      <c r="C8" s="551">
        <f>B49</f>
        <v>0</v>
      </c>
      <c r="D8" s="552"/>
      <c r="E8" s="552">
        <f>E49</f>
        <v>0</v>
      </c>
      <c r="F8" s="553"/>
      <c r="G8" s="554"/>
      <c r="H8" s="552">
        <f>I49</f>
        <v>0</v>
      </c>
      <c r="I8" s="552">
        <f>G49+F49</f>
        <v>0</v>
      </c>
      <c r="J8" s="552">
        <f>H49+D49+C49</f>
        <v>1057.2352941176471</v>
      </c>
      <c r="K8" s="552"/>
      <c r="L8" s="552"/>
      <c r="M8" s="552"/>
      <c r="N8" s="555"/>
      <c r="O8" s="556">
        <f>C8*$C$12+D8*$D$12+E8*$E$12+F8*$F$12+G8*$G$12+H8*$H$12+I8*$I$12+J8*$J$12</f>
        <v>0</v>
      </c>
      <c r="P8" s="1256"/>
      <c r="Q8" s="1257"/>
      <c r="S8" s="546"/>
      <c r="T8" s="1244"/>
      <c r="U8" s="1244"/>
    </row>
    <row r="9" spans="1:21" s="537" customFormat="1" ht="17.45" customHeight="1" thickBot="1">
      <c r="A9" s="557" t="s">
        <v>247</v>
      </c>
      <c r="B9" s="558">
        <f>N37+'Eigen informatie GS &amp; warmtenet'!B12</f>
        <v>405</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33481.066800261411</v>
      </c>
      <c r="C10" s="566">
        <f t="shared" ref="C10:L10" si="0">SUM(C8:C9)</f>
        <v>0</v>
      </c>
      <c r="D10" s="566">
        <f t="shared" si="0"/>
        <v>0</v>
      </c>
      <c r="E10" s="566">
        <f t="shared" si="0"/>
        <v>0</v>
      </c>
      <c r="F10" s="566">
        <f t="shared" si="0"/>
        <v>0</v>
      </c>
      <c r="G10" s="566">
        <f t="shared" si="0"/>
        <v>0</v>
      </c>
      <c r="H10" s="566">
        <f t="shared" si="0"/>
        <v>0</v>
      </c>
      <c r="I10" s="566">
        <f t="shared" si="0"/>
        <v>1012.5</v>
      </c>
      <c r="J10" s="566">
        <f t="shared" si="0"/>
        <v>1057.2352941176471</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1283.7857142857144</v>
      </c>
      <c r="C17" s="582">
        <f>B50</f>
        <v>0</v>
      </c>
      <c r="D17" s="583"/>
      <c r="E17" s="583">
        <f>E50</f>
        <v>0</v>
      </c>
      <c r="F17" s="584"/>
      <c r="G17" s="585"/>
      <c r="H17" s="582">
        <f>I50</f>
        <v>0</v>
      </c>
      <c r="I17" s="583">
        <f>G50+F50</f>
        <v>0</v>
      </c>
      <c r="J17" s="583">
        <f>H50+D50+C50</f>
        <v>1510.3361344537818</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1283.7857142857144</v>
      </c>
      <c r="C20" s="565">
        <f>SUM(C17:C19)</f>
        <v>0</v>
      </c>
      <c r="D20" s="565">
        <f t="shared" ref="D20:L20" si="1">SUM(D17:D19)</f>
        <v>0</v>
      </c>
      <c r="E20" s="565">
        <f t="shared" si="1"/>
        <v>0</v>
      </c>
      <c r="F20" s="565">
        <f t="shared" si="1"/>
        <v>0</v>
      </c>
      <c r="G20" s="565">
        <f t="shared" si="1"/>
        <v>0</v>
      </c>
      <c r="H20" s="565">
        <f t="shared" si="1"/>
        <v>0</v>
      </c>
      <c r="I20" s="565">
        <f t="shared" si="1"/>
        <v>0</v>
      </c>
      <c r="J20" s="565">
        <f t="shared" si="1"/>
        <v>1510.3361344537818</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35005</v>
      </c>
      <c r="C28" s="794">
        <v>8470</v>
      </c>
      <c r="D28" s="643" t="s">
        <v>865</v>
      </c>
      <c r="E28" s="642" t="s">
        <v>866</v>
      </c>
      <c r="F28" s="642" t="s">
        <v>867</v>
      </c>
      <c r="G28" s="642" t="s">
        <v>868</v>
      </c>
      <c r="H28" s="642" t="s">
        <v>869</v>
      </c>
      <c r="I28" s="642" t="s">
        <v>866</v>
      </c>
      <c r="J28" s="793">
        <v>41117</v>
      </c>
      <c r="K28" s="793">
        <v>41275</v>
      </c>
      <c r="L28" s="642" t="s">
        <v>870</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96" customFormat="1" ht="25.5">
      <c r="A29" s="595"/>
      <c r="B29" s="794">
        <v>35005</v>
      </c>
      <c r="C29" s="794">
        <v>8470</v>
      </c>
      <c r="D29" s="643" t="s">
        <v>871</v>
      </c>
      <c r="E29" s="642" t="s">
        <v>872</v>
      </c>
      <c r="F29" s="642" t="s">
        <v>873</v>
      </c>
      <c r="G29" s="642" t="s">
        <v>868</v>
      </c>
      <c r="H29" s="642" t="s">
        <v>869</v>
      </c>
      <c r="I29" s="642" t="s">
        <v>874</v>
      </c>
      <c r="J29" s="793">
        <v>41400</v>
      </c>
      <c r="K29" s="793">
        <v>41400</v>
      </c>
      <c r="L29" s="642" t="s">
        <v>870</v>
      </c>
      <c r="M29" s="642">
        <v>190</v>
      </c>
      <c r="N29" s="642">
        <v>855</v>
      </c>
      <c r="O29" s="642">
        <v>1221.4285714285716</v>
      </c>
      <c r="P29" s="642">
        <v>0</v>
      </c>
      <c r="Q29" s="642">
        <v>2442.8571428571431</v>
      </c>
      <c r="R29" s="642">
        <v>0</v>
      </c>
      <c r="S29" s="642">
        <v>0</v>
      </c>
      <c r="T29" s="642">
        <v>0</v>
      </c>
      <c r="U29" s="642">
        <v>0</v>
      </c>
      <c r="V29" s="642">
        <v>0</v>
      </c>
      <c r="W29" s="642">
        <v>0</v>
      </c>
      <c r="X29" s="642">
        <v>1600</v>
      </c>
      <c r="Y29" s="642" t="s">
        <v>53</v>
      </c>
      <c r="Z29" s="644" t="s">
        <v>155</v>
      </c>
    </row>
    <row r="30" spans="1:26" s="576" customFormat="1">
      <c r="A30" s="598" t="s">
        <v>279</v>
      </c>
      <c r="B30" s="599"/>
      <c r="C30" s="599"/>
      <c r="D30" s="599"/>
      <c r="E30" s="599"/>
      <c r="F30" s="599"/>
      <c r="G30" s="599"/>
      <c r="H30" s="599"/>
      <c r="I30" s="599"/>
      <c r="J30" s="599"/>
      <c r="K30" s="599"/>
      <c r="L30" s="600"/>
      <c r="M30" s="600">
        <f>SUM(M28:M29)</f>
        <v>199.7</v>
      </c>
      <c r="N30" s="600">
        <f>SUM(N28:N29)</f>
        <v>898.65</v>
      </c>
      <c r="O30" s="600">
        <f>SUM(O28:O29)</f>
        <v>1283.7857142857144</v>
      </c>
      <c r="P30" s="600">
        <f>SUM(P28:P29)</f>
        <v>0</v>
      </c>
      <c r="Q30" s="600">
        <f>SUM(Q28:Q29)</f>
        <v>2567.5714285714289</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0</v>
      </c>
      <c r="N31" s="600">
        <f>SUMIF($Z$28:$Z$29,"industrie",N28:N29)</f>
        <v>0</v>
      </c>
      <c r="O31" s="600">
        <f>SUMIF($Z$28:$Z$29,"industrie",O28:O29)</f>
        <v>0</v>
      </c>
      <c r="P31" s="600">
        <f>SUMIF($Z$28:$Z$29,"industrie",P28:P29)</f>
        <v>0</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190</v>
      </c>
      <c r="N32" s="600">
        <f ca="1">SUMIF($Z$28:AD29,"tertiair",N28:N29)</f>
        <v>855</v>
      </c>
      <c r="O32" s="600">
        <f ca="1">SUMIF($Z$28:AE29,"tertiair",O28:O29)</f>
        <v>1221.4285714285716</v>
      </c>
      <c r="P32" s="600">
        <f ca="1">SUMIF($Z$28:AF29,"tertiair",P28:P29)</f>
        <v>0</v>
      </c>
      <c r="Q32" s="600">
        <f ca="1">SUMIF($Z$28:AG29,"tertiair",Q28:Q29)</f>
        <v>2442.8571428571431</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9.6999999999999993</v>
      </c>
      <c r="N33" s="605">
        <f>SUMIF($Z$28:$Z$29,"landbouw",N28:N29)</f>
        <v>43.649999999999991</v>
      </c>
      <c r="O33" s="605">
        <f>SUMIF($Z$28:$Z$29,"landbouw",O28:O29)</f>
        <v>62.357142857142847</v>
      </c>
      <c r="P33" s="605">
        <f>SUMIF($Z$28:$Z$29,"landbouw",P28:P29)</f>
        <v>0</v>
      </c>
      <c r="Q33" s="605">
        <f>SUMIF($Z$28:$Z$29,"landbouw",Q28:Q29)</f>
        <v>124.71428571428569</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38.25">
      <c r="A36" s="597"/>
      <c r="B36" s="794">
        <v>35005</v>
      </c>
      <c r="C36" s="794">
        <v>8470</v>
      </c>
      <c r="D36" s="645" t="s">
        <v>875</v>
      </c>
      <c r="E36" s="645" t="s">
        <v>876</v>
      </c>
      <c r="F36" s="645" t="s">
        <v>877</v>
      </c>
      <c r="G36" s="645" t="s">
        <v>878</v>
      </c>
      <c r="H36" s="645" t="s">
        <v>879</v>
      </c>
      <c r="I36" s="645" t="s">
        <v>876</v>
      </c>
      <c r="J36" s="793">
        <v>38944</v>
      </c>
      <c r="K36" s="793">
        <v>39239</v>
      </c>
      <c r="L36" s="645" t="s">
        <v>870</v>
      </c>
      <c r="M36" s="645">
        <v>90</v>
      </c>
      <c r="N36" s="645">
        <v>405</v>
      </c>
      <c r="O36" s="645">
        <v>0</v>
      </c>
      <c r="P36" s="645">
        <v>0</v>
      </c>
      <c r="Q36" s="645">
        <v>0</v>
      </c>
      <c r="R36" s="645">
        <v>0</v>
      </c>
      <c r="S36" s="645">
        <v>0</v>
      </c>
      <c r="T36" s="645">
        <v>0</v>
      </c>
      <c r="U36" s="645">
        <v>1012.5</v>
      </c>
      <c r="V36" s="645">
        <v>0</v>
      </c>
      <c r="W36" s="645">
        <v>0</v>
      </c>
      <c r="X36" s="645">
        <v>10</v>
      </c>
      <c r="Y36" s="645" t="s">
        <v>111</v>
      </c>
      <c r="Z36" s="646" t="s">
        <v>111</v>
      </c>
    </row>
    <row r="37" spans="1:27" s="576" customFormat="1">
      <c r="A37" s="598" t="s">
        <v>279</v>
      </c>
      <c r="B37" s="599"/>
      <c r="C37" s="599"/>
      <c r="D37" s="599"/>
      <c r="E37" s="599"/>
      <c r="F37" s="599"/>
      <c r="G37" s="599"/>
      <c r="H37" s="599"/>
      <c r="I37" s="599"/>
      <c r="J37" s="599"/>
      <c r="K37" s="599"/>
      <c r="L37" s="600"/>
      <c r="M37" s="600">
        <f>SUM(M36:M36)</f>
        <v>90</v>
      </c>
      <c r="N37" s="600">
        <f>SUM(N36:N36)</f>
        <v>405</v>
      </c>
      <c r="O37" s="600">
        <f>SUM(O36:O36)</f>
        <v>0</v>
      </c>
      <c r="P37" s="600">
        <f>SUM(P36:P36)</f>
        <v>0</v>
      </c>
      <c r="Q37" s="600">
        <f>SUM(Q36:Q36)</f>
        <v>0</v>
      </c>
      <c r="R37" s="600">
        <f>SUM(R36:R36)</f>
        <v>0</v>
      </c>
      <c r="S37" s="600">
        <f>SUM(S36:S36)</f>
        <v>0</v>
      </c>
      <c r="T37" s="600">
        <f>SUM(T36:T36)</f>
        <v>0</v>
      </c>
      <c r="U37" s="600">
        <f>SUM(U36:U36)</f>
        <v>1012.5</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90</v>
      </c>
      <c r="N40" s="605">
        <f>SUMIF($Z$36:$Z$38,"landbouw",N36:N38)</f>
        <v>405</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1012.5</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0.58823529411764708</v>
      </c>
      <c r="C46" s="625">
        <f>IF(ISERROR(N30/(O30+N30)),0,N30/(N30+O30))</f>
        <v>0.41176470588235292</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0</v>
      </c>
      <c r="C49" s="634">
        <f t="shared" si="2"/>
        <v>1057.2352941176471</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0</v>
      </c>
      <c r="C50" s="637">
        <f t="shared" si="3"/>
        <v>1510.3361344537818</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20768.480675411607</v>
      </c>
      <c r="C4" s="455">
        <f>huishoudens!C8</f>
        <v>0</v>
      </c>
      <c r="D4" s="455">
        <f>huishoudens!D8</f>
        <v>47967.67963942491</v>
      </c>
      <c r="E4" s="455">
        <f>huishoudens!E8</f>
        <v>4235.3692105858327</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13608.972080411633</v>
      </c>
      <c r="O4" s="455">
        <f>huishoudens!O8</f>
        <v>541.62059389265971</v>
      </c>
      <c r="P4" s="456">
        <f>huishoudens!P8</f>
        <v>389.75649438434584</v>
      </c>
      <c r="Q4" s="457">
        <f>SUM(B4:P4)</f>
        <v>87511.878694110987</v>
      </c>
    </row>
    <row r="5" spans="1:17">
      <c r="A5" s="454" t="s">
        <v>155</v>
      </c>
      <c r="B5" s="455">
        <f ca="1">tertiair!B16</f>
        <v>11102.23403</v>
      </c>
      <c r="C5" s="455">
        <f ca="1">tertiair!C16</f>
        <v>1221.4285714285716</v>
      </c>
      <c r="D5" s="455">
        <f ca="1">tertiair!D16</f>
        <v>13173.077867397</v>
      </c>
      <c r="E5" s="455">
        <f>tertiair!E16</f>
        <v>38.233487603725635</v>
      </c>
      <c r="F5" s="455">
        <f ca="1">tertiair!F16</f>
        <v>1727.7051575704693</v>
      </c>
      <c r="G5" s="455">
        <f>tertiair!G16</f>
        <v>0</v>
      </c>
      <c r="H5" s="455">
        <f>tertiair!H16</f>
        <v>0</v>
      </c>
      <c r="I5" s="455">
        <f>tertiair!I16</f>
        <v>0</v>
      </c>
      <c r="J5" s="455">
        <f>tertiair!J16</f>
        <v>1.4975995464862113E-2</v>
      </c>
      <c r="K5" s="455">
        <f>tertiair!K16</f>
        <v>0</v>
      </c>
      <c r="L5" s="455">
        <f ca="1">tertiair!L16</f>
        <v>0</v>
      </c>
      <c r="M5" s="455">
        <f>tertiair!M16</f>
        <v>0</v>
      </c>
      <c r="N5" s="455">
        <f ca="1">tertiair!N16</f>
        <v>0</v>
      </c>
      <c r="O5" s="455">
        <f>tertiair!O16</f>
        <v>9.7945215316823084</v>
      </c>
      <c r="P5" s="456">
        <f>tertiair!P16</f>
        <v>52.539138306495019</v>
      </c>
      <c r="Q5" s="454">
        <f t="shared" ref="Q5:Q14" ca="1" si="0">SUM(B5:P5)</f>
        <v>27325.027749833407</v>
      </c>
    </row>
    <row r="6" spans="1:17">
      <c r="A6" s="454" t="s">
        <v>193</v>
      </c>
      <c r="B6" s="455">
        <f>'openbare verlichting'!B8</f>
        <v>927.27157499999998</v>
      </c>
      <c r="C6" s="455"/>
      <c r="D6" s="455"/>
      <c r="E6" s="455"/>
      <c r="F6" s="455"/>
      <c r="G6" s="455"/>
      <c r="H6" s="455"/>
      <c r="I6" s="455"/>
      <c r="J6" s="455"/>
      <c r="K6" s="455"/>
      <c r="L6" s="455"/>
      <c r="M6" s="455"/>
      <c r="N6" s="455"/>
      <c r="O6" s="455"/>
      <c r="P6" s="456"/>
      <c r="Q6" s="454">
        <f t="shared" si="0"/>
        <v>927.27157499999998</v>
      </c>
    </row>
    <row r="7" spans="1:17">
      <c r="A7" s="454" t="s">
        <v>111</v>
      </c>
      <c r="B7" s="455">
        <f>landbouw!B8</f>
        <v>2508.0350630000003</v>
      </c>
      <c r="C7" s="455">
        <f>landbouw!C8</f>
        <v>62.357142857142847</v>
      </c>
      <c r="D7" s="455">
        <f>landbouw!D8</f>
        <v>300.91020447599999</v>
      </c>
      <c r="E7" s="455">
        <f>landbouw!E8</f>
        <v>93.532299031272998</v>
      </c>
      <c r="F7" s="455">
        <f>landbouw!F8</f>
        <v>8137.0348872687746</v>
      </c>
      <c r="G7" s="455">
        <f>landbouw!G8</f>
        <v>0</v>
      </c>
      <c r="H7" s="455">
        <f>landbouw!H8</f>
        <v>0</v>
      </c>
      <c r="I7" s="455">
        <f>landbouw!I8</f>
        <v>0</v>
      </c>
      <c r="J7" s="455">
        <f>landbouw!J8</f>
        <v>658.37158597369375</v>
      </c>
      <c r="K7" s="455">
        <f>landbouw!K8</f>
        <v>0</v>
      </c>
      <c r="L7" s="455">
        <f>landbouw!L8</f>
        <v>0</v>
      </c>
      <c r="M7" s="455">
        <f>landbouw!M8</f>
        <v>0</v>
      </c>
      <c r="N7" s="455">
        <f>landbouw!N8</f>
        <v>0</v>
      </c>
      <c r="O7" s="455">
        <f>landbouw!O8</f>
        <v>0</v>
      </c>
      <c r="P7" s="456">
        <f>landbouw!P8</f>
        <v>0</v>
      </c>
      <c r="Q7" s="454">
        <f t="shared" si="0"/>
        <v>11760.241182606884</v>
      </c>
    </row>
    <row r="8" spans="1:17">
      <c r="A8" s="454" t="s">
        <v>626</v>
      </c>
      <c r="B8" s="455">
        <f>industrie!B18</f>
        <v>5054.4988280000007</v>
      </c>
      <c r="C8" s="455">
        <f>industrie!C18</f>
        <v>0</v>
      </c>
      <c r="D8" s="455">
        <f>industrie!D18</f>
        <v>8920.3479496740019</v>
      </c>
      <c r="E8" s="455">
        <f>industrie!E18</f>
        <v>16.500901348309029</v>
      </c>
      <c r="F8" s="455">
        <f>industrie!F18</f>
        <v>1854.97006390352</v>
      </c>
      <c r="G8" s="455">
        <f>industrie!G18</f>
        <v>0</v>
      </c>
      <c r="H8" s="455">
        <f>industrie!H18</f>
        <v>0</v>
      </c>
      <c r="I8" s="455">
        <f>industrie!I18</f>
        <v>0</v>
      </c>
      <c r="J8" s="455">
        <f>industrie!J18</f>
        <v>0.46044012068867229</v>
      </c>
      <c r="K8" s="455">
        <f>industrie!K18</f>
        <v>0</v>
      </c>
      <c r="L8" s="455">
        <f>industrie!L18</f>
        <v>0</v>
      </c>
      <c r="M8" s="455">
        <f>industrie!M18</f>
        <v>0</v>
      </c>
      <c r="N8" s="455">
        <f>industrie!N18</f>
        <v>290.50337195329564</v>
      </c>
      <c r="O8" s="455">
        <f>industrie!O18</f>
        <v>0</v>
      </c>
      <c r="P8" s="456">
        <f>industrie!P18</f>
        <v>0</v>
      </c>
      <c r="Q8" s="454">
        <f t="shared" si="0"/>
        <v>16137.281554999816</v>
      </c>
    </row>
    <row r="9" spans="1:17" s="460" customFormat="1">
      <c r="A9" s="458" t="s">
        <v>552</v>
      </c>
      <c r="B9" s="459">
        <f>transport!B14</f>
        <v>109.2753225362718</v>
      </c>
      <c r="C9" s="459">
        <f>transport!C14</f>
        <v>0</v>
      </c>
      <c r="D9" s="459">
        <f>transport!D14</f>
        <v>411.14691150210575</v>
      </c>
      <c r="E9" s="459">
        <f>transport!E14</f>
        <v>256.72974004116935</v>
      </c>
      <c r="F9" s="459">
        <f>transport!F14</f>
        <v>0</v>
      </c>
      <c r="G9" s="459">
        <f>transport!G14</f>
        <v>155310.42503995838</v>
      </c>
      <c r="H9" s="459">
        <f>transport!H14</f>
        <v>26991.44038680632</v>
      </c>
      <c r="I9" s="459">
        <f>transport!I14</f>
        <v>0</v>
      </c>
      <c r="J9" s="459">
        <f>transport!J14</f>
        <v>0</v>
      </c>
      <c r="K9" s="459">
        <f>transport!K14</f>
        <v>0</v>
      </c>
      <c r="L9" s="459">
        <f>transport!L14</f>
        <v>0</v>
      </c>
      <c r="M9" s="459">
        <f>transport!M14</f>
        <v>10620.516827099556</v>
      </c>
      <c r="N9" s="459">
        <f>transport!N14</f>
        <v>0</v>
      </c>
      <c r="O9" s="459">
        <f>transport!O14</f>
        <v>0</v>
      </c>
      <c r="P9" s="459">
        <f>transport!P14</f>
        <v>0</v>
      </c>
      <c r="Q9" s="458">
        <f>SUM(B9:P9)</f>
        <v>193699.5342279438</v>
      </c>
    </row>
    <row r="10" spans="1:17">
      <c r="A10" s="454" t="s">
        <v>542</v>
      </c>
      <c r="B10" s="455">
        <f>transport!B54</f>
        <v>0</v>
      </c>
      <c r="C10" s="455">
        <f>transport!C54</f>
        <v>0</v>
      </c>
      <c r="D10" s="455">
        <f>transport!D54</f>
        <v>0</v>
      </c>
      <c r="E10" s="455">
        <f>transport!E54</f>
        <v>0</v>
      </c>
      <c r="F10" s="455">
        <f>transport!F54</f>
        <v>0</v>
      </c>
      <c r="G10" s="455">
        <f>transport!G54</f>
        <v>1281.8477678679742</v>
      </c>
      <c r="H10" s="455">
        <f>transport!H54</f>
        <v>0</v>
      </c>
      <c r="I10" s="455">
        <f>transport!I54</f>
        <v>0</v>
      </c>
      <c r="J10" s="455">
        <f>transport!J54</f>
        <v>0</v>
      </c>
      <c r="K10" s="455">
        <f>transport!K54</f>
        <v>0</v>
      </c>
      <c r="L10" s="455">
        <f>transport!L54</f>
        <v>0</v>
      </c>
      <c r="M10" s="455">
        <f>transport!M54</f>
        <v>69.560360761730038</v>
      </c>
      <c r="N10" s="455">
        <f>transport!N54</f>
        <v>0</v>
      </c>
      <c r="O10" s="455">
        <f>transport!O54</f>
        <v>0</v>
      </c>
      <c r="P10" s="456">
        <f>transport!P54</f>
        <v>0</v>
      </c>
      <c r="Q10" s="454">
        <f t="shared" si="0"/>
        <v>1351.4081286297042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313.30649299999999</v>
      </c>
      <c r="C14" s="462"/>
      <c r="D14" s="462">
        <f>'SEAP template'!E25</f>
        <v>2891.6840269999998</v>
      </c>
      <c r="E14" s="462"/>
      <c r="F14" s="462"/>
      <c r="G14" s="462"/>
      <c r="H14" s="462"/>
      <c r="I14" s="462"/>
      <c r="J14" s="462"/>
      <c r="K14" s="462"/>
      <c r="L14" s="462"/>
      <c r="M14" s="462"/>
      <c r="N14" s="462"/>
      <c r="O14" s="462"/>
      <c r="P14" s="463"/>
      <c r="Q14" s="454">
        <f t="shared" si="0"/>
        <v>3204.9905199999998</v>
      </c>
    </row>
    <row r="15" spans="1:17" s="466" customFormat="1">
      <c r="A15" s="464" t="s">
        <v>546</v>
      </c>
      <c r="B15" s="465">
        <f ca="1">SUM(B4:B14)</f>
        <v>40783.101986947877</v>
      </c>
      <c r="C15" s="465">
        <f t="shared" ref="C15:Q15" ca="1" si="1">SUM(C4:C14)</f>
        <v>1283.7857142857144</v>
      </c>
      <c r="D15" s="465">
        <f t="shared" ca="1" si="1"/>
        <v>73664.846599474011</v>
      </c>
      <c r="E15" s="465">
        <f t="shared" si="1"/>
        <v>4640.3656386103094</v>
      </c>
      <c r="F15" s="465">
        <f t="shared" ca="1" si="1"/>
        <v>11719.710108742764</v>
      </c>
      <c r="G15" s="465">
        <f t="shared" si="1"/>
        <v>156592.27280782635</v>
      </c>
      <c r="H15" s="465">
        <f t="shared" si="1"/>
        <v>26991.44038680632</v>
      </c>
      <c r="I15" s="465">
        <f t="shared" si="1"/>
        <v>0</v>
      </c>
      <c r="J15" s="465">
        <f t="shared" si="1"/>
        <v>658.84700208984725</v>
      </c>
      <c r="K15" s="465">
        <f t="shared" si="1"/>
        <v>0</v>
      </c>
      <c r="L15" s="465">
        <f t="shared" ca="1" si="1"/>
        <v>0</v>
      </c>
      <c r="M15" s="465">
        <f t="shared" si="1"/>
        <v>10690.077187861287</v>
      </c>
      <c r="N15" s="465">
        <f t="shared" ca="1" si="1"/>
        <v>13899.475452364928</v>
      </c>
      <c r="O15" s="465">
        <f t="shared" si="1"/>
        <v>551.41511542434205</v>
      </c>
      <c r="P15" s="465">
        <f t="shared" si="1"/>
        <v>442.29563269084088</v>
      </c>
      <c r="Q15" s="465">
        <f t="shared" ca="1" si="1"/>
        <v>341917.63363312458</v>
      </c>
    </row>
    <row r="17" spans="1:17">
      <c r="A17" s="467" t="s">
        <v>547</v>
      </c>
      <c r="B17" s="784">
        <f ca="1">huishoudens!B10</f>
        <v>3.9569078800679981E-2</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821.78964841576123</v>
      </c>
      <c r="C22" s="455">
        <f t="shared" ref="C22:C32" ca="1" si="3">C4*$C$17</f>
        <v>0</v>
      </c>
      <c r="D22" s="455">
        <f t="shared" ref="D22:D32" si="4">D4*$D$17</f>
        <v>9689.471287163833</v>
      </c>
      <c r="E22" s="455">
        <f t="shared" ref="E22:E32" si="5">E4*$E$17</f>
        <v>961.428810802984</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11472.689746382577</v>
      </c>
    </row>
    <row r="23" spans="1:17">
      <c r="A23" s="454" t="s">
        <v>155</v>
      </c>
      <c r="B23" s="455">
        <f t="shared" ca="1" si="2"/>
        <v>439.30517319666086</v>
      </c>
      <c r="C23" s="455">
        <f t="shared" ca="1" si="3"/>
        <v>0</v>
      </c>
      <c r="D23" s="455">
        <f t="shared" ca="1" si="4"/>
        <v>2660.9617292141943</v>
      </c>
      <c r="E23" s="455">
        <f t="shared" si="5"/>
        <v>8.6790016860457193</v>
      </c>
      <c r="F23" s="455">
        <f t="shared" ca="1" si="6"/>
        <v>461.29727707131531</v>
      </c>
      <c r="G23" s="455">
        <f t="shared" si="7"/>
        <v>0</v>
      </c>
      <c r="H23" s="455">
        <f t="shared" si="8"/>
        <v>0</v>
      </c>
      <c r="I23" s="455">
        <f t="shared" si="9"/>
        <v>0</v>
      </c>
      <c r="J23" s="455">
        <f t="shared" si="10"/>
        <v>5.301502394561188E-3</v>
      </c>
      <c r="K23" s="455">
        <f t="shared" si="11"/>
        <v>0</v>
      </c>
      <c r="L23" s="455">
        <f t="shared" ca="1" si="12"/>
        <v>0</v>
      </c>
      <c r="M23" s="455">
        <f t="shared" si="13"/>
        <v>0</v>
      </c>
      <c r="N23" s="455">
        <f t="shared" ca="1" si="14"/>
        <v>0</v>
      </c>
      <c r="O23" s="455">
        <f t="shared" si="15"/>
        <v>0</v>
      </c>
      <c r="P23" s="456">
        <f t="shared" si="16"/>
        <v>0</v>
      </c>
      <c r="Q23" s="454">
        <f t="shared" ref="Q23:Q31" ca="1" si="17">SUM(B23:P23)</f>
        <v>3570.2484826706109</v>
      </c>
    </row>
    <row r="24" spans="1:17">
      <c r="A24" s="454" t="s">
        <v>193</v>
      </c>
      <c r="B24" s="455">
        <f t="shared" ca="1" si="2"/>
        <v>36.691282020805637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36.691282020805637</v>
      </c>
    </row>
    <row r="25" spans="1:17">
      <c r="A25" s="454" t="s">
        <v>111</v>
      </c>
      <c r="B25" s="455">
        <f t="shared" ca="1" si="2"/>
        <v>99.240637042715392</v>
      </c>
      <c r="C25" s="455">
        <f t="shared" ca="1" si="3"/>
        <v>0</v>
      </c>
      <c r="D25" s="455">
        <f t="shared" si="4"/>
        <v>60.783861304152005</v>
      </c>
      <c r="E25" s="455">
        <f t="shared" si="5"/>
        <v>21.231831880098973</v>
      </c>
      <c r="F25" s="455">
        <f t="shared" si="6"/>
        <v>2172.5883149007627</v>
      </c>
      <c r="G25" s="455">
        <f t="shared" si="7"/>
        <v>0</v>
      </c>
      <c r="H25" s="455">
        <f t="shared" si="8"/>
        <v>0</v>
      </c>
      <c r="I25" s="455">
        <f t="shared" si="9"/>
        <v>0</v>
      </c>
      <c r="J25" s="455">
        <f t="shared" si="10"/>
        <v>233.06354143468758</v>
      </c>
      <c r="K25" s="455">
        <f t="shared" si="11"/>
        <v>0</v>
      </c>
      <c r="L25" s="455">
        <f t="shared" si="12"/>
        <v>0</v>
      </c>
      <c r="M25" s="455">
        <f t="shared" si="13"/>
        <v>0</v>
      </c>
      <c r="N25" s="455">
        <f t="shared" si="14"/>
        <v>0</v>
      </c>
      <c r="O25" s="455">
        <f t="shared" si="15"/>
        <v>0</v>
      </c>
      <c r="P25" s="456">
        <f t="shared" si="16"/>
        <v>0</v>
      </c>
      <c r="Q25" s="454">
        <f t="shared" ca="1" si="17"/>
        <v>2586.9081865624166</v>
      </c>
    </row>
    <row r="26" spans="1:17">
      <c r="A26" s="454" t="s">
        <v>626</v>
      </c>
      <c r="B26" s="455">
        <f t="shared" ca="1" si="2"/>
        <v>200.00186242307663</v>
      </c>
      <c r="C26" s="455">
        <f t="shared" ca="1" si="3"/>
        <v>0</v>
      </c>
      <c r="D26" s="455">
        <f t="shared" si="4"/>
        <v>1801.9102858341485</v>
      </c>
      <c r="E26" s="455">
        <f t="shared" si="5"/>
        <v>3.7457046060661496</v>
      </c>
      <c r="F26" s="455">
        <f t="shared" si="6"/>
        <v>495.27700706223987</v>
      </c>
      <c r="G26" s="455">
        <f t="shared" si="7"/>
        <v>0</v>
      </c>
      <c r="H26" s="455">
        <f t="shared" si="8"/>
        <v>0</v>
      </c>
      <c r="I26" s="455">
        <f t="shared" si="9"/>
        <v>0</v>
      </c>
      <c r="J26" s="455">
        <f t="shared" si="10"/>
        <v>0.16299580272379</v>
      </c>
      <c r="K26" s="455">
        <f t="shared" si="11"/>
        <v>0</v>
      </c>
      <c r="L26" s="455">
        <f t="shared" si="12"/>
        <v>0</v>
      </c>
      <c r="M26" s="455">
        <f t="shared" si="13"/>
        <v>0</v>
      </c>
      <c r="N26" s="455">
        <f t="shared" si="14"/>
        <v>0</v>
      </c>
      <c r="O26" s="455">
        <f t="shared" si="15"/>
        <v>0</v>
      </c>
      <c r="P26" s="456">
        <f t="shared" si="16"/>
        <v>0</v>
      </c>
      <c r="Q26" s="454">
        <f t="shared" ca="1" si="17"/>
        <v>2501.0978557282547</v>
      </c>
    </row>
    <row r="27" spans="1:17" s="460" customFormat="1">
      <c r="A27" s="458" t="s">
        <v>552</v>
      </c>
      <c r="B27" s="778">
        <f t="shared" ca="1" si="2"/>
        <v>4.3239238484074596</v>
      </c>
      <c r="C27" s="459">
        <f t="shared" ca="1" si="3"/>
        <v>0</v>
      </c>
      <c r="D27" s="459">
        <f t="shared" si="4"/>
        <v>83.051676123425366</v>
      </c>
      <c r="E27" s="459">
        <f t="shared" si="5"/>
        <v>58.277650989345446</v>
      </c>
      <c r="F27" s="459">
        <f t="shared" si="6"/>
        <v>0</v>
      </c>
      <c r="G27" s="459">
        <f t="shared" si="7"/>
        <v>41467.883485668892</v>
      </c>
      <c r="H27" s="459">
        <f t="shared" si="8"/>
        <v>6720.8686563147739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48334.405392944842</v>
      </c>
    </row>
    <row r="28" spans="1:17" ht="16.5" customHeight="1">
      <c r="A28" s="454" t="s">
        <v>542</v>
      </c>
      <c r="B28" s="455">
        <f t="shared" ca="1" si="2"/>
        <v>0</v>
      </c>
      <c r="C28" s="455">
        <f t="shared" ca="1" si="3"/>
        <v>0</v>
      </c>
      <c r="D28" s="455">
        <f t="shared" si="4"/>
        <v>0</v>
      </c>
      <c r="E28" s="455">
        <f t="shared" si="5"/>
        <v>0</v>
      </c>
      <c r="F28" s="455">
        <f t="shared" si="6"/>
        <v>0</v>
      </c>
      <c r="G28" s="455">
        <f t="shared" si="7"/>
        <v>342.25335402074916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342.25335402074916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12.397249310281691</v>
      </c>
      <c r="C32" s="455">
        <f t="shared" ca="1" si="3"/>
        <v>0</v>
      </c>
      <c r="D32" s="455">
        <f t="shared" si="4"/>
        <v>584.120173454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596.51742276428172</v>
      </c>
    </row>
    <row r="33" spans="1:17" s="466" customFormat="1">
      <c r="A33" s="464" t="s">
        <v>546</v>
      </c>
      <c r="B33" s="465">
        <f ca="1">SUM(B22:B32)</f>
        <v>1613.7497762577088</v>
      </c>
      <c r="C33" s="465">
        <f t="shared" ref="C33:Q33" ca="1" si="19">SUM(C22:C32)</f>
        <v>0</v>
      </c>
      <c r="D33" s="465">
        <f t="shared" ca="1" si="19"/>
        <v>14880.299013093751</v>
      </c>
      <c r="E33" s="465">
        <f t="shared" si="19"/>
        <v>1053.3629999645402</v>
      </c>
      <c r="F33" s="465">
        <f t="shared" ca="1" si="19"/>
        <v>3129.1625990343182</v>
      </c>
      <c r="G33" s="465">
        <f t="shared" si="19"/>
        <v>41810.136839689643</v>
      </c>
      <c r="H33" s="465">
        <f t="shared" si="19"/>
        <v>6720.8686563147739</v>
      </c>
      <c r="I33" s="465">
        <f t="shared" si="19"/>
        <v>0</v>
      </c>
      <c r="J33" s="465">
        <f t="shared" si="19"/>
        <v>233.23183873980594</v>
      </c>
      <c r="K33" s="465">
        <f t="shared" si="19"/>
        <v>0</v>
      </c>
      <c r="L33" s="465">
        <f t="shared" ca="1" si="19"/>
        <v>0</v>
      </c>
      <c r="M33" s="465">
        <f t="shared" si="19"/>
        <v>0</v>
      </c>
      <c r="N33" s="465">
        <f t="shared" ca="1" si="19"/>
        <v>0</v>
      </c>
      <c r="O33" s="465">
        <f t="shared" si="19"/>
        <v>0</v>
      </c>
      <c r="P33" s="465">
        <f t="shared" si="19"/>
        <v>0</v>
      </c>
      <c r="Q33" s="465">
        <f t="shared" ca="1" si="19"/>
        <v>69440.81172309455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25738.002061195177</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6439.414739066231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898.65</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1057.2352941176471</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405</v>
      </c>
      <c r="C9" s="1026">
        <f>'SEAP template'!C77</f>
        <v>0</v>
      </c>
      <c r="D9" s="1026">
        <f>'SEAP template'!D77</f>
        <v>0</v>
      </c>
      <c r="E9" s="1026">
        <f>'SEAP template'!E77</f>
        <v>0</v>
      </c>
      <c r="F9" s="1026">
        <f>'SEAP template'!F77</f>
        <v>0</v>
      </c>
      <c r="G9" s="1026">
        <f>'SEAP template'!G77</f>
        <v>0</v>
      </c>
      <c r="H9" s="1026">
        <f>'SEAP template'!H77</f>
        <v>0</v>
      </c>
      <c r="I9" s="1026">
        <f>'SEAP template'!I77</f>
        <v>1012.5</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33481.066800261411</v>
      </c>
      <c r="C10" s="1028">
        <f>SUM(C4:C9)</f>
        <v>0</v>
      </c>
      <c r="D10" s="1028">
        <f t="shared" ref="D10:H10" si="0">SUM(D8:D9)</f>
        <v>0</v>
      </c>
      <c r="E10" s="1028">
        <f t="shared" si="0"/>
        <v>0</v>
      </c>
      <c r="F10" s="1028">
        <f t="shared" si="0"/>
        <v>0</v>
      </c>
      <c r="G10" s="1028">
        <f t="shared" si="0"/>
        <v>0</v>
      </c>
      <c r="H10" s="1028">
        <f t="shared" si="0"/>
        <v>0</v>
      </c>
      <c r="I10" s="1028">
        <f>SUM(I8:I9)</f>
        <v>1012.5</v>
      </c>
      <c r="J10" s="1028">
        <f>SUM(J8:J9)</f>
        <v>1057.2352941176471</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3.9569078800679981E-2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1283.7857142857144</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1510.3361344537818</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1283.7857142857144</v>
      </c>
      <c r="C20" s="1028">
        <f>SUM(C17:C19)</f>
        <v>0</v>
      </c>
      <c r="D20" s="1028">
        <f t="shared" ref="D20:H20" si="2">SUM(D17:D19)</f>
        <v>0</v>
      </c>
      <c r="E20" s="1028">
        <f t="shared" si="2"/>
        <v>0</v>
      </c>
      <c r="F20" s="1028">
        <f t="shared" si="2"/>
        <v>0</v>
      </c>
      <c r="G20" s="1028">
        <f t="shared" si="2"/>
        <v>0</v>
      </c>
      <c r="H20" s="1028">
        <f t="shared" si="2"/>
        <v>0</v>
      </c>
      <c r="I20" s="1028">
        <f>SUM(I17:I19)</f>
        <v>0</v>
      </c>
      <c r="J20" s="1028">
        <f>SUM(J17:J19)</f>
        <v>1510.3361344537818</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3.9569078800679981E-2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1</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19.066666666666666</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2020-06-20T15:22:39Z</dcterms:modified>
</cp:coreProperties>
</file>