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56" i="22"/>
  <c r="C58" i="22" s="1"/>
  <c r="D49" i="14" s="1"/>
  <c r="D52" i="14" s="1"/>
  <c r="C17" i="49"/>
  <c r="C18" i="15"/>
  <c r="C20" i="15" s="1"/>
  <c r="D40" i="14" s="1"/>
  <c r="C10" i="13"/>
  <c r="C12" i="13" s="1"/>
  <c r="D41" i="14" s="1"/>
  <c r="D46" i="14" s="1"/>
  <c r="D61" i="14" s="1"/>
  <c r="D63" i="14" s="1"/>
  <c r="C17" i="19"/>
  <c r="C19" i="19" s="1"/>
  <c r="D39" i="14" s="1"/>
  <c r="C10" i="17"/>
  <c r="C12" i="17" s="1"/>
  <c r="D54" i="14" s="1"/>
  <c r="D56"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<sst xmlns="http://schemas.openxmlformats.org/spreadsheetml/2006/main" count="2375" uniqueCount="872">
  <si>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</si>
  <si>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</si>
  <si>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</si>
  <si>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</si>
  <si>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</si>
  <si>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</si>
  <si>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</si>
  <si>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</si>
  <si>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</si>
  <si>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</si>
  <si>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</si>
  <si>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</si>
  <si>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</si>
  <si>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</si>
  <si>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</si>
  <si>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</si>
  <si>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</si>
  <si>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</si>
  <si>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</si>
  <si>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</si>
  <si>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</si>
  <si>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</si>
  <si>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</si>
  <si>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</si>
  <si>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</si>
  <si>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</si>
  <si>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</si>
  <si>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</si>
  <si>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</si>
  <si>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</si>
  <si>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</si>
  <si>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</si>
  <si>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</si>
  <si>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</si>
  <si>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</si>
  <si>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</si>
  <si>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</si>
  <si>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</si>
  <si>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</si>
  <si>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</si>
  <si>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</si>
  <si>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</si>
  <si>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</si>
  <si>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</si>
  <si>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</si>
  <si>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</si>
  <si>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</si>
  <si>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</si>
  <si>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</si>
  <si>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</si>
  <si>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</si>
  <si>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</si>
  <si>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</si>
  <si>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</si>
  <si>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</si>
  <si>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</si>
  <si>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</si>
  <si>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</si>
  <si>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</si>
  <si>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</si>
  <si>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</si>
  <si>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</si>
  <si>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</si>
  <si>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</si>
  <si>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</si>
  <si>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</si>
  <si>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</si>
  <si>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</si>
  <si>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</si>
  <si>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</si>
  <si>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</si>
  <si>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</si>
  <si>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</si>
  <si>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</si>
  <si>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</si>
  <si>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</si>
  <si>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</si>
  <si>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</si>
  <si>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</si>
  <si>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</si>
  <si>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</si>
  <si>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</si>
  <si>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</si>
  <si>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</si>
  <si>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</si>
  <si>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</si>
  <si>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</si>
  <si>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</si>
  <si>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</si>
  <si>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</si>
  <si>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</si>
  <si>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</si>
  <si>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</si>
  <si>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</si>
  <si>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</si>
  <si>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</si>
  <si>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</si>
  <si>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</si>
  <si>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</si>
  <si>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</si>
  <si>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</si>
  <si>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</si>
  <si>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</si>
  <si>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</si>
  <si>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</si>
  <si>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</si>
  <si>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</si>
  <si>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</si>
  <si>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</si>
  <si>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</si>
  <si>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</si>
  <si>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</si>
  <si>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</si>
  <si>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</si>
  <si>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</si>
  <si>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</si>
  <si>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</si>
  <si>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</si>
  <si>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</si>
  <si>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</si>
  <si>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</si>
  <si>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</si>
  <si>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</si>
  <si>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</si>
  <si>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</si>
  <si>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</si>
  <si>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</si>
  <si>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</si>
  <si>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</si>
  <si>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</si>
  <si>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</si>
  <si>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</si>
  <si>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</si>
  <si>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</si>
  <si>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</si>
  <si>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</si>
  <si>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</si>
  <si>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</si>
  <si>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</si>
  <si>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</si>
  <si>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</si>
  <si>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</si>
  <si>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</si>
  <si>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</si>
  <si>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</si>
  <si>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</si>
  <si>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</si>
  <si>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</si>
  <si>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</si>
  <si>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</si>
  <si>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</si>
  <si>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</si>
  <si>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</si>
  <si>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</si>
  <si>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</si>
  <si>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</si>
  <si>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</si>
  <si>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</si>
  <si>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</si>
  <si>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</si>
  <si>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</si>
  <si>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</si>
  <si>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</si>
  <si>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</si>
  <si>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</si>
  <si>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</si>
  <si>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</si>
  <si>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</si>
  <si>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</si>
  <si>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</si>
  <si>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</si>
  <si>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</si>
  <si>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</si>
  <si>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</si>
  <si>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</si>
  <si>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</si>
  <si>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</si>
  <si>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</si>
  <si>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</si>
  <si>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</si>
  <si>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</si>
  <si>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</si>
  <si>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</si>
  <si>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</si>
  <si>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</si>
  <si>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</si>
  <si>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</si>
  <si>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</si>
  <si>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</si>
  <si>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</si>
  <si>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</si>
  <si>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</si>
  <si>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</si>
  <si>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</si>
  <si>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</si>
  <si>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</si>
  <si>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</si>
  <si>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</si>
  <si>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</si>
  <si>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</si>
  <si>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</si>
  <si>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</si>
  <si>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</si>
  <si>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</si>
  <si>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</si>
  <si>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</si>
  <si>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</si>
  <si>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</si>
  <si>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</si>
  <si>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</si>
  <si>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</si>
  <si>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</si>
  <si>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</si>
  <si>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</si>
  <si>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</si>
  <si>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</si>
  <si>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</si>
  <si>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</si>
  <si>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</si>
  <si>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</si>
  <si>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</si>
  <si>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</si>
  <si>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</si>
  <si>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</si>
  <si>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</si>
  <si>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</si>
  <si>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</si>
  <si>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</si>
  <si>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</si>
  <si>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</si>
  <si>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</si>
  <si>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</si>
  <si>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</si>
  <si>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</si>
  <si>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</si>
  <si>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</si>
  <si>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</si>
  <si>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</si>
  <si>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</si>
  <si>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</si>
  <si>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</si>
  <si>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</si>
  <si>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</si>
  <si>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</si>
  <si>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</si>
  <si>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</si>
  <si>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</si>
  <si>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</si>
  <si>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</si>
  <si>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</si>
  <si>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</si>
  <si>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</si>
  <si>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</si>
  <si>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</si>
  <si>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</si>
  <si>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</si>
  <si>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</si>
  <si>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</si>
  <si>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</si>
  <si>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</si>
  <si>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</si>
  <si>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</si>
  <si>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</si>
  <si>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</si>
  <si>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</si>
  <si>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</si>
  <si>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</si>
  <si>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</si>
  <si>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</si>
  <si>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</si>
  <si>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</si>
  <si>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</si>
  <si>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</si>
  <si>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</si>
  <si>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</si>
  <si>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</si>
  <si>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</si>
  <si>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</si>
  <si>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</si>
  <si>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</si>
  <si>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</si>
  <si>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</si>
  <si>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</si>
  <si>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</si>
  <si>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</si>
  <si>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</si>
  <si>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</si>
  <si>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</si>
  <si>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</si>
  <si>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</si>
  <si>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</si>
  <si>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</si>
  <si>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</si>
  <si>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</si>
  <si>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</si>
  <si>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</si>
  <si>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</si>
  <si>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</si>
  <si>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</si>
  <si>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</si>
  <si>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</si>
  <si>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</si>
  <si>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</si>
  <si>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</si>
  <si>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</si>
  <si>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</si>
  <si>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</si>
  <si>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</si>
  <si>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</si>
  <si>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</si>
  <si>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</si>
  <si>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</si>
  <si>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</si>
  <si>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</si>
  <si>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</si>
  <si>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</si>
  <si>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</si>
  <si>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</si>
  <si>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</si>
  <si>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</si>
  <si>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</si>
  <si>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</si>
  <si>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</si>
  <si>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</si>
  <si>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</si>
  <si>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</si>
  <si>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</si>
  <si>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</si>
  <si>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</si>
  <si>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</si>
  <si>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</si>
  <si>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</si>
  <si>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</si>
  <si>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</si>
  <si>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</si>
  <si>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</si>
  <si>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</si>
  <si>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</si>
  <si>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</si>
  <si>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</si>
  <si>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</si>
  <si>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</si>
  <si>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</si>
  <si>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</si>
  <si>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</si>
  <si>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</si>
  <si>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</si>
  <si>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</si>
  <si>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</si>
  <si>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</si>
  <si>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</si>
  <si>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</si>
  <si>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</si>
  <si>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</si>
  <si>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</si>
  <si>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</si>
  <si>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</si>
  <si>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</si>
  <si>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</si>
  <si>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</si>
  <si>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</si>
  <si>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</si>
  <si>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</si>
  <si>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</si>
  <si>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</si>
  <si>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</si>
  <si>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</si>
  <si>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</si>
  <si>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</si>
  <si>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</si>
  <si>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</si>
  <si>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</si>
  <si>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</si>
  <si>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</si>
  <si>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</si>
  <si>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</si>
  <si>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</si>
  <si>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</si>
  <si>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</si>
  <si>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</si>
  <si>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</si>
  <si>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</si>
  <si>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</si>
  <si>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</si>
  <si>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</si>
  <si>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</si>
  <si>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</si>
  <si>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</si>
  <si>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</si>
  <si>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</si>
  <si>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</si>
  <si>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</si>
  <si>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</si>
  <si>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</si>
  <si>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</si>
  <si>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</si>
  <si>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</si>
  <si>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</si>
  <si>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</si>
  <si>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</si>
  <si>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</si>
  <si>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</si>
  <si>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</si>
  <si>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</si>
  <si>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</si>
  <si>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</si>
  <si>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</si>
  <si>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</si>
  <si>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</si>
  <si>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</si>
  <si>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</si>
  <si>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</si>
  <si>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</si>
  <si>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</si>
  <si>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</si>
  <si>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</si>
  <si>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</si>
  <si>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</si>
  <si>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</si>
  <si>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</si>
  <si>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</si>
  <si>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</si>
  <si>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</si>
  <si>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</si>
  <si>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</si>
  <si>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</si>
  <si>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</si>
  <si>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</si>
  <si>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</si>
  <si>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</si>
  <si>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</si>
  <si>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</si>
  <si>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</si>
  <si>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</si>
  <si>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</si>
  <si>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</si>
  <si>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</si>
  <si>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</si>
  <si>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</si>
  <si>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</si>
  <si>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</si>
  <si>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</si>
  <si>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</si>
  <si>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</si>
  <si>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</si>
  <si>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</si>
  <si>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</si>
  <si>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</si>
  <si>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</si>
  <si>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</si>
  <si>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</si>
  <si>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</si>
  <si>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</si>
  <si>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</si>
  <si>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</si>
  <si>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</si>
  <si>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</si>
  <si>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</si>
  <si>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</si>
  <si>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</si>
  <si>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</si>
  <si>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</si>
  <si>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</si>
  <si>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</si>
  <si>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</si>
  <si>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</si>
  <si>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</si>
  <si>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</si>
  <si>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</si>
  <si>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</si>
  <si>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</si>
  <si>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</si>
  <si>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</si>
  <si>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</si>
  <si>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</si>
  <si>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</si>
  <si>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</si>
  <si>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</si>
  <si>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</si>
  <si>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</si>
  <si>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</si>
  <si>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</si>
  <si>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</si>
  <si>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</si>
  <si>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</si>
  <si>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</si>
  <si>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</si>
  <si>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</si>
  <si>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</si>
  <si>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</si>
  <si>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</si>
  <si>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</si>
  <si>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</si>
  <si>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</si>
  <si>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</si>
  <si>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</si>
  <si>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</si>
  <si>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</si>
  <si>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</si>
  <si>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</si>
  <si>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</si>
  <si>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</si>
  <si>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</si>
  <si>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</si>
  <si>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</si>
  <si>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</si>
  <si>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</si>
  <si>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</si>
  <si>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</si>
  <si>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</si>
  <si>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</si>
  <si>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</si>
  <si>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</si>
  <si>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</si>
  <si>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</si>
  <si>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</si>
  <si>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</si>
  <si>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</si>
  <si>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</si>
  <si>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</si>
  <si>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</si>
  <si>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</si>
  <si>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</si>
  <si>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</si>
  <si>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</si>
  <si>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</si>
  <si>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</si>
  <si>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</si>
  <si>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</si>
  <si>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</si>
  <si>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</si>
  <si>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</si>
  <si>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</si>
  <si>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</si>
  <si>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</si>
  <si>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</si>
  <si>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</si>
  <si>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</si>
  <si>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</si>
  <si>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</si>
  <si>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</si>
  <si>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</si>
  <si>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</si>
  <si>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</si>
  <si>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</si>
  <si>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</si>
  <si>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</si>
  <si>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</si>
  <si>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</si>
  <si>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</si>
  <si>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</si>
  <si>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</si>
  <si>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</si>
  <si>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</si>
  <si>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</si>
  <si>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</si>
  <si>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</si>
  <si>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</si>
  <si>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</si>
  <si>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</si>
  <si>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</si>
  <si>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</si>
  <si>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</si>
  <si>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</si>
  <si>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</si>
  <si>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</si>
  <si>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</si>
  <si>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</si>
  <si>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</si>
  <si>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</si>
  <si>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</si>
  <si>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</si>
  <si>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</si>
  <si>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</si>
  <si>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</si>
  <si>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</si>
  <si>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</si>
  <si>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</si>
  <si>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</si>
  <si>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</si>
  <si>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</si>
  <si>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</si>
  <si>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</si>
  <si>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</si>
  <si>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</si>
  <si>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</si>
  <si>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</si>
  <si>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</si>
  <si>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</si>
  <si>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</si>
  <si>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</si>
  <si>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</si>
  <si>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</si>
  <si>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</si>
  <si>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</si>
  <si>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</si>
  <si>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</si>
  <si>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</si>
  <si>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</si>
  <si>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</si>
  <si>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</si>
  <si>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</si>
  <si>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</si>
  <si>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</si>
  <si>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</si>
  <si>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</si>
  <si>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</si>
  <si>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</si>
  <si>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</si>
  <si>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</si>
  <si>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</si>
  <si>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</si>
  <si>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</si>
  <si>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</si>
  <si>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</si>
  <si>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</si>
  <si>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</si>
  <si>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</si>
  <si>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</si>
  <si>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</si>
  <si>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</si>
  <si>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</si>
  <si>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</si>
  <si>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</si>
  <si>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</si>
  <si>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</si>
  <si>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</si>
  <si>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</si>
  <si>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</si>
  <si>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</si>
  <si>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</si>
  <si>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</si>
  <si>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</si>
  <si>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</si>
  <si>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</si>
  <si>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</si>
  <si>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</si>
  <si>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</si>
  <si>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</si>
  <si>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</si>
  <si>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</si>
  <si>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</si>
  <si>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</si>
  <si>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</si>
  <si>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</si>
  <si>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</si>
  <si>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</si>
  <si>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</si>
  <si>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</si>
  <si>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</si>
  <si>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</si>
  <si>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</si>
  <si>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</si>
  <si>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</si>
  <si>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</si>
  <si>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</si>
  <si>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</si>
  <si>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</si>
  <si>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</si>
  <si>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</si>
  <si>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</si>
  <si>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</si>
  <si>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</si>
  <si>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</si>
  <si>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</si>
  <si>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</si>
  <si>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</si>
  <si>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</si>
  <si>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</si>
  <si>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</si>
  <si>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</si>
  <si>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</si>
  <si>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</si>
  <si>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</si>
  <si>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</si>
  <si>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</si>
  <si>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</si>
  <si>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</si>
  <si>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</si>
  <si>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</si>
  <si>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</si>
  <si>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</si>
  <si>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</si>
  <si>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</si>
  <si>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</si>
  <si>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</si>
  <si>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</si>
  <si>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</si>
  <si>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</si>
  <si>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</si>
  <si>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</si>
  <si>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</si>
  <si>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</si>
  <si>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</si>
  <si>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</si>
  <si>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</si>
  <si>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</si>
  <si>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</si>
  <si>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</si>
  <si>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</si>
  <si>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</si>
  <si>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</si>
  <si>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</si>
  <si>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</si>
  <si>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</si>
  <si>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</si>
  <si>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</si>
  <si>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</si>
  <si>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</si>
  <si>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</si>
  <si>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</si>
  <si>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</si>
  <si>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</si>
  <si>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</si>
  <si>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</si>
  <si>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</si>
  <si>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</si>
  <si>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</si>
  <si>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</si>
  <si>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</si>
  <si>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</si>
  <si>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</si>
  <si>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</si>
  <si>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</si>
  <si>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</si>
  <si>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</si>
  <si>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</si>
  <si>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</si>
  <si>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</si>
  <si>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</si>
  <si>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</si>
  <si>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</si>
  <si>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</si>
  <si>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</si>
  <si>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</si>
  <si>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</si>
  <si>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</si>
  <si>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</si>
  <si>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</si>
  <si>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</si>
  <si>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</si>
  <si>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</si>
  <si>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</si>
  <si>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</si>
  <si>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</si>
  <si>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</si>
  <si>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</si>
  <si>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</si>
  <si>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</si>
  <si>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</si>
  <si>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</si>
  <si>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</si>
  <si>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</si>
  <si>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</si>
  <si>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</si>
  <si>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</si>
  <si>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</si>
  <si>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</si>
  <si>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</si>
  <si>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</si>
  <si>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</si>
  <si>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</si>
  <si>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</si>
  <si>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</si>
  <si>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</si>
  <si>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</si>
  <si>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</si>
  <si>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</si>
  <si>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</si>
  <si>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</si>
  <si>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</si>
  <si>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</si>
  <si>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</si>
  <si>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</si>
  <si>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</si>
  <si>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</si>
  <si>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</si>
  <si>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</si>
  <si>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</si>
  <si>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</si>
  <si>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</si>
  <si>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</si>
  <si>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</si>
  <si>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</si>
  <si>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</si>
  <si>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</si>
  <si>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</si>
  <si>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</si>
  <si>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</si>
  <si>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</si>
  <si>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</si>
  <si>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</si>
  <si>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</si>
  <si>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</si>
  <si>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</si>
  <si>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</si>
  <si>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</si>
  <si>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</si>
  <si>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</si>
  <si>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</si>
  <si>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</si>
  <si>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</si>
  <si>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</si>
  <si>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</si>
  <si>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</si>
  <si>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</si>
  <si>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</si>
  <si>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</si>
  <si>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</si>
  <si>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</si>
  <si>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</si>
  <si>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</si>
  <si>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</si>
  <si>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</si>
  <si>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</si>
  <si>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</si>
  <si>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</si>
  <si>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</si>
  <si>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</si>
  <si>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</si>
  <si>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</si>
  <si>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</si>
  <si>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</si>
  <si>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</si>
  <si>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</si>
  <si>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</si>
  <si>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</si>
  <si>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</si>
  <si>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</si>
  <si>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</si>
  <si>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</si>
  <si>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</si>
  <si>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</si>
  <si>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</si>
  <si>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</si>
  <si>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</si>
  <si>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</si>
  <si>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</si>
  <si>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</si>
  <si>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</si>
  <si>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</si>
  <si>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</si>
  <si>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</si>
  <si>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</si>
  <si>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</si>
  <si>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</si>
  <si>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</si>
  <si>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</si>
  <si>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</si>
  <si>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</si>
  <si>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</si>
  <si>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</si>
  <si>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</si>
  <si>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</si>
  <si>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</si>
  <si>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</si>
  <si>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</si>
  <si>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</si>
  <si>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</si>
  <si>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</si>
  <si>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</si>
  <si>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</si>
  <si>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34003</t>
  </si>
  <si>
    <t>AVELGEM</t>
  </si>
  <si>
    <t>referentietaak LNE (2017); Jaarverslag De Lijn</t>
  </si>
  <si>
    <t>Balta Avelgem</t>
  </si>
  <si>
    <t>Avelgem</t>
  </si>
  <si>
    <t>WKK-0546</t>
  </si>
  <si>
    <t>Interne verbrandingsmotor</t>
  </si>
  <si>
    <t>WKK interne verbrandinsgmotor (gas)</t>
  </si>
  <si>
    <t>Nijverheidslaan 15</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</si>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</sst>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71191.048047082542</c:v>
                </c:pt>
                <c:pt idx="1">
                  <c:v>28482.97934506158</c:v>
                </c:pt>
                <c:pt idx="2">
                  <c:v>416.08300000000003</c:v>
                </c:pt>
                <c:pt idx="3">
                  <c:v>3869.617054212405</c:v>
                </c:pt>
                <c:pt idx="4">
                  <c:v>163787.89954297632</c:v>
                </c:pt>
                <c:pt idx="5">
                  <c:v>43314.620419654442</c:v>
                </c:pt>
                <c:pt idx="6">
                  <c:v>983.05947209596536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71191.048047082542</c:v>
                </c:pt>
                <c:pt idx="1">
                  <c:v>28482.97934506158</c:v>
                </c:pt>
                <c:pt idx="2">
                  <c:v>416.08300000000003</c:v>
                </c:pt>
                <c:pt idx="3">
                  <c:v>3869.617054212405</c:v>
                </c:pt>
                <c:pt idx="4">
                  <c:v>163787.89954297632</c:v>
                </c:pt>
                <c:pt idx="5">
                  <c:v>43314.620419654442</c:v>
                </c:pt>
                <c:pt idx="6">
                  <c:v>983.05947209596536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13607.630946717958</c:v>
                </c:pt>
                <c:pt idx="1">
                  <c:v>5626.3741957863085</c:v>
                </c:pt>
                <c:pt idx="2">
                  <c:v>80.85271163890954</c:v>
                </c:pt>
                <c:pt idx="3">
                  <c:v>985.50998543409355</c:v>
                </c:pt>
                <c:pt idx="4">
                  <c:v>31910.720767903535</c:v>
                </c:pt>
                <c:pt idx="5">
                  <c:v>10767.024698476702</c:v>
                </c:pt>
                <c:pt idx="6">
                  <c:v>248.96653675442144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13607.630946717958</c:v>
                </c:pt>
                <c:pt idx="1">
                  <c:v>5626.3741957863085</c:v>
                </c:pt>
                <c:pt idx="2">
                  <c:v>80.85271163890954</c:v>
                </c:pt>
                <c:pt idx="3">
                  <c:v>985.50998543409355</c:v>
                </c:pt>
                <c:pt idx="4">
                  <c:v>31910.720767903535</c:v>
                </c:pt>
                <c:pt idx="5">
                  <c:v>10767.024698476702</c:v>
                </c:pt>
                <c:pt idx="6">
                  <c:v>248.96653675442144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34003</v>
      </c>
      <c r="B6" s="392"/>
      <c r="C6" s="393"/>
    </row>
    <row r="7" spans="1:7" s="390" customFormat="1" ht="15.75" customHeight="1">
      <c r="A7" s="394" t="str">
        <f>txtMunicipality</f>
        <v>AVELGEM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0.19431870958176503</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0.19431870958176503</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4329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1363.82</v>
      </c>
      <c r="C14" s="332"/>
      <c r="D14" s="332"/>
      <c r="E14" s="332"/>
      <c r="F14" s="332"/>
    </row>
    <row r="15" spans="1:6">
      <c r="A15" s="1310" t="s">
        <v>183</v>
      </c>
      <c r="B15" s="1311">
        <v>10</v>
      </c>
      <c r="C15" s="332"/>
      <c r="D15" s="332"/>
      <c r="E15" s="332"/>
      <c r="F15" s="332"/>
    </row>
    <row r="16" spans="1:6">
      <c r="A16" s="1310" t="s">
        <v>6</v>
      </c>
      <c r="B16" s="1311">
        <v>271</v>
      </c>
      <c r="C16" s="332"/>
      <c r="D16" s="332"/>
      <c r="E16" s="332"/>
      <c r="F16" s="332"/>
    </row>
    <row r="17" spans="1:6">
      <c r="A17" s="1310" t="s">
        <v>7</v>
      </c>
      <c r="B17" s="1311">
        <v>757</v>
      </c>
      <c r="C17" s="332"/>
      <c r="D17" s="332"/>
      <c r="E17" s="332"/>
      <c r="F17" s="332"/>
    </row>
    <row r="18" spans="1:6">
      <c r="A18" s="1310" t="s">
        <v>8</v>
      </c>
      <c r="B18" s="1311">
        <v>852</v>
      </c>
      <c r="C18" s="332"/>
      <c r="D18" s="332"/>
      <c r="E18" s="332"/>
      <c r="F18" s="332"/>
    </row>
    <row r="19" spans="1:6">
      <c r="A19" s="1310" t="s">
        <v>9</v>
      </c>
      <c r="B19" s="1311">
        <v>800</v>
      </c>
      <c r="C19" s="332"/>
      <c r="D19" s="332"/>
      <c r="E19" s="332"/>
      <c r="F19" s="332"/>
    </row>
    <row r="20" spans="1:6">
      <c r="A20" s="1310" t="s">
        <v>10</v>
      </c>
      <c r="B20" s="1311">
        <v>431</v>
      </c>
      <c r="C20" s="332"/>
      <c r="D20" s="332"/>
      <c r="E20" s="332"/>
      <c r="F20" s="332"/>
    </row>
    <row r="21" spans="1:6">
      <c r="A21" s="1310" t="s">
        <v>11</v>
      </c>
      <c r="B21" s="1311">
        <v>740</v>
      </c>
      <c r="C21" s="332"/>
      <c r="D21" s="332"/>
      <c r="E21" s="332"/>
      <c r="F21" s="332"/>
    </row>
    <row r="22" spans="1:6">
      <c r="A22" s="1310" t="s">
        <v>12</v>
      </c>
      <c r="B22" s="1311">
        <v>3362</v>
      </c>
      <c r="C22" s="332"/>
      <c r="D22" s="332"/>
      <c r="E22" s="332"/>
      <c r="F22" s="332"/>
    </row>
    <row r="23" spans="1:6">
      <c r="A23" s="1310" t="s">
        <v>13</v>
      </c>
      <c r="B23" s="1311">
        <v>20</v>
      </c>
      <c r="C23" s="332"/>
      <c r="D23" s="332"/>
      <c r="E23" s="332"/>
      <c r="F23" s="332"/>
    </row>
    <row r="24" spans="1:6">
      <c r="A24" s="1310" t="s">
        <v>14</v>
      </c>
      <c r="B24" s="1311">
        <v>2</v>
      </c>
      <c r="C24" s="332"/>
      <c r="D24" s="332"/>
      <c r="E24" s="332"/>
      <c r="F24" s="332"/>
    </row>
    <row r="25" spans="1:6">
      <c r="A25" s="1310" t="s">
        <v>15</v>
      </c>
      <c r="B25" s="1311">
        <v>179</v>
      </c>
      <c r="C25" s="332"/>
      <c r="D25" s="332"/>
      <c r="E25" s="332"/>
      <c r="F25" s="332"/>
    </row>
    <row r="26" spans="1:6">
      <c r="A26" s="1310" t="s">
        <v>16</v>
      </c>
      <c r="B26" s="1311">
        <v>247</v>
      </c>
      <c r="C26" s="332"/>
      <c r="D26" s="332"/>
      <c r="E26" s="332"/>
      <c r="F26" s="332"/>
    </row>
    <row r="27" spans="1:6">
      <c r="A27" s="1310" t="s">
        <v>17</v>
      </c>
      <c r="B27" s="1311">
        <v>3</v>
      </c>
      <c r="C27" s="332"/>
      <c r="D27" s="332"/>
      <c r="E27" s="332"/>
      <c r="F27" s="332"/>
    </row>
    <row r="28" spans="1:6" s="43" customFormat="1">
      <c r="A28" s="1312" t="s">
        <v>18</v>
      </c>
      <c r="B28" s="1313">
        <v>20</v>
      </c>
      <c r="C28" s="338"/>
      <c r="D28" s="338"/>
      <c r="E28" s="338"/>
      <c r="F28" s="338"/>
    </row>
    <row r="29" spans="1:6">
      <c r="A29" s="1312" t="s">
        <v>699</v>
      </c>
      <c r="B29" s="1313">
        <v>58</v>
      </c>
      <c r="C29" s="338"/>
      <c r="D29" s="338"/>
      <c r="E29" s="338"/>
      <c r="F29" s="338"/>
    </row>
    <row r="30" spans="1:6">
      <c r="A30" s="1305" t="s">
        <v>700</v>
      </c>
      <c r="B30" s="1314">
        <v>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2190</v>
      </c>
      <c r="D39" s="1311">
        <v>29217595.216696002</v>
      </c>
      <c r="E39" s="1311">
        <v>4225</v>
      </c>
      <c r="F39" s="1311">
        <v>16612990.831971399</v>
      </c>
    </row>
    <row r="40" spans="1:6">
      <c r="A40" s="1310" t="s">
        <v>29</v>
      </c>
      <c r="B40" s="1310" t="s">
        <v>28</v>
      </c>
      <c r="C40" s="1311">
        <v>0</v>
      </c>
      <c r="D40" s="1311">
        <v>0</v>
      </c>
      <c r="E40" s="1311">
        <v>0</v>
      </c>
      <c r="F40" s="1311">
        <v>0</v>
      </c>
    </row>
    <row r="41" spans="1:6">
      <c r="A41" s="1310" t="s">
        <v>31</v>
      </c>
      <c r="B41" s="1310" t="s">
        <v>32</v>
      </c>
      <c r="C41" s="1311">
        <v>52</v>
      </c>
      <c r="D41" s="1311">
        <v>859835.70539836003</v>
      </c>
      <c r="E41" s="1311">
        <v>129</v>
      </c>
      <c r="F41" s="1311">
        <v>1297572.4610909999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132694.490739017</v>
      </c>
      <c r="E44" s="1311">
        <v>14</v>
      </c>
      <c r="F44" s="1311">
        <v>196220.34427524899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132729.29970036901</v>
      </c>
      <c r="E48" s="1311">
        <v>4</v>
      </c>
      <c r="F48" s="1311">
        <v>85847.588325523495</v>
      </c>
    </row>
    <row r="49" spans="1:6">
      <c r="A49" s="1310" t="s">
        <v>31</v>
      </c>
      <c r="B49" s="1310" t="s">
        <v>39</v>
      </c>
      <c r="C49" s="1311">
        <v>6</v>
      </c>
      <c r="D49" s="1311">
        <v>75780999.390863493</v>
      </c>
      <c r="E49" s="1311">
        <v>9</v>
      </c>
      <c r="F49" s="1311">
        <v>80933444.2607802</v>
      </c>
    </row>
    <row r="50" spans="1:6">
      <c r="A50" s="1310" t="s">
        <v>31</v>
      </c>
      <c r="B50" s="1310" t="s">
        <v>40</v>
      </c>
      <c r="C50" s="1311">
        <v>4</v>
      </c>
      <c r="D50" s="1311">
        <v>129618.27735082799</v>
      </c>
      <c r="E50" s="1311">
        <v>11</v>
      </c>
      <c r="F50" s="1311">
        <v>6800111.6720141796</v>
      </c>
    </row>
    <row r="51" spans="1:6">
      <c r="A51" s="1310" t="s">
        <v>41</v>
      </c>
      <c r="B51" s="1310" t="s">
        <v>42</v>
      </c>
      <c r="C51" s="1311">
        <v>5</v>
      </c>
      <c r="D51" s="1311">
        <v>81725.456201623107</v>
      </c>
      <c r="E51" s="1311">
        <v>57</v>
      </c>
      <c r="F51" s="1311">
        <v>835313.58414018305</v>
      </c>
    </row>
    <row r="52" spans="1:6">
      <c r="A52" s="1310" t="s">
        <v>41</v>
      </c>
      <c r="B52" s="1310" t="s">
        <v>28</v>
      </c>
      <c r="C52" s="1311">
        <v>0</v>
      </c>
      <c r="D52" s="1311">
        <v>0</v>
      </c>
      <c r="E52" s="1311">
        <v>0</v>
      </c>
      <c r="F52" s="1311">
        <v>0</v>
      </c>
    </row>
    <row r="53" spans="1:6">
      <c r="A53" s="1310" t="s">
        <v>43</v>
      </c>
      <c r="B53" s="1310" t="s">
        <v>44</v>
      </c>
      <c r="C53" s="1311">
        <v>44</v>
      </c>
      <c r="D53" s="1311">
        <v>816454.07316795702</v>
      </c>
      <c r="E53" s="1311">
        <v>129</v>
      </c>
      <c r="F53" s="1311">
        <v>521338.70678921603</v>
      </c>
    </row>
    <row r="54" spans="1:6">
      <c r="A54" s="1310" t="s">
        <v>45</v>
      </c>
      <c r="B54" s="1310" t="s">
        <v>46</v>
      </c>
      <c r="C54" s="1311">
        <v>0</v>
      </c>
      <c r="D54" s="1311">
        <v>0</v>
      </c>
      <c r="E54" s="1311">
        <v>1</v>
      </c>
      <c r="F54" s="1311">
        <v>416083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38</v>
      </c>
      <c r="D57" s="1311">
        <v>3312535.2798310802</v>
      </c>
      <c r="E57" s="1311">
        <v>69</v>
      </c>
      <c r="F57" s="1311">
        <v>2597223.64767724</v>
      </c>
    </row>
    <row r="58" spans="1:6">
      <c r="A58" s="1310" t="s">
        <v>48</v>
      </c>
      <c r="B58" s="1310" t="s">
        <v>50</v>
      </c>
      <c r="C58" s="1311">
        <v>25</v>
      </c>
      <c r="D58" s="1311">
        <v>1872329.20590718</v>
      </c>
      <c r="E58" s="1311">
        <v>40</v>
      </c>
      <c r="F58" s="1311">
        <v>894282.15803024499</v>
      </c>
    </row>
    <row r="59" spans="1:6">
      <c r="A59" s="1310" t="s">
        <v>48</v>
      </c>
      <c r="B59" s="1310" t="s">
        <v>51</v>
      </c>
      <c r="C59" s="1311">
        <v>49</v>
      </c>
      <c r="D59" s="1311">
        <v>1476232.62267103</v>
      </c>
      <c r="E59" s="1311">
        <v>131</v>
      </c>
      <c r="F59" s="1311">
        <v>4257558.1222235104</v>
      </c>
    </row>
    <row r="60" spans="1:6">
      <c r="A60" s="1310" t="s">
        <v>48</v>
      </c>
      <c r="B60" s="1310" t="s">
        <v>52</v>
      </c>
      <c r="C60" s="1311">
        <v>32</v>
      </c>
      <c r="D60" s="1311">
        <v>1683471.4127873499</v>
      </c>
      <c r="E60" s="1311">
        <v>58</v>
      </c>
      <c r="F60" s="1311">
        <v>939911.249055636</v>
      </c>
    </row>
    <row r="61" spans="1:6">
      <c r="A61" s="1310" t="s">
        <v>48</v>
      </c>
      <c r="B61" s="1310" t="s">
        <v>53</v>
      </c>
      <c r="C61" s="1311">
        <v>82</v>
      </c>
      <c r="D61" s="1311">
        <v>3075099.17822447</v>
      </c>
      <c r="E61" s="1311">
        <v>232</v>
      </c>
      <c r="F61" s="1311">
        <v>4588146.4405792197</v>
      </c>
    </row>
    <row r="62" spans="1:6">
      <c r="A62" s="1310" t="s">
        <v>48</v>
      </c>
      <c r="B62" s="1310" t="s">
        <v>54</v>
      </c>
      <c r="C62" s="1311">
        <v>4</v>
      </c>
      <c r="D62" s="1311">
        <v>728454.04124837404</v>
      </c>
      <c r="E62" s="1311">
        <v>9</v>
      </c>
      <c r="F62" s="1311">
        <v>600902.88727376901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40686.127728862499</v>
      </c>
      <c r="E65" s="1311">
        <v>2</v>
      </c>
      <c r="F65" s="1311">
        <v>50204.765075649397</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10</v>
      </c>
      <c r="F68" s="1314">
        <v>74563.7565454695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44132420</v>
      </c>
      <c r="E73" s="453"/>
      <c r="F73" s="332"/>
    </row>
    <row r="74" spans="1:6">
      <c r="A74" s="1310" t="s">
        <v>63</v>
      </c>
      <c r="B74" s="1310" t="s">
        <v>648</v>
      </c>
      <c r="C74" s="1324" t="s">
        <v>650</v>
      </c>
      <c r="D74" s="1325">
        <v>4098141.5891934764</v>
      </c>
      <c r="E74" s="453"/>
      <c r="F74" s="332"/>
    </row>
    <row r="75" spans="1:6">
      <c r="A75" s="1310" t="s">
        <v>64</v>
      </c>
      <c r="B75" s="1310" t="s">
        <v>647</v>
      </c>
      <c r="C75" s="1324" t="s">
        <v>651</v>
      </c>
      <c r="D75" s="1325">
        <v>4391341</v>
      </c>
      <c r="E75" s="453"/>
      <c r="F75" s="332"/>
    </row>
    <row r="76" spans="1:6">
      <c r="A76" s="1310" t="s">
        <v>64</v>
      </c>
      <c r="B76" s="1310" t="s">
        <v>648</v>
      </c>
      <c r="C76" s="1324" t="s">
        <v>652</v>
      </c>
      <c r="D76" s="1325">
        <v>266809.58919347648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272676.82161304698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12869.001030597588</v>
      </c>
      <c r="C90" s="332"/>
      <c r="D90" s="332"/>
      <c r="E90" s="332"/>
      <c r="F90" s="332"/>
    </row>
    <row r="91" spans="1:6">
      <c r="A91" s="1310" t="s">
        <v>67</v>
      </c>
      <c r="B91" s="1311">
        <v>2621.2601982498859</v>
      </c>
      <c r="C91" s="332"/>
      <c r="D91" s="332"/>
      <c r="E91" s="332"/>
      <c r="F91" s="332"/>
    </row>
    <row r="92" spans="1:6">
      <c r="A92" s="1305" t="s">
        <v>68</v>
      </c>
      <c r="B92" s="1306">
        <v>400.07963275970934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453</v>
      </c>
      <c r="C97" s="332"/>
      <c r="D97" s="332"/>
      <c r="E97" s="332"/>
      <c r="F97" s="332"/>
    </row>
    <row r="98" spans="1:6">
      <c r="A98" s="1310" t="s">
        <v>71</v>
      </c>
      <c r="B98" s="1311">
        <v>0</v>
      </c>
      <c r="C98" s="332"/>
      <c r="D98" s="332"/>
      <c r="E98" s="332"/>
      <c r="F98" s="332"/>
    </row>
    <row r="99" spans="1:6">
      <c r="A99" s="1310" t="s">
        <v>72</v>
      </c>
      <c r="B99" s="1311">
        <v>45</v>
      </c>
      <c r="C99" s="332"/>
      <c r="D99" s="332"/>
      <c r="E99" s="332"/>
      <c r="F99" s="332"/>
    </row>
    <row r="100" spans="1:6">
      <c r="A100" s="1310" t="s">
        <v>73</v>
      </c>
      <c r="B100" s="1311">
        <v>570</v>
      </c>
      <c r="C100" s="332"/>
      <c r="D100" s="332"/>
      <c r="E100" s="332"/>
      <c r="F100" s="332"/>
    </row>
    <row r="101" spans="1:6">
      <c r="A101" s="1310" t="s">
        <v>74</v>
      </c>
      <c r="B101" s="1311">
        <v>51</v>
      </c>
      <c r="C101" s="332"/>
      <c r="D101" s="332"/>
      <c r="E101" s="332"/>
      <c r="F101" s="332"/>
    </row>
    <row r="102" spans="1:6">
      <c r="A102" s="1310" t="s">
        <v>75</v>
      </c>
      <c r="B102" s="1311">
        <v>69</v>
      </c>
      <c r="C102" s="332"/>
      <c r="D102" s="332"/>
      <c r="E102" s="332"/>
      <c r="F102" s="332"/>
    </row>
    <row r="103" spans="1:6">
      <c r="A103" s="1310" t="s">
        <v>76</v>
      </c>
      <c r="B103" s="1311">
        <v>142</v>
      </c>
      <c r="C103" s="332"/>
      <c r="D103" s="332"/>
      <c r="E103" s="332"/>
      <c r="F103" s="332"/>
    </row>
    <row r="104" spans="1:6">
      <c r="A104" s="1310" t="s">
        <v>77</v>
      </c>
      <c r="B104" s="1311">
        <v>2239</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v>
      </c>
      <c r="C123" s="1311">
        <v>45</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158</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128780.4855926021</v>
      </c>
      <c r="C3" s="43" t="s">
        <v>169</v>
      </c>
      <c r="D3" s="43"/>
      <c r="E3" s="154"/>
      <c r="F3" s="43"/>
      <c r="G3" s="43"/>
      <c r="H3" s="43"/>
      <c r="I3" s="43"/>
      <c r="J3" s="43"/>
      <c r="K3" s="96"/>
    </row>
    <row r="4" spans="1:11">
      <c r="A4" s="360" t="s">
        <v>170</v>
      </c>
      <c r="B4" s="49">
        <f>IF(ISERROR('SEAP template'!B78+'SEAP template'!C78),0,'SEAP template'!B78+'SEAP template'!C78)</f>
        <v>20439.840861607183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1081.1752941176471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0.19431870958176503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1544.5361344537814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6499.2857142857129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416.08300000000003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416.08300000000003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0.19431870958176503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80.85271163890954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16612.990831971398</v>
      </c>
      <c r="C5" s="17">
        <f>IF(ISERROR('Eigen informatie GS &amp; warmtenet'!B59),0,'Eigen informatie GS &amp; warmtenet'!B59)</f>
        <v>0</v>
      </c>
      <c r="D5" s="30">
        <f>(SUM(HH_hh_gas_kWh,HH_rest_gas_kWh)/1000)*0.903</f>
        <v>26383.488480676489</v>
      </c>
      <c r="E5" s="17">
        <f>B46*B57</f>
        <v>3519.0664001814507</v>
      </c>
      <c r="F5" s="17">
        <f>B51*B62</f>
        <v>14014.094984328769</v>
      </c>
      <c r="G5" s="18"/>
      <c r="H5" s="17"/>
      <c r="I5" s="17"/>
      <c r="J5" s="17">
        <f>B50*B61+C50*C61</f>
        <v>0</v>
      </c>
      <c r="K5" s="17"/>
      <c r="L5" s="17"/>
      <c r="M5" s="17"/>
      <c r="N5" s="17">
        <f>B48*B59+C48*C59</f>
        <v>7475.4263270849497</v>
      </c>
      <c r="O5" s="17">
        <f>B69*B70*B71</f>
        <v>406.71143497434156</v>
      </c>
      <c r="P5" s="17">
        <f>B77*B78*B79/1000-B77*B78*B79/1000/B80</f>
        <v>158.00938961527535</v>
      </c>
    </row>
    <row r="6" spans="1:16">
      <c r="A6" s="16" t="s">
        <v>612</v>
      </c>
      <c r="B6" s="786">
        <f>kWh_PV_kleiner_dan_10kW</f>
        <v>2621.2601982498859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19234.251030221283</v>
      </c>
      <c r="C8" s="21">
        <f>C5</f>
        <v>0</v>
      </c>
      <c r="D8" s="21">
        <f>D5</f>
        <v>26383.488480676489</v>
      </c>
      <c r="E8" s="21">
        <f>E5</f>
        <v>3519.0664001814507</v>
      </c>
      <c r="F8" s="21">
        <f>F5</f>
        <v>14014.094984328769</v>
      </c>
      <c r="G8" s="21"/>
      <c r="H8" s="21"/>
      <c r="I8" s="21"/>
      <c r="J8" s="21">
        <f>J5</f>
        <v>0</v>
      </c>
      <c r="K8" s="21"/>
      <c r="L8" s="21">
        <f>L5</f>
        <v>0</v>
      </c>
      <c r="M8" s="21">
        <f>M5</f>
        <v>0</v>
      </c>
      <c r="N8" s="21">
        <f>N5</f>
        <v>7475.4263270849497</v>
      </c>
      <c r="O8" s="21">
        <f>O5</f>
        <v>406.71143497434156</v>
      </c>
      <c r="P8" s="21">
        <f>P5</f>
        <v>158.00938961527535</v>
      </c>
    </row>
    <row r="9" spans="1:16">
      <c r="B9" s="19"/>
      <c r="C9" s="19"/>
      <c r="D9" s="258"/>
      <c r="E9" s="19"/>
      <c r="F9" s="19"/>
      <c r="G9" s="19"/>
      <c r="H9" s="19"/>
      <c r="I9" s="19"/>
      <c r="J9" s="19"/>
      <c r="K9" s="19"/>
      <c r="L9" s="19"/>
      <c r="M9" s="19"/>
      <c r="N9" s="19"/>
      <c r="O9" s="19"/>
      <c r="P9" s="19"/>
    </row>
    <row r="10" spans="1:16">
      <c r="A10" s="24" t="s">
        <v>213</v>
      </c>
      <c r="B10" s="25">
        <f ca="1">'EF ele_warmte'!B12</f>
        <v>0.19431870958176503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3737.5748399643344</v>
      </c>
      <c r="C12" s="23">
        <f ca="1">C10*C8</f>
        <v>0</v>
      </c>
      <c r="D12" s="23">
        <f>D8*D10</f>
        <v>5329.4646730966515</v>
      </c>
      <c r="E12" s="23">
        <f>E10*E8</f>
        <v>798.82807284118928</v>
      </c>
      <c r="F12" s="23">
        <f>F10*F8</f>
        <v>3741.7633608157817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453</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6.756756756756757</v>
      </c>
      <c r="D20" s="229"/>
      <c r="E20" s="15"/>
    </row>
    <row r="21" spans="1:7">
      <c r="A21" s="171" t="s">
        <v>73</v>
      </c>
      <c r="B21" s="37">
        <f>aantalw2001_elektriciteit</f>
        <v>570</v>
      </c>
      <c r="C21" s="167">
        <f>IF(ISERROR(B21/SUM($B$20,$B$21,$B$22)*100),0,B21/SUM($B$20,$B$21,$B$22)*100)</f>
        <v>85.585585585585591</v>
      </c>
      <c r="D21" s="229"/>
      <c r="E21" s="15"/>
    </row>
    <row r="22" spans="1:7">
      <c r="A22" s="171" t="s">
        <v>74</v>
      </c>
      <c r="B22" s="37">
        <f>aantalw2001_hout</f>
        <v>51</v>
      </c>
      <c r="C22" s="167">
        <f>IF(ISERROR(B22/SUM($B$20,$B$21,$B$22)*100),0,B22/SUM($B$20,$B$21,$B$22)*100)</f>
        <v>7.6576576576576567</v>
      </c>
      <c r="D22" s="229"/>
      <c r="E22" s="15"/>
    </row>
    <row r="23" spans="1:7">
      <c r="A23" s="171" t="s">
        <v>75</v>
      </c>
      <c r="B23" s="37">
        <f>aantalw2001_niet_gespec</f>
        <v>69</v>
      </c>
      <c r="C23" s="166" t="s">
        <v>110</v>
      </c>
      <c r="D23" s="228"/>
      <c r="E23" s="15"/>
    </row>
    <row r="24" spans="1:7">
      <c r="A24" s="171" t="s">
        <v>76</v>
      </c>
      <c r="B24" s="37">
        <f>aantalw2001_steenkool</f>
        <v>142</v>
      </c>
      <c r="C24" s="166" t="s">
        <v>110</v>
      </c>
      <c r="D24" s="229"/>
      <c r="E24" s="15"/>
    </row>
    <row r="25" spans="1:7">
      <c r="A25" s="171" t="s">
        <v>77</v>
      </c>
      <c r="B25" s="37">
        <f>aantalw2001_stookolie</f>
        <v>2239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4329</v>
      </c>
      <c r="C28" s="36"/>
      <c r="D28" s="228"/>
    </row>
    <row r="29" spans="1:7" s="15" customFormat="1">
      <c r="A29" s="230" t="s">
        <v>839</v>
      </c>
      <c r="B29" s="37">
        <f>SUM(HH_hh_gas_aantal,HH_rest_gas_aantal)</f>
        <v>2190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2190</v>
      </c>
      <c r="C32" s="167">
        <f>IF(ISERROR(B32/SUM($B$32,$B$34,$B$35,$B$36,$B$38,$B$39)*100),0,B32/SUM($B$32,$B$34,$B$35,$B$36,$B$38,$B$39)*100)</f>
        <v>50.764951321279547</v>
      </c>
      <c r="D32" s="233"/>
      <c r="G32" s="15"/>
    </row>
    <row r="33" spans="1:7">
      <c r="A33" s="171" t="s">
        <v>71</v>
      </c>
      <c r="B33" s="34" t="s">
        <v>110</v>
      </c>
      <c r="C33" s="167"/>
      <c r="D33" s="233"/>
      <c r="G33" s="15"/>
    </row>
    <row r="34" spans="1:7">
      <c r="A34" s="171" t="s">
        <v>72</v>
      </c>
      <c r="B34" s="33">
        <f>IF((($B$28-$B$32-$B$39-$B$77-$B$38)*C20/100)&lt;0,0,($B$28-$B$32-$B$39-$B$77-$B$38)*C20/100)</f>
        <v>97.858108108108112</v>
      </c>
      <c r="C34" s="167">
        <f>IF(ISERROR(B34/SUM($B$32,$B$34,$B$35,$B$36,$B$38,$B$39)*100),0,B34/SUM($B$32,$B$34,$B$35,$B$36,$B$38,$B$39)*100)</f>
        <v>2.2683845180368132</v>
      </c>
      <c r="D34" s="233"/>
      <c r="G34" s="15"/>
    </row>
    <row r="35" spans="1:7">
      <c r="A35" s="171" t="s">
        <v>73</v>
      </c>
      <c r="B35" s="33">
        <f>IF((($B$28-$B$32-$B$39-$B$77-$B$38)*C21/100)&lt;0,0,($B$28-$B$32-$B$39-$B$77-$B$38)*C21/100)</f>
        <v>1239.5360360360362</v>
      </c>
      <c r="C35" s="167">
        <f>IF(ISERROR(B35/SUM($B$32,$B$34,$B$35,$B$36,$B$38,$B$39)*100),0,B35/SUM($B$32,$B$34,$B$35,$B$36,$B$38,$B$39)*100)</f>
        <v>28.732870561799633</v>
      </c>
      <c r="D35" s="233"/>
      <c r="G35" s="15"/>
    </row>
    <row r="36" spans="1:7">
      <c r="A36" s="171" t="s">
        <v>74</v>
      </c>
      <c r="B36" s="33">
        <f>IF((($B$28-$B$32-$B$39-$B$77-$B$38)*C22/100)&lt;0,0,($B$28-$B$32-$B$39-$B$77-$B$38)*C22/100)</f>
        <v>110.90585585585585</v>
      </c>
      <c r="C36" s="167">
        <f>IF(ISERROR(B36/SUM($B$32,$B$34,$B$35,$B$36,$B$38,$B$39)*100),0,B36/SUM($B$32,$B$34,$B$35,$B$36,$B$38,$B$39)*100)</f>
        <v>2.5708357871083876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675.7</v>
      </c>
      <c r="C39" s="167">
        <f>IF(ISERROR(B39/SUM($B$32,$B$34,$B$35,$B$36,$B$38,$B$39)*100),0,B39/SUM($B$32,$B$34,$B$35,$B$36,$B$38,$B$39)*100)</f>
        <v>15.662957811775616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2190</v>
      </c>
      <c r="C44" s="34" t="s">
        <v>110</v>
      </c>
      <c r="D44" s="174"/>
    </row>
    <row r="45" spans="1:7">
      <c r="A45" s="171" t="s">
        <v>71</v>
      </c>
      <c r="B45" s="33" t="str">
        <f t="shared" si="0"/>
        <v>-</v>
      </c>
      <c r="C45" s="34" t="s">
        <v>110</v>
      </c>
      <c r="D45" s="174"/>
    </row>
    <row r="46" spans="1:7">
      <c r="A46" s="171" t="s">
        <v>72</v>
      </c>
      <c r="B46" s="33">
        <f t="shared" si="0"/>
        <v>97.858108108108112</v>
      </c>
      <c r="C46" s="34" t="s">
        <v>110</v>
      </c>
      <c r="D46" s="174"/>
    </row>
    <row r="47" spans="1:7">
      <c r="A47" s="171" t="s">
        <v>73</v>
      </c>
      <c r="B47" s="33">
        <f t="shared" si="0"/>
        <v>1239.5360360360362</v>
      </c>
      <c r="C47" s="34" t="s">
        <v>110</v>
      </c>
      <c r="D47" s="174"/>
    </row>
    <row r="48" spans="1:7">
      <c r="A48" s="171" t="s">
        <v>74</v>
      </c>
      <c r="B48" s="33">
        <f t="shared" si="0"/>
        <v>110.90585585585585</v>
      </c>
      <c r="C48" s="33">
        <f>B48*10</f>
        <v>1109.0585585585584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675.7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13878.024504839619</v>
      </c>
      <c r="C5" s="17">
        <f>IF(ISERROR('Eigen informatie GS &amp; warmtenet'!B60),0,'Eigen informatie GS &amp; warmtenet'!B60)</f>
        <v>0</v>
      </c>
      <c r="D5" s="30">
        <f>SUM(D6:D12)</f>
        <v>10969.753931824544</v>
      </c>
      <c r="E5" s="17">
        <f>SUM(E6:E12)</f>
        <v>53.260176089501485</v>
      </c>
      <c r="F5" s="17">
        <f>SUM(F6:F12)</f>
        <v>2627.8087949898763</v>
      </c>
      <c r="G5" s="18"/>
      <c r="H5" s="17"/>
      <c r="I5" s="17"/>
      <c r="J5" s="17">
        <f>SUM(J6:J12)</f>
        <v>2.5649713522390642E-2</v>
      </c>
      <c r="K5" s="17"/>
      <c r="L5" s="17"/>
      <c r="M5" s="17"/>
      <c r="N5" s="17">
        <f>SUM(N6:N12)</f>
        <v>939.4145053069908</v>
      </c>
      <c r="O5" s="17">
        <f>B38*B39*B40</f>
        <v>14.691782297523464</v>
      </c>
      <c r="P5" s="17">
        <f>B46*B47*B48/1000-B46*B47*B48/1000/B49</f>
        <v>0</v>
      </c>
      <c r="R5" s="32"/>
    </row>
    <row r="6" spans="1:18">
      <c r="A6" s="32" t="s">
        <v>53</v>
      </c>
      <c r="B6" s="37">
        <f>B26</f>
        <v>4588.1464405792194</v>
      </c>
      <c r="C6" s="33"/>
      <c r="D6" s="37">
        <f>IF(ISERROR(TER_kantoor_gas_kWh/1000),0,TER_kantoor_gas_kWh/1000)*0.903</f>
        <v>2776.8145579366965</v>
      </c>
      <c r="E6" s="33">
        <f>$C$26*'E Balans VL '!I12/100/3.6*1000000</f>
        <v>1.0992108286698055</v>
      </c>
      <c r="F6" s="33">
        <f>$C$26*('E Balans VL '!L12+'E Balans VL '!N12)/100/3.6*1000000</f>
        <v>435.08853803817192</v>
      </c>
      <c r="G6" s="34"/>
      <c r="H6" s="33"/>
      <c r="I6" s="33"/>
      <c r="J6" s="33">
        <f>$C$26*('E Balans VL '!D12+'E Balans VL '!E12)/100/3.6*1000000</f>
        <v>0</v>
      </c>
      <c r="K6" s="33"/>
      <c r="L6" s="33"/>
      <c r="M6" s="33"/>
      <c r="N6" s="33">
        <f>$C$26*'E Balans VL '!Y12/100/3.6*1000000</f>
        <v>2.3305410759233487</v>
      </c>
      <c r="O6" s="33"/>
      <c r="P6" s="33"/>
      <c r="R6" s="32"/>
    </row>
    <row r="7" spans="1:18">
      <c r="A7" s="32" t="s">
        <v>52</v>
      </c>
      <c r="B7" s="37">
        <f t="shared" ref="B7:B12" si="0">B27</f>
        <v>939.91124905563595</v>
      </c>
      <c r="C7" s="33"/>
      <c r="D7" s="37">
        <f>IF(ISERROR(TER_horeca_gas_kWh/1000),0,TER_horeca_gas_kWh/1000)*0.903</f>
        <v>1520.174685746977</v>
      </c>
      <c r="E7" s="33">
        <f>$C$27*'E Balans VL '!I9/100/3.6*1000000</f>
        <v>0</v>
      </c>
      <c r="F7" s="33">
        <f>$C$27*('E Balans VL '!L9+'E Balans VL '!N9)/100/3.6*1000000</f>
        <v>77.070512983247582</v>
      </c>
      <c r="G7" s="34"/>
      <c r="H7" s="33"/>
      <c r="I7" s="33"/>
      <c r="J7" s="33">
        <f>$C$27*('E Balans VL '!D9+'E Balans VL '!E9)/100/3.6*1000000</f>
        <v>0</v>
      </c>
      <c r="K7" s="33"/>
      <c r="L7" s="33"/>
      <c r="M7" s="33"/>
      <c r="N7" s="33">
        <f>$C$27*'E Balans VL '!Y9/100/3.6*1000000</f>
        <v>0.28812056070024961</v>
      </c>
      <c r="O7" s="33"/>
      <c r="P7" s="33"/>
      <c r="R7" s="32"/>
    </row>
    <row r="8" spans="1:18">
      <c r="A8" s="6" t="s">
        <v>51</v>
      </c>
      <c r="B8" s="37">
        <f t="shared" si="0"/>
        <v>4257.5581222235105</v>
      </c>
      <c r="C8" s="33"/>
      <c r="D8" s="37">
        <f>IF(ISERROR(TER_handel_gas_kWh/1000),0,TER_handel_gas_kWh/1000)*0.903</f>
        <v>1333.0380582719401</v>
      </c>
      <c r="E8" s="33">
        <f>$C$28*'E Balans VL '!I13/100/3.6*1000000</f>
        <v>14.962989818015528</v>
      </c>
      <c r="F8" s="33">
        <f>$C$28*('E Balans VL '!L13+'E Balans VL '!N13)/100/3.6*1000000</f>
        <v>389.55892232262408</v>
      </c>
      <c r="G8" s="34"/>
      <c r="H8" s="33"/>
      <c r="I8" s="33"/>
      <c r="J8" s="33">
        <f>$C$28*('E Balans VL '!D13+'E Balans VL '!E13)/100/3.6*1000000</f>
        <v>0</v>
      </c>
      <c r="K8" s="33"/>
      <c r="L8" s="33"/>
      <c r="M8" s="33"/>
      <c r="N8" s="33">
        <f>$C$28*'E Balans VL '!Y13/100/3.6*1000000</f>
        <v>1.5419042571324548</v>
      </c>
      <c r="O8" s="33"/>
      <c r="P8" s="33"/>
      <c r="R8" s="32"/>
    </row>
    <row r="9" spans="1:18">
      <c r="A9" s="32" t="s">
        <v>50</v>
      </c>
      <c r="B9" s="37">
        <f t="shared" si="0"/>
        <v>894.282158030245</v>
      </c>
      <c r="C9" s="33"/>
      <c r="D9" s="37">
        <f>IF(ISERROR(TER_gezond_gas_kWh/1000),0,TER_gezond_gas_kWh/1000)*0.903</f>
        <v>1690.7132729341836</v>
      </c>
      <c r="E9" s="33">
        <f>$C$29*'E Balans VL '!I10/100/3.6*1000000</f>
        <v>0</v>
      </c>
      <c r="F9" s="33">
        <f>$C$29*('E Balans VL '!L10+'E Balans VL '!N10)/100/3.6*1000000</f>
        <v>109.62257091749262</v>
      </c>
      <c r="G9" s="34"/>
      <c r="H9" s="33"/>
      <c r="I9" s="33"/>
      <c r="J9" s="33">
        <f>$C$29*('E Balans VL '!D10+'E Balans VL '!E10)/100/3.6*1000000</f>
        <v>0</v>
      </c>
      <c r="K9" s="33"/>
      <c r="L9" s="33"/>
      <c r="M9" s="33"/>
      <c r="N9" s="33">
        <f>$C$29*'E Balans VL '!Y10/100/3.6*1000000</f>
        <v>6.5947077306270865</v>
      </c>
      <c r="O9" s="33"/>
      <c r="P9" s="33"/>
      <c r="R9" s="32"/>
    </row>
    <row r="10" spans="1:18">
      <c r="A10" s="32" t="s">
        <v>49</v>
      </c>
      <c r="B10" s="37">
        <f t="shared" si="0"/>
        <v>2597.22364767724</v>
      </c>
      <c r="C10" s="33"/>
      <c r="D10" s="37">
        <f>IF(ISERROR(TER_ander_gas_kWh/1000),0,TER_ander_gas_kWh/1000)*0.903</f>
        <v>2991.2193576874652</v>
      </c>
      <c r="E10" s="33">
        <f>$C$30*'E Balans VL '!I14/100/3.6*1000000</f>
        <v>37.197975442816151</v>
      </c>
      <c r="F10" s="33">
        <f>$C$30*('E Balans VL '!L14+'E Balans VL '!N14)/100/3.6*1000000</f>
        <v>1546.2155474064093</v>
      </c>
      <c r="G10" s="34"/>
      <c r="H10" s="33"/>
      <c r="I10" s="33"/>
      <c r="J10" s="33">
        <f>$C$30*('E Balans VL '!D14+'E Balans VL '!E14)/100/3.6*1000000</f>
        <v>2.5649713522390642E-2</v>
      </c>
      <c r="K10" s="33"/>
      <c r="L10" s="33"/>
      <c r="M10" s="33"/>
      <c r="N10" s="33">
        <f>$C$30*'E Balans VL '!Y14/100/3.6*1000000</f>
        <v>926.96715815445475</v>
      </c>
      <c r="O10" s="33"/>
      <c r="P10" s="33"/>
      <c r="R10" s="32"/>
    </row>
    <row r="11" spans="1:18">
      <c r="A11" s="32" t="s">
        <v>54</v>
      </c>
      <c r="B11" s="37">
        <f t="shared" si="0"/>
        <v>600.90288727376901</v>
      </c>
      <c r="C11" s="33"/>
      <c r="D11" s="37">
        <f>IF(ISERROR(TER_onderwijs_gas_kWh/1000),0,TER_onderwijs_gas_kWh/1000)*0.903</f>
        <v>657.7939992472817</v>
      </c>
      <c r="E11" s="33">
        <f>$C$31*'E Balans VL '!I11/100/3.6*1000000</f>
        <v>0</v>
      </c>
      <c r="F11" s="33">
        <f>$C$31*('E Balans VL '!L11+'E Balans VL '!N11)/100/3.6*1000000</f>
        <v>70.252703321930966</v>
      </c>
      <c r="G11" s="34"/>
      <c r="H11" s="33"/>
      <c r="I11" s="33"/>
      <c r="J11" s="33">
        <f>$C$31*('E Balans VL '!D11+'E Balans VL '!E11)/100/3.6*1000000</f>
        <v>0</v>
      </c>
      <c r="K11" s="33"/>
      <c r="L11" s="33"/>
      <c r="M11" s="33"/>
      <c r="N11" s="33">
        <f>$C$31*'E Balans VL '!Y11/100/3.6*1000000</f>
        <v>1.6920735281529147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13878.024504839619</v>
      </c>
      <c r="C16" s="21">
        <f t="shared" ca="1" si="1"/>
        <v>0</v>
      </c>
      <c r="D16" s="21">
        <f t="shared" ca="1" si="1"/>
        <v>10969.753931824544</v>
      </c>
      <c r="E16" s="21">
        <f t="shared" si="1"/>
        <v>53.260176089501485</v>
      </c>
      <c r="F16" s="21">
        <f t="shared" ca="1" si="1"/>
        <v>2627.8087949898763</v>
      </c>
      <c r="G16" s="21">
        <f t="shared" si="1"/>
        <v>0</v>
      </c>
      <c r="H16" s="21">
        <f t="shared" si="1"/>
        <v>0</v>
      </c>
      <c r="I16" s="21">
        <f t="shared" si="1"/>
        <v>0</v>
      </c>
      <c r="J16" s="21">
        <f t="shared" si="1"/>
        <v>2.5649713522390642E-2</v>
      </c>
      <c r="K16" s="21">
        <f t="shared" si="1"/>
        <v>0</v>
      </c>
      <c r="L16" s="21">
        <f t="shared" ca="1" si="1"/>
        <v>0</v>
      </c>
      <c r="M16" s="21">
        <f t="shared" si="1"/>
        <v>0</v>
      </c>
      <c r="N16" s="21">
        <f t="shared" ca="1" si="1"/>
        <v>939.4145053069908</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0.19431870958176503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2696.7598133245483</v>
      </c>
      <c r="C20" s="23">
        <f t="shared" ref="C20:P20" ca="1" si="2">C16*C18</f>
        <v>0</v>
      </c>
      <c r="D20" s="23">
        <f t="shared" ca="1" si="2"/>
        <v>2215.8902942285581</v>
      </c>
      <c r="E20" s="23">
        <f t="shared" si="2"/>
        <v>12.090059972316837</v>
      </c>
      <c r="F20" s="23">
        <f t="shared" ca="1" si="2"/>
        <v>701.62494826229704</v>
      </c>
      <c r="G20" s="23">
        <f t="shared" si="2"/>
        <v>0</v>
      </c>
      <c r="H20" s="23">
        <f t="shared" si="2"/>
        <v>0</v>
      </c>
      <c r="I20" s="23">
        <f t="shared" si="2"/>
        <v>0</v>
      </c>
      <c r="J20" s="23">
        <f t="shared" si="2"/>
        <v>9.0799985869262877E-3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4588.1464405792194</v>
      </c>
      <c r="C26" s="39">
        <f>IF(ISERROR(B26*3.6/1000000/'E Balans VL '!Z12*100),0,B26*3.6/1000000/'E Balans VL '!Z12*100)</f>
        <v>0.12939787965126667</v>
      </c>
      <c r="D26" s="237" t="s">
        <v>702</v>
      </c>
      <c r="F26" s="6"/>
    </row>
    <row r="27" spans="1:18">
      <c r="A27" s="231" t="s">
        <v>52</v>
      </c>
      <c r="B27" s="33">
        <f>IF(ISERROR(TER_horeca_ele_kWh/1000),0,TER_horeca_ele_kWh/1000)</f>
        <v>939.91124905563595</v>
      </c>
      <c r="C27" s="39">
        <f>IF(ISERROR(B27*3.6/1000000/'E Balans VL '!Z9*100),0,B27*3.6/1000000/'E Balans VL '!Z9*100)</f>
        <v>6.9682872611155619E-2</v>
      </c>
      <c r="D27" s="237" t="s">
        <v>702</v>
      </c>
      <c r="F27" s="6"/>
    </row>
    <row r="28" spans="1:18">
      <c r="A28" s="171" t="s">
        <v>51</v>
      </c>
      <c r="B28" s="33">
        <f>IF(ISERROR(TER_handel_ele_kWh/1000),0,TER_handel_ele_kWh/1000)</f>
        <v>4257.5581222235105</v>
      </c>
      <c r="C28" s="39">
        <f>IF(ISERROR(B28*3.6/1000000/'E Balans VL '!Z13*100),0,B28*3.6/1000000/'E Balans VL '!Z13*100)</f>
        <v>0.12754631861944085</v>
      </c>
      <c r="D28" s="237" t="s">
        <v>702</v>
      </c>
      <c r="F28" s="6"/>
    </row>
    <row r="29" spans="1:18">
      <c r="A29" s="231" t="s">
        <v>50</v>
      </c>
      <c r="B29" s="33">
        <f>IF(ISERROR(TER_gezond_ele_kWh/1000),0,TER_gezond_ele_kWh/1000)</f>
        <v>894.282158030245</v>
      </c>
      <c r="C29" s="39">
        <f>IF(ISERROR(B29*3.6/1000000/'E Balans VL '!Z10*100),0,B29*3.6/1000000/'E Balans VL '!Z10*100)</f>
        <v>8.8426970298233973E-2</v>
      </c>
      <c r="D29" s="237" t="s">
        <v>702</v>
      </c>
      <c r="F29" s="6"/>
    </row>
    <row r="30" spans="1:18">
      <c r="A30" s="231" t="s">
        <v>49</v>
      </c>
      <c r="B30" s="33">
        <f>IF(ISERROR(TER_ander_ele_kWh/1000),0,TER_ander_ele_kWh/1000)</f>
        <v>2597.22364767724</v>
      </c>
      <c r="C30" s="39">
        <f>IF(ISERROR(B30*3.6/1000000/'E Balans VL '!Z14*100),0,B30*3.6/1000000/'E Balans VL '!Z14*100)</f>
        <v>0.10505002125211185</v>
      </c>
      <c r="D30" s="237" t="s">
        <v>702</v>
      </c>
      <c r="F30" s="6"/>
    </row>
    <row r="31" spans="1:18">
      <c r="A31" s="231" t="s">
        <v>54</v>
      </c>
      <c r="B31" s="33">
        <f>IF(ISERROR(TER_onderwijs_ele_kWh/1000),0,TER_onderwijs_ele_kWh/1000)</f>
        <v>600.90288727376901</v>
      </c>
      <c r="C31" s="39">
        <f>IF(ISERROR(B31*3.6/1000000/'E Balans VL '!Z11*100),0,B31*3.6/1000000/'E Balans VL '!Z11*100)</f>
        <v>0.16509430340317371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89313.19632648617</v>
      </c>
      <c r="C5" s="17">
        <f>IF(ISERROR('Eigen informatie GS &amp; warmtenet'!B61),0,'Eigen informatie GS &amp; warmtenet'!B61)</f>
        <v>0</v>
      </c>
      <c r="D5" s="30">
        <f>SUM(D6:D15)</f>
        <v>69563.397079139017</v>
      </c>
      <c r="E5" s="17">
        <f>SUM(E6:E15)</f>
        <v>135.50059522051015</v>
      </c>
      <c r="F5" s="17">
        <f>SUM(F6:F15)</f>
        <v>2509.0994824636596</v>
      </c>
      <c r="G5" s="18"/>
      <c r="H5" s="17"/>
      <c r="I5" s="17"/>
      <c r="J5" s="17">
        <f>SUM(J6:J15)</f>
        <v>0.34922902366148978</v>
      </c>
      <c r="K5" s="17"/>
      <c r="L5" s="17"/>
      <c r="M5" s="17"/>
      <c r="N5" s="17">
        <f>SUM(N6:N15)</f>
        <v>4216.1425449289827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196.220344275249</v>
      </c>
      <c r="C8" s="33"/>
      <c r="D8" s="37">
        <f>IF( ISERROR(IND_metaal_Gas_kWH/1000),0,IND_metaal_Gas_kWH/1000)*0.903</f>
        <v>119.82312513733235</v>
      </c>
      <c r="E8" s="33">
        <f>C30*'E Balans VL '!I18/100/3.6*1000000</f>
        <v>0.9893772122291844</v>
      </c>
      <c r="F8" s="33">
        <f>C30*'E Balans VL '!L18/100/3.6*1000000+C30*'E Balans VL '!N18/100/3.6*1000000</f>
        <v>13.406174887549081</v>
      </c>
      <c r="G8" s="34"/>
      <c r="H8" s="33"/>
      <c r="I8" s="33"/>
      <c r="J8" s="40">
        <f>C30*'E Balans VL '!D18/100/3.6*1000000+C30*'E Balans VL '!E18/100/3.6*1000000</f>
        <v>0.17396607301099942</v>
      </c>
      <c r="K8" s="33"/>
      <c r="L8" s="33"/>
      <c r="M8" s="33"/>
      <c r="N8" s="33">
        <f>C30*'E Balans VL '!Y18/100/3.6*1000000</f>
        <v>2.6077695398930469</v>
      </c>
      <c r="O8" s="33"/>
      <c r="P8" s="33"/>
      <c r="R8" s="32"/>
    </row>
    <row r="9" spans="1:18">
      <c r="A9" s="6" t="s">
        <v>32</v>
      </c>
      <c r="B9" s="37">
        <f t="shared" si="0"/>
        <v>1297.5724610909999</v>
      </c>
      <c r="C9" s="33"/>
      <c r="D9" s="37">
        <f>IF( ISERROR(IND_andere_gas_kWh/1000),0,IND_andere_gas_kWh/1000)*0.903</f>
        <v>776.43164197471913</v>
      </c>
      <c r="E9" s="33">
        <f>C31*'E Balans VL '!I19/100/3.6*1000000</f>
        <v>4.0902550699234403</v>
      </c>
      <c r="F9" s="33">
        <f>C31*'E Balans VL '!L19/100/3.6*1000000+C31*'E Balans VL '!N19/100/3.6*1000000</f>
        <v>794.31928645424125</v>
      </c>
      <c r="G9" s="34"/>
      <c r="H9" s="33"/>
      <c r="I9" s="33"/>
      <c r="J9" s="40">
        <f>C31*'E Balans VL '!D19/100/3.6*1000000+C31*'E Balans VL '!E19/100/3.6*1000000</f>
        <v>0</v>
      </c>
      <c r="K9" s="33"/>
      <c r="L9" s="33"/>
      <c r="M9" s="33"/>
      <c r="N9" s="33">
        <f>C31*'E Balans VL '!Y19/100/3.6*1000000</f>
        <v>54.408975164505222</v>
      </c>
      <c r="O9" s="33"/>
      <c r="P9" s="33"/>
      <c r="R9" s="32"/>
    </row>
    <row r="10" spans="1:18">
      <c r="A10" s="6" t="s">
        <v>40</v>
      </c>
      <c r="B10" s="37">
        <f t="shared" si="0"/>
        <v>6800.1116720141799</v>
      </c>
      <c r="C10" s="33"/>
      <c r="D10" s="37">
        <f>IF( ISERROR(IND_voed_gas_kWh/1000),0,IND_voed_gas_kWh/1000)*0.903</f>
        <v>117.04530444779768</v>
      </c>
      <c r="E10" s="33">
        <f>C32*'E Balans VL '!I20/100/3.6*1000000</f>
        <v>10.837468240029361</v>
      </c>
      <c r="F10" s="33">
        <f>C32*'E Balans VL '!L20/100/3.6*1000000+C32*'E Balans VL '!N20/100/3.6*1000000</f>
        <v>110.48529532644342</v>
      </c>
      <c r="G10" s="34"/>
      <c r="H10" s="33"/>
      <c r="I10" s="33"/>
      <c r="J10" s="40">
        <f>C32*'E Balans VL '!D20/100/3.6*1000000+C32*'E Balans VL '!E20/100/3.6*1000000</f>
        <v>0</v>
      </c>
      <c r="K10" s="33"/>
      <c r="L10" s="33"/>
      <c r="M10" s="33"/>
      <c r="N10" s="33">
        <f>C32*'E Balans VL '!Y20/100/3.6*1000000</f>
        <v>214.78148888900472</v>
      </c>
      <c r="O10" s="33"/>
      <c r="P10" s="33"/>
      <c r="R10" s="32"/>
    </row>
    <row r="11" spans="1:18">
      <c r="A11" s="6" t="s">
        <v>39</v>
      </c>
      <c r="B11" s="37">
        <f t="shared" si="0"/>
        <v>80933.444260780205</v>
      </c>
      <c r="C11" s="33"/>
      <c r="D11" s="37">
        <f>IF( ISERROR(IND_textiel_gas_kWh/1000),0,IND_textiel_gas_kWh/1000)*0.903</f>
        <v>68430.242449949743</v>
      </c>
      <c r="E11" s="33">
        <f>C33*'E Balans VL '!I21/100/3.6*1000000</f>
        <v>117.4196387639291</v>
      </c>
      <c r="F11" s="33">
        <f>C33*'E Balans VL '!L21/100/3.6*1000000+C33*'E Balans VL '!N21/100/3.6*1000000</f>
        <v>1583.9195053103606</v>
      </c>
      <c r="G11" s="34"/>
      <c r="H11" s="33"/>
      <c r="I11" s="33"/>
      <c r="J11" s="40">
        <f>C33*'E Balans VL '!D21/100/3.6*1000000+C33*'E Balans VL '!E21/100/3.6*1000000</f>
        <v>0</v>
      </c>
      <c r="K11" s="33"/>
      <c r="L11" s="33"/>
      <c r="M11" s="33"/>
      <c r="N11" s="33">
        <f>C33*'E Balans VL '!Y21/100/3.6*1000000</f>
        <v>3942.8937224491096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85.847588325523489</v>
      </c>
      <c r="C15" s="33"/>
      <c r="D15" s="37">
        <f>IF( ISERROR(IND_rest_gas_kWh/1000),0,IND_rest_gas_kWh/1000)*0.903</f>
        <v>119.85455762943322</v>
      </c>
      <c r="E15" s="33">
        <f>C37*'E Balans VL '!I15/100/3.6*1000000</f>
        <v>2.163855934399054</v>
      </c>
      <c r="F15" s="33">
        <f>C37*'E Balans VL '!L15/100/3.6*1000000+C37*'E Balans VL '!N15/100/3.6*1000000</f>
        <v>6.9692204850654678</v>
      </c>
      <c r="G15" s="34"/>
      <c r="H15" s="33"/>
      <c r="I15" s="33"/>
      <c r="J15" s="40">
        <f>C37*'E Balans VL '!D15/100/3.6*1000000+C37*'E Balans VL '!E15/100/3.6*1000000</f>
        <v>0.17526295065049038</v>
      </c>
      <c r="K15" s="33"/>
      <c r="L15" s="33"/>
      <c r="M15" s="33"/>
      <c r="N15" s="33">
        <f>C37*'E Balans VL '!Y15/100/3.6*1000000</f>
        <v>1.4505888864703962</v>
      </c>
      <c r="O15" s="33"/>
      <c r="P15" s="33"/>
      <c r="R15" s="32"/>
    </row>
    <row r="16" spans="1:18">
      <c r="A16" s="16" t="s">
        <v>479</v>
      </c>
      <c r="B16" s="247">
        <f>'lokale energieproductie'!N37+'lokale energieproductie'!N30</f>
        <v>4549.4999999999991</v>
      </c>
      <c r="C16" s="247">
        <f>'lokale energieproductie'!O37+'lokale energieproductie'!O30</f>
        <v>6499.2857142857129</v>
      </c>
      <c r="D16" s="310">
        <f>('lokale energieproductie'!P30+'lokale energieproductie'!P37)*(-1)</f>
        <v>-12998.571428571428</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93862.69632648617</v>
      </c>
      <c r="C18" s="21">
        <f>C5+C16</f>
        <v>6499.2857142857129</v>
      </c>
      <c r="D18" s="21">
        <f>MAX((D5+D16),0)</f>
        <v>56564.825650567589</v>
      </c>
      <c r="E18" s="21">
        <f>MAX((E5+E16),0)</f>
        <v>135.50059522051015</v>
      </c>
      <c r="F18" s="21">
        <f>MAX((F5+F16),0)</f>
        <v>2509.0994824636596</v>
      </c>
      <c r="G18" s="21"/>
      <c r="H18" s="21"/>
      <c r="I18" s="21"/>
      <c r="J18" s="21">
        <f>MAX((J5+J16),0)</f>
        <v>0.34922902366148978</v>
      </c>
      <c r="K18" s="21"/>
      <c r="L18" s="21">
        <f>MAX((L5+L16),0)</f>
        <v>0</v>
      </c>
      <c r="M18" s="21"/>
      <c r="N18" s="21">
        <f>MAX((N5+N16),0)</f>
        <v>4216.1425449289827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0.19431870958176503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18239.278028027871</v>
      </c>
      <c r="C22" s="23">
        <f ca="1">C18*C20</f>
        <v>1544.5361344537814</v>
      </c>
      <c r="D22" s="23">
        <f>D18*D20</f>
        <v>11426.094781414653</v>
      </c>
      <c r="E22" s="23">
        <f>E18*E20</f>
        <v>30.758635115055807</v>
      </c>
      <c r="F22" s="23">
        <f>F18*F20</f>
        <v>669.92956181779709</v>
      </c>
      <c r="G22" s="23"/>
      <c r="H22" s="23"/>
      <c r="I22" s="23"/>
      <c r="J22" s="23">
        <f>J18*J20</f>
        <v>0.12362707437616738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196.220344275249</v>
      </c>
      <c r="C30" s="39">
        <f>IF(ISERROR(B30*3.6/1000000/'E Balans VL '!Z18*100),0,B30*3.6/1000000/'E Balans VL '!Z18*100)</f>
        <v>9.7399356584696103E-3</v>
      </c>
      <c r="D30" s="237" t="s">
        <v>702</v>
      </c>
    </row>
    <row r="31" spans="1:18">
      <c r="A31" s="6" t="s">
        <v>32</v>
      </c>
      <c r="B31" s="37">
        <f>IF( ISERROR(IND_ander_ele_kWh/1000),0,IND_ander_ele_kWh/1000)</f>
        <v>1297.5724610909999</v>
      </c>
      <c r="C31" s="39">
        <f>IF(ISERROR(B31*3.6/1000000/'E Balans VL '!Z19*100),0,B31*3.6/1000000/'E Balans VL '!Z19*100)</f>
        <v>4.3786421389112921E-2</v>
      </c>
      <c r="D31" s="237" t="s">
        <v>702</v>
      </c>
    </row>
    <row r="32" spans="1:18">
      <c r="A32" s="171" t="s">
        <v>40</v>
      </c>
      <c r="B32" s="37">
        <f>IF( ISERROR(IND_voed_ele_kWh/1000),0,IND_voed_ele_kWh/1000)</f>
        <v>6800.1116720141799</v>
      </c>
      <c r="C32" s="39">
        <f>IF(ISERROR(B32*3.6/1000000/'E Balans VL '!Z20*100),0,B32*3.6/1000000/'E Balans VL '!Z20*100)</f>
        <v>0.15969595148648932</v>
      </c>
      <c r="D32" s="237" t="s">
        <v>702</v>
      </c>
    </row>
    <row r="33" spans="1:5">
      <c r="A33" s="171" t="s">
        <v>39</v>
      </c>
      <c r="B33" s="37">
        <f>IF( ISERROR(IND_textiel_ele_kWh/1000),0,IND_textiel_ele_kWh/1000)</f>
        <v>80933.444260780205</v>
      </c>
      <c r="C33" s="39">
        <f>IF(ISERROR(B33*3.6/1000000/'E Balans VL '!Z21*100),0,B33*3.6/1000000/'E Balans VL '!Z21*100)</f>
        <v>8.8823429197340786</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85.847588325523489</v>
      </c>
      <c r="C37" s="39">
        <f>IF(ISERROR(B37*3.6/1000000/'E Balans VL '!Z15*100),0,B37*3.6/1000000/'E Balans VL '!Z15*100)</f>
        <v>3.2171634423034501E-4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835.31358414018302</v>
      </c>
      <c r="C5" s="17">
        <f>'Eigen informatie GS &amp; warmtenet'!B62</f>
        <v>0</v>
      </c>
      <c r="D5" s="30">
        <f>IF(ISERROR(SUM(LB_lb_gas_kWh,LB_rest_gas_kWh)/1000),0,SUM(LB_lb_gas_kWh,LB_rest_gas_kWh)/1000)*0.903</f>
        <v>73.798086950065667</v>
      </c>
      <c r="E5" s="17">
        <f>B17*'E Balans VL '!I25/3.6*1000000/100</f>
        <v>31.151398594575394</v>
      </c>
      <c r="F5" s="17">
        <f>B17*('E Balans VL '!L25/3.6*1000000+'E Balans VL '!N25/3.6*1000000)/100</f>
        <v>2710.0800448251907</v>
      </c>
      <c r="G5" s="18"/>
      <c r="H5" s="17"/>
      <c r="I5" s="17"/>
      <c r="J5" s="17">
        <f>('E Balans VL '!D25+'E Balans VL '!E25)/3.6*1000000*landbouw!B17/100</f>
        <v>219.27393970239035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835.31358414018302</v>
      </c>
      <c r="C8" s="21">
        <f>C5+C6</f>
        <v>0</v>
      </c>
      <c r="D8" s="21">
        <f>MAX((D5+D6),0)</f>
        <v>73.798086950065667</v>
      </c>
      <c r="E8" s="21">
        <f>MAX((E5+E6),0)</f>
        <v>31.151398594575394</v>
      </c>
      <c r="F8" s="21">
        <f>MAX((F5+F6),0)</f>
        <v>2710.0800448251907</v>
      </c>
      <c r="G8" s="21"/>
      <c r="H8" s="21"/>
      <c r="I8" s="21"/>
      <c r="J8" s="21">
        <f>MAX((J5+J6),0)</f>
        <v>219.27393970239035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0.19431870958176503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162.31705776623949</v>
      </c>
      <c r="C12" s="23">
        <f ca="1">C8*C10</f>
        <v>0</v>
      </c>
      <c r="D12" s="23">
        <f>D8*D10</f>
        <v>14.907213563913265</v>
      </c>
      <c r="E12" s="23">
        <f>E8*E10</f>
        <v>7.0713674809686147</v>
      </c>
      <c r="F12" s="23">
        <f>F8*F10</f>
        <v>723.59137196832592</v>
      </c>
      <c r="G12" s="23"/>
      <c r="H12" s="23"/>
      <c r="I12" s="23"/>
      <c r="J12" s="23">
        <f>J8*J10</f>
        <v>77.622974654646185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0.11472814101552489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209.16294845388487</v>
      </c>
      <c r="C26" s="247">
        <f>B26*'GWP N2O_CH4'!B5</f>
        <v>4392.421917531582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39.205685129002902</v>
      </c>
      <c r="C27" s="247">
        <f>B27*'GWP N2O_CH4'!B5</f>
        <v>823.31938770906095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2.9151395256753423</v>
      </c>
      <c r="C28" s="247">
        <f>B28*'GWP N2O_CH4'!B4</f>
        <v>903.69325295935607</v>
      </c>
      <c r="D28" s="50"/>
    </row>
    <row r="29" spans="1:4">
      <c r="A29" s="41" t="s">
        <v>276</v>
      </c>
      <c r="B29" s="247">
        <f>B34*'ha_N2O bodem landbouw'!B4</f>
        <v>8.8534964538796377</v>
      </c>
      <c r="C29" s="247">
        <f>B29*'GWP N2O_CH4'!B4</f>
        <v>2744.5839007026875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2.0177371257594882E-3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1.1800238445225944E-4</v>
      </c>
      <c r="C5" s="440" t="s">
        <v>210</v>
      </c>
      <c r="D5" s="425">
        <f>SUM(D6:D11)</f>
        <v>4.529969513834321E-4</v>
      </c>
      <c r="E5" s="425">
        <f>SUM(E6:E11)</f>
        <v>2.444251484970778E-4</v>
      </c>
      <c r="F5" s="438" t="s">
        <v>210</v>
      </c>
      <c r="G5" s="425">
        <f>SUM(G6:G11)</f>
        <v>0.11755554252256058</v>
      </c>
      <c r="H5" s="425">
        <f>SUM(H6:H11)</f>
        <v>2.8931883923814551E-2</v>
      </c>
      <c r="I5" s="440" t="s">
        <v>210</v>
      </c>
      <c r="J5" s="440" t="s">
        <v>210</v>
      </c>
      <c r="K5" s="440" t="s">
        <v>210</v>
      </c>
      <c r="L5" s="440" t="s">
        <v>210</v>
      </c>
      <c r="M5" s="425">
        <f>SUM(M6:M11)</f>
        <v>8.6297825800480676E-3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1.07323313039329E-4</v>
      </c>
      <c r="C6" s="426"/>
      <c r="D6" s="893">
        <f>vkm_GW_PW*SUMIFS(TableVerdeelsleutelVkm[CNG],TableVerdeelsleutelVkm[Voertuigtype],"Lichte voertuigen")*SUMIFS(TableECFTransport[EnergieConsumptieFactor (PJ per km)],TableECFTransport[Index],CONCATENATE($A6,"_CNG_CNG"))</f>
        <v>3.8761905485613463E-4</v>
      </c>
      <c r="E6" s="893">
        <f>vkm_GW_PW*SUMIFS(TableVerdeelsleutelVkm[LPG],TableVerdeelsleutelVkm[Voertuigtype],"Lichte voertuigen")*SUMIFS(TableECFTransport[EnergieConsumptieFactor (PJ per km)],TableECFTransport[Index],CONCATENATE($A6,"_LPG_LPG"))</f>
        <v>2.1066100664553862E-4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6.5556407313518306E-2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2.4810467949258012E-2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5.4156723266290136E-3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3.9148744920088262E-2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4.1214009757888515E-7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2.2041356592046261E-3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1.067907141293045E-5</v>
      </c>
      <c r="C8" s="426"/>
      <c r="D8" s="428">
        <f>vkm_NGW_PW*SUMIFS(TableVerdeelsleutelVkm[CNG],TableVerdeelsleutelVkm[Voertuigtype],"Lichte voertuigen")*SUMIFS(TableECFTransport[EnergieConsumptieFactor (PJ per km)],TableECFTransport[Index],CONCATENATE($A8,"_CNG_CNG"))</f>
        <v>6.537789652729749E-5</v>
      </c>
      <c r="E8" s="428">
        <f>vkm_NGW_PW*SUMIFS(TableVerdeelsleutelVkm[LPG],TableVerdeelsleutelVkm[Voertuigtype],"Lichte voertuigen")*SUMIFS(TableECFTransport[EnergieConsumptieFactor (PJ per km)],TableECFTransport[Index],CONCATENATE($A8,"_LPG_LPG"))</f>
        <v>3.3764141851539166E-5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9.7781038135292837E-3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4.1209568567702175E-3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8.369990360649601E-4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3.0722864754247222E-3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4.6977688744415335E-8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1.7297555814946766E-4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32.778440125627625</v>
      </c>
      <c r="C14" s="21"/>
      <c r="D14" s="21">
        <f t="shared" ref="D14:M14" si="0">((D5)*10^9/3600)+D12</f>
        <v>125.8324864953978</v>
      </c>
      <c r="E14" s="21">
        <f t="shared" si="0"/>
        <v>67.895874582521614</v>
      </c>
      <c r="F14" s="21"/>
      <c r="G14" s="21">
        <f t="shared" si="0"/>
        <v>32654.317367377938</v>
      </c>
      <c r="H14" s="21">
        <f t="shared" si="0"/>
        <v>8036.6344232818192</v>
      </c>
      <c r="I14" s="21"/>
      <c r="J14" s="21"/>
      <c r="K14" s="21"/>
      <c r="L14" s="21"/>
      <c r="M14" s="21">
        <f t="shared" si="0"/>
        <v>2397.1618277911298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0.19431870958176503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6.3694641873151081</v>
      </c>
      <c r="C18" s="23"/>
      <c r="D18" s="23">
        <f t="shared" ref="D18:M18" si="1">D14*D16</f>
        <v>25.418162272070358</v>
      </c>
      <c r="E18" s="23">
        <f t="shared" si="1"/>
        <v>15.412363530232406</v>
      </c>
      <c r="F18" s="23"/>
      <c r="G18" s="23">
        <f t="shared" si="1"/>
        <v>8718.7027370899104</v>
      </c>
      <c r="H18" s="23">
        <f t="shared" si="1"/>
        <v>2001.121971397173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3.3568521809584913E-3</v>
      </c>
      <c r="H50" s="321">
        <f t="shared" si="2"/>
        <v>0</v>
      </c>
      <c r="I50" s="321">
        <f t="shared" si="2"/>
        <v>0</v>
      </c>
      <c r="J50" s="321">
        <f t="shared" si="2"/>
        <v>0</v>
      </c>
      <c r="K50" s="321">
        <f t="shared" si="2"/>
        <v>0</v>
      </c>
      <c r="L50" s="321">
        <f t="shared" si="2"/>
        <v>0</v>
      </c>
      <c r="M50" s="321">
        <f t="shared" si="2"/>
        <v>1.821619185869839E-4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3.3568521809584913E-3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1.821619185869839E-4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932.45893915513648</v>
      </c>
      <c r="H54" s="21">
        <f t="shared" si="3"/>
        <v>0</v>
      </c>
      <c r="I54" s="21">
        <f t="shared" si="3"/>
        <v>0</v>
      </c>
      <c r="J54" s="21">
        <f t="shared" si="3"/>
        <v>0</v>
      </c>
      <c r="K54" s="21">
        <f t="shared" si="3"/>
        <v>0</v>
      </c>
      <c r="L54" s="21">
        <f t="shared" si="3"/>
        <v>0</v>
      </c>
      <c r="M54" s="21">
        <f t="shared" si="3"/>
        <v>50.600532940828863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0.19431870958176503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248.96653675442144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14294.10750483962</v>
      </c>
      <c r="D10" s="689">
        <f ca="1">tertiair!C16</f>
        <v>0</v>
      </c>
      <c r="E10" s="689">
        <f ca="1">tertiair!D16</f>
        <v>10969.753931824544</v>
      </c>
      <c r="F10" s="689">
        <f>tertiair!E16</f>
        <v>53.260176089501485</v>
      </c>
      <c r="G10" s="689">
        <f ca="1">tertiair!F16</f>
        <v>2627.8087949898763</v>
      </c>
      <c r="H10" s="689">
        <f>tertiair!G16</f>
        <v>0</v>
      </c>
      <c r="I10" s="689">
        <f>tertiair!H16</f>
        <v>0</v>
      </c>
      <c r="J10" s="689">
        <f>tertiair!I16</f>
        <v>0</v>
      </c>
      <c r="K10" s="689">
        <f>tertiair!J16</f>
        <v>2.5649713522390642E-2</v>
      </c>
      <c r="L10" s="689">
        <f>tertiair!K16</f>
        <v>0</v>
      </c>
      <c r="M10" s="689">
        <f ca="1">tertiair!L16</f>
        <v>0</v>
      </c>
      <c r="N10" s="689">
        <f>tertiair!M16</f>
        <v>0</v>
      </c>
      <c r="O10" s="689">
        <f ca="1">tertiair!N16</f>
        <v>939.4145053069908</v>
      </c>
      <c r="P10" s="689">
        <f>tertiair!O16</f>
        <v>14.691782297523464</v>
      </c>
      <c r="Q10" s="690">
        <f>tertiair!P16</f>
        <v>0</v>
      </c>
      <c r="R10" s="692">
        <f ca="1">SUM(C10:Q10)</f>
        <v>28899.062345061579</v>
      </c>
      <c r="S10" s="67"/>
    </row>
    <row r="11" spans="1:19" s="451" customFormat="1">
      <c r="A11" s="811" t="s">
        <v>224</v>
      </c>
      <c r="B11" s="816"/>
      <c r="C11" s="689">
        <f>huishoudens!B8</f>
        <v>19234.251030221283</v>
      </c>
      <c r="D11" s="689">
        <f>huishoudens!C8</f>
        <v>0</v>
      </c>
      <c r="E11" s="689">
        <f>huishoudens!D8</f>
        <v>26383.488480676489</v>
      </c>
      <c r="F11" s="689">
        <f>huishoudens!E8</f>
        <v>3519.0664001814507</v>
      </c>
      <c r="G11" s="689">
        <f>huishoudens!F8</f>
        <v>14014.094984328769</v>
      </c>
      <c r="H11" s="689">
        <f>huishoudens!G8</f>
        <v>0</v>
      </c>
      <c r="I11" s="689">
        <f>huishoudens!H8</f>
        <v>0</v>
      </c>
      <c r="J11" s="689">
        <f>huishoudens!I8</f>
        <v>0</v>
      </c>
      <c r="K11" s="689">
        <f>huishoudens!J8</f>
        <v>0</v>
      </c>
      <c r="L11" s="689">
        <f>huishoudens!K8</f>
        <v>0</v>
      </c>
      <c r="M11" s="689">
        <f>huishoudens!L8</f>
        <v>0</v>
      </c>
      <c r="N11" s="689">
        <f>huishoudens!M8</f>
        <v>0</v>
      </c>
      <c r="O11" s="689">
        <f>huishoudens!N8</f>
        <v>7475.4263270849497</v>
      </c>
      <c r="P11" s="689">
        <f>huishoudens!O8</f>
        <v>406.71143497434156</v>
      </c>
      <c r="Q11" s="690">
        <f>huishoudens!P8</f>
        <v>158.00938961527535</v>
      </c>
      <c r="R11" s="692">
        <f>SUM(C11:Q11)</f>
        <v>71191.048047082542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93862.69632648617</v>
      </c>
      <c r="D13" s="689">
        <f>industrie!C18</f>
        <v>6499.2857142857129</v>
      </c>
      <c r="E13" s="689">
        <f>industrie!D18</f>
        <v>56564.825650567589</v>
      </c>
      <c r="F13" s="689">
        <f>industrie!E18</f>
        <v>135.50059522051015</v>
      </c>
      <c r="G13" s="689">
        <f>industrie!F18</f>
        <v>2509.0994824636596</v>
      </c>
      <c r="H13" s="689">
        <f>industrie!G18</f>
        <v>0</v>
      </c>
      <c r="I13" s="689">
        <f>industrie!H18</f>
        <v>0</v>
      </c>
      <c r="J13" s="689">
        <f>industrie!I18</f>
        <v>0</v>
      </c>
      <c r="K13" s="689">
        <f>industrie!J18</f>
        <v>0.34922902366148978</v>
      </c>
      <c r="L13" s="689">
        <f>industrie!K18</f>
        <v>0</v>
      </c>
      <c r="M13" s="689">
        <f>industrie!L18</f>
        <v>0</v>
      </c>
      <c r="N13" s="689">
        <f>industrie!M18</f>
        <v>0</v>
      </c>
      <c r="O13" s="689">
        <f>industrie!N18</f>
        <v>4216.1425449289827</v>
      </c>
      <c r="P13" s="689">
        <f>industrie!O18</f>
        <v>0</v>
      </c>
      <c r="Q13" s="690">
        <f>industrie!P18</f>
        <v>0</v>
      </c>
      <c r="R13" s="692">
        <f>SUM(C13:Q13)</f>
        <v>163787.89954297632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127391.05486154708</v>
      </c>
      <c r="D16" s="725">
        <f t="shared" ref="D16:R16" ca="1" si="0">SUM(D9:D15)</f>
        <v>6499.2857142857129</v>
      </c>
      <c r="E16" s="725">
        <f t="shared" ca="1" si="0"/>
        <v>93918.068063068611</v>
      </c>
      <c r="F16" s="725">
        <f t="shared" si="0"/>
        <v>3707.8271714914622</v>
      </c>
      <c r="G16" s="725">
        <f t="shared" ca="1" si="0"/>
        <v>19151.003261782302</v>
      </c>
      <c r="H16" s="725">
        <f t="shared" si="0"/>
        <v>0</v>
      </c>
      <c r="I16" s="725">
        <f t="shared" si="0"/>
        <v>0</v>
      </c>
      <c r="J16" s="725">
        <f t="shared" si="0"/>
        <v>0</v>
      </c>
      <c r="K16" s="725">
        <f t="shared" si="0"/>
        <v>0.37487873718388043</v>
      </c>
      <c r="L16" s="725">
        <f t="shared" si="0"/>
        <v>0</v>
      </c>
      <c r="M16" s="725">
        <f t="shared" ca="1" si="0"/>
        <v>0</v>
      </c>
      <c r="N16" s="725">
        <f t="shared" si="0"/>
        <v>0</v>
      </c>
      <c r="O16" s="725">
        <f t="shared" ca="1" si="0"/>
        <v>12630.983377320925</v>
      </c>
      <c r="P16" s="725">
        <f t="shared" si="0"/>
        <v>421.403217271865</v>
      </c>
      <c r="Q16" s="725">
        <f t="shared" si="0"/>
        <v>158.00938961527535</v>
      </c>
      <c r="R16" s="725">
        <f t="shared" ca="1" si="0"/>
        <v>263878.00993512047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932.45893915513648</v>
      </c>
      <c r="I19" s="689">
        <f>transport!H54</f>
        <v>0</v>
      </c>
      <c r="J19" s="689">
        <f>transport!I54</f>
        <v>0</v>
      </c>
      <c r="K19" s="689">
        <f>transport!J54</f>
        <v>0</v>
      </c>
      <c r="L19" s="689">
        <f>transport!K54</f>
        <v>0</v>
      </c>
      <c r="M19" s="689">
        <f>transport!L54</f>
        <v>0</v>
      </c>
      <c r="N19" s="689">
        <f>transport!M54</f>
        <v>50.600532940828863</v>
      </c>
      <c r="O19" s="689">
        <f>transport!N54</f>
        <v>0</v>
      </c>
      <c r="P19" s="689">
        <f>transport!O54</f>
        <v>0</v>
      </c>
      <c r="Q19" s="690">
        <f>transport!P54</f>
        <v>0</v>
      </c>
      <c r="R19" s="692">
        <f>SUM(C19:Q19)</f>
        <v>983.05947209596536</v>
      </c>
      <c r="S19" s="67"/>
    </row>
    <row r="20" spans="1:19" s="451" customFormat="1">
      <c r="A20" s="811" t="s">
        <v>306</v>
      </c>
      <c r="B20" s="816"/>
      <c r="C20" s="689">
        <f>transport!B14</f>
        <v>32.778440125627625</v>
      </c>
      <c r="D20" s="689">
        <f>transport!C14</f>
        <v>0</v>
      </c>
      <c r="E20" s="689">
        <f>transport!D14</f>
        <v>125.8324864953978</v>
      </c>
      <c r="F20" s="689">
        <f>transport!E14</f>
        <v>67.895874582521614</v>
      </c>
      <c r="G20" s="689">
        <f>transport!F14</f>
        <v>0</v>
      </c>
      <c r="H20" s="689">
        <f>transport!G14</f>
        <v>32654.317367377938</v>
      </c>
      <c r="I20" s="689">
        <f>transport!H14</f>
        <v>8036.6344232818192</v>
      </c>
      <c r="J20" s="689">
        <f>transport!I14</f>
        <v>0</v>
      </c>
      <c r="K20" s="689">
        <f>transport!J14</f>
        <v>0</v>
      </c>
      <c r="L20" s="689">
        <f>transport!K14</f>
        <v>0</v>
      </c>
      <c r="M20" s="689">
        <f>transport!L14</f>
        <v>0</v>
      </c>
      <c r="N20" s="689">
        <f>transport!M14</f>
        <v>2397.1618277911298</v>
      </c>
      <c r="O20" s="689">
        <f>transport!N14</f>
        <v>0</v>
      </c>
      <c r="P20" s="689">
        <f>transport!O14</f>
        <v>0</v>
      </c>
      <c r="Q20" s="690">
        <f>transport!P14</f>
        <v>0</v>
      </c>
      <c r="R20" s="692">
        <f>SUM(C20:Q20)</f>
        <v>43314.620419654442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32.778440125627625</v>
      </c>
      <c r="D22" s="814">
        <f t="shared" ref="D22:R22" si="1">SUM(D18:D21)</f>
        <v>0</v>
      </c>
      <c r="E22" s="814">
        <f t="shared" si="1"/>
        <v>125.8324864953978</v>
      </c>
      <c r="F22" s="814">
        <f t="shared" si="1"/>
        <v>67.895874582521614</v>
      </c>
      <c r="G22" s="814">
        <f t="shared" si="1"/>
        <v>0</v>
      </c>
      <c r="H22" s="814">
        <f t="shared" si="1"/>
        <v>33586.776306533073</v>
      </c>
      <c r="I22" s="814">
        <f t="shared" si="1"/>
        <v>8036.6344232818192</v>
      </c>
      <c r="J22" s="814">
        <f t="shared" si="1"/>
        <v>0</v>
      </c>
      <c r="K22" s="814">
        <f t="shared" si="1"/>
        <v>0</v>
      </c>
      <c r="L22" s="814">
        <f t="shared" si="1"/>
        <v>0</v>
      </c>
      <c r="M22" s="814">
        <f t="shared" si="1"/>
        <v>0</v>
      </c>
      <c r="N22" s="814">
        <f t="shared" si="1"/>
        <v>2447.7623607319588</v>
      </c>
      <c r="O22" s="814">
        <f t="shared" si="1"/>
        <v>0</v>
      </c>
      <c r="P22" s="814">
        <f t="shared" si="1"/>
        <v>0</v>
      </c>
      <c r="Q22" s="814">
        <f t="shared" si="1"/>
        <v>0</v>
      </c>
      <c r="R22" s="814">
        <f t="shared" si="1"/>
        <v>44297.679891750406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835.31358414018302</v>
      </c>
      <c r="D24" s="689">
        <f>+landbouw!C8</f>
        <v>0</v>
      </c>
      <c r="E24" s="689">
        <f>+landbouw!D8</f>
        <v>73.798086950065667</v>
      </c>
      <c r="F24" s="689">
        <f>+landbouw!E8</f>
        <v>31.151398594575394</v>
      </c>
      <c r="G24" s="689">
        <f>+landbouw!F8</f>
        <v>2710.0800448251907</v>
      </c>
      <c r="H24" s="689">
        <f>+landbouw!G8</f>
        <v>0</v>
      </c>
      <c r="I24" s="689">
        <f>+landbouw!H8</f>
        <v>0</v>
      </c>
      <c r="J24" s="689">
        <f>+landbouw!I8</f>
        <v>0</v>
      </c>
      <c r="K24" s="689">
        <f>+landbouw!J8</f>
        <v>219.27393970239035</v>
      </c>
      <c r="L24" s="689">
        <f>+landbouw!K8</f>
        <v>0</v>
      </c>
      <c r="M24" s="689">
        <f>+landbouw!L8</f>
        <v>0</v>
      </c>
      <c r="N24" s="689">
        <f>+landbouw!M8</f>
        <v>0</v>
      </c>
      <c r="O24" s="689">
        <f>+landbouw!N8</f>
        <v>0</v>
      </c>
      <c r="P24" s="689">
        <f>+landbouw!O8</f>
        <v>0</v>
      </c>
      <c r="Q24" s="690">
        <f>+landbouw!P8</f>
        <v>0</v>
      </c>
      <c r="R24" s="692">
        <f>SUM(C24:Q24)</f>
        <v>3869.617054212405</v>
      </c>
      <c r="S24" s="67"/>
    </row>
    <row r="25" spans="1:19" s="451" customFormat="1" ht="15" thickBot="1">
      <c r="A25" s="833" t="s">
        <v>714</v>
      </c>
      <c r="B25" s="947"/>
      <c r="C25" s="948">
        <f>IF(Onbekend_ele_kWh="---",0,Onbekend_ele_kWh)/1000+IF(REST_rest_ele_kWh="---",0,REST_rest_ele_kWh)/1000</f>
        <v>521.33870678921608</v>
      </c>
      <c r="D25" s="948"/>
      <c r="E25" s="948">
        <f>IF(onbekend_gas_kWh="---",0,onbekend_gas_kWh)/1000+IF(REST_rest_gas_kWh="---",0,REST_rest_gas_kWh)/1000</f>
        <v>816.45407316795706</v>
      </c>
      <c r="F25" s="948"/>
      <c r="G25" s="948"/>
      <c r="H25" s="948"/>
      <c r="I25" s="948"/>
      <c r="J25" s="948"/>
      <c r="K25" s="948"/>
      <c r="L25" s="948"/>
      <c r="M25" s="948"/>
      <c r="N25" s="948"/>
      <c r="O25" s="948"/>
      <c r="P25" s="948"/>
      <c r="Q25" s="949"/>
      <c r="R25" s="692">
        <f>SUM(C25:Q25)</f>
        <v>1337.792779957173</v>
      </c>
      <c r="S25" s="67"/>
    </row>
    <row r="26" spans="1:19" s="451" customFormat="1" ht="15.75" thickBot="1">
      <c r="A26" s="697" t="s">
        <v>715</v>
      </c>
      <c r="B26" s="819"/>
      <c r="C26" s="814">
        <f>SUM(C24:C25)</f>
        <v>1356.652290929399</v>
      </c>
      <c r="D26" s="814">
        <f t="shared" ref="D26:R26" si="2">SUM(D24:D25)</f>
        <v>0</v>
      </c>
      <c r="E26" s="814">
        <f t="shared" si="2"/>
        <v>890.25216011802274</v>
      </c>
      <c r="F26" s="814">
        <f t="shared" si="2"/>
        <v>31.151398594575394</v>
      </c>
      <c r="G26" s="814">
        <f t="shared" si="2"/>
        <v>2710.0800448251907</v>
      </c>
      <c r="H26" s="814">
        <f t="shared" si="2"/>
        <v>0</v>
      </c>
      <c r="I26" s="814">
        <f t="shared" si="2"/>
        <v>0</v>
      </c>
      <c r="J26" s="814">
        <f t="shared" si="2"/>
        <v>0</v>
      </c>
      <c r="K26" s="814">
        <f t="shared" si="2"/>
        <v>219.27393970239035</v>
      </c>
      <c r="L26" s="814">
        <f t="shared" si="2"/>
        <v>0</v>
      </c>
      <c r="M26" s="814">
        <f t="shared" si="2"/>
        <v>0</v>
      </c>
      <c r="N26" s="814">
        <f t="shared" si="2"/>
        <v>0</v>
      </c>
      <c r="O26" s="814">
        <f t="shared" si="2"/>
        <v>0</v>
      </c>
      <c r="P26" s="814">
        <f t="shared" si="2"/>
        <v>0</v>
      </c>
      <c r="Q26" s="814">
        <f t="shared" si="2"/>
        <v>0</v>
      </c>
      <c r="R26" s="814">
        <f t="shared" si="2"/>
        <v>5207.4098341695781</v>
      </c>
      <c r="S26" s="67"/>
    </row>
    <row r="27" spans="1:19" s="451" customFormat="1" ht="17.25" thickTop="1" thickBot="1">
      <c r="A27" s="698" t="s">
        <v>115</v>
      </c>
      <c r="B27" s="806"/>
      <c r="C27" s="699">
        <f ca="1">C22+C16+C26</f>
        <v>128780.4855926021</v>
      </c>
      <c r="D27" s="699">
        <f t="shared" ref="D27:R27" ca="1" si="3">D22+D16+D26</f>
        <v>6499.2857142857129</v>
      </c>
      <c r="E27" s="699">
        <f t="shared" ca="1" si="3"/>
        <v>94934.152709682035</v>
      </c>
      <c r="F27" s="699">
        <f t="shared" si="3"/>
        <v>3806.8744446685591</v>
      </c>
      <c r="G27" s="699">
        <f t="shared" ca="1" si="3"/>
        <v>21861.083306607492</v>
      </c>
      <c r="H27" s="699">
        <f t="shared" si="3"/>
        <v>33586.776306533073</v>
      </c>
      <c r="I27" s="699">
        <f t="shared" si="3"/>
        <v>8036.6344232818192</v>
      </c>
      <c r="J27" s="699">
        <f t="shared" si="3"/>
        <v>0</v>
      </c>
      <c r="K27" s="699">
        <f t="shared" si="3"/>
        <v>219.64881843957423</v>
      </c>
      <c r="L27" s="699">
        <f t="shared" si="3"/>
        <v>0</v>
      </c>
      <c r="M27" s="699">
        <f t="shared" ca="1" si="3"/>
        <v>0</v>
      </c>
      <c r="N27" s="699">
        <f t="shared" si="3"/>
        <v>2447.7623607319588</v>
      </c>
      <c r="O27" s="699">
        <f t="shared" ca="1" si="3"/>
        <v>12630.983377320925</v>
      </c>
      <c r="P27" s="699">
        <f t="shared" si="3"/>
        <v>421.403217271865</v>
      </c>
      <c r="Q27" s="699">
        <f t="shared" si="3"/>
        <v>158.00938961527535</v>
      </c>
      <c r="R27" s="699">
        <f t="shared" ca="1" si="3"/>
        <v>313383.09966104041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2777.6125249634579</v>
      </c>
      <c r="D40" s="689">
        <f ca="1">tertiair!C20</f>
        <v>0</v>
      </c>
      <c r="E40" s="689">
        <f ca="1">tertiair!D20</f>
        <v>2215.8902942285581</v>
      </c>
      <c r="F40" s="689">
        <f>tertiair!E20</f>
        <v>12.090059972316837</v>
      </c>
      <c r="G40" s="689">
        <f ca="1">tertiair!F20</f>
        <v>701.62494826229704</v>
      </c>
      <c r="H40" s="689">
        <f>tertiair!G20</f>
        <v>0</v>
      </c>
      <c r="I40" s="689">
        <f>tertiair!H20</f>
        <v>0</v>
      </c>
      <c r="J40" s="689">
        <f>tertiair!I20</f>
        <v>0</v>
      </c>
      <c r="K40" s="689">
        <f>tertiair!J20</f>
        <v>9.0799985869262877E-3</v>
      </c>
      <c r="L40" s="689">
        <f>tertiair!K20</f>
        <v>0</v>
      </c>
      <c r="M40" s="689">
        <f ca="1">tertiair!L20</f>
        <v>0</v>
      </c>
      <c r="N40" s="689">
        <f>tertiair!M20</f>
        <v>0</v>
      </c>
      <c r="O40" s="689">
        <f ca="1">tertiair!N20</f>
        <v>0</v>
      </c>
      <c r="P40" s="689">
        <f>tertiair!O20</f>
        <v>0</v>
      </c>
      <c r="Q40" s="772">
        <f>tertiair!P20</f>
        <v>0</v>
      </c>
      <c r="R40" s="852">
        <f t="shared" ca="1" si="4"/>
        <v>5707.2269074252172</v>
      </c>
    </row>
    <row r="41" spans="1:18">
      <c r="A41" s="824" t="s">
        <v>224</v>
      </c>
      <c r="B41" s="831"/>
      <c r="C41" s="689">
        <f ca="1">huishoudens!B12</f>
        <v>3737.5748399643344</v>
      </c>
      <c r="D41" s="689">
        <f ca="1">huishoudens!C12</f>
        <v>0</v>
      </c>
      <c r="E41" s="689">
        <f>huishoudens!D12</f>
        <v>5329.4646730966515</v>
      </c>
      <c r="F41" s="689">
        <f>huishoudens!E12</f>
        <v>798.82807284118928</v>
      </c>
      <c r="G41" s="689">
        <f>huishoudens!F12</f>
        <v>3741.7633608157817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13607.630946717958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18239.278028027871</v>
      </c>
      <c r="D43" s="689">
        <f ca="1">industrie!C22</f>
        <v>1544.5361344537814</v>
      </c>
      <c r="E43" s="689">
        <f>industrie!D22</f>
        <v>11426.094781414653</v>
      </c>
      <c r="F43" s="689">
        <f>industrie!E22</f>
        <v>30.758635115055807</v>
      </c>
      <c r="G43" s="689">
        <f>industrie!F22</f>
        <v>669.92956181779709</v>
      </c>
      <c r="H43" s="689">
        <f>industrie!G22</f>
        <v>0</v>
      </c>
      <c r="I43" s="689">
        <f>industrie!H22</f>
        <v>0</v>
      </c>
      <c r="J43" s="689">
        <f>industrie!I22</f>
        <v>0</v>
      </c>
      <c r="K43" s="689">
        <f>industrie!J22</f>
        <v>0.12362707437616738</v>
      </c>
      <c r="L43" s="689">
        <f>industrie!K22</f>
        <v>0</v>
      </c>
      <c r="M43" s="689">
        <f>industrie!L22</f>
        <v>0</v>
      </c>
      <c r="N43" s="689">
        <f>industrie!M22</f>
        <v>0</v>
      </c>
      <c r="O43" s="689">
        <f>industrie!N22</f>
        <v>0</v>
      </c>
      <c r="P43" s="689">
        <f>industrie!O22</f>
        <v>0</v>
      </c>
      <c r="Q43" s="772">
        <f>industrie!P22</f>
        <v>0</v>
      </c>
      <c r="R43" s="851">
        <f t="shared" ca="1" si="4"/>
        <v>31910.720767903535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24754.465392955663</v>
      </c>
      <c r="D46" s="725">
        <f t="shared" ref="D46:Q46" ca="1" si="5">SUM(D39:D45)</f>
        <v>1544.5361344537814</v>
      </c>
      <c r="E46" s="725">
        <f t="shared" ca="1" si="5"/>
        <v>18971.449748739862</v>
      </c>
      <c r="F46" s="725">
        <f t="shared" si="5"/>
        <v>841.67676792856184</v>
      </c>
      <c r="G46" s="725">
        <f t="shared" ca="1" si="5"/>
        <v>5113.3178708958749</v>
      </c>
      <c r="H46" s="725">
        <f t="shared" si="5"/>
        <v>0</v>
      </c>
      <c r="I46" s="725">
        <f t="shared" si="5"/>
        <v>0</v>
      </c>
      <c r="J46" s="725">
        <f t="shared" si="5"/>
        <v>0</v>
      </c>
      <c r="K46" s="725">
        <f t="shared" si="5"/>
        <v>0.13270707296309367</v>
      </c>
      <c r="L46" s="725">
        <f t="shared" si="5"/>
        <v>0</v>
      </c>
      <c r="M46" s="725">
        <f t="shared" ca="1" si="5"/>
        <v>0</v>
      </c>
      <c r="N46" s="725">
        <f t="shared" si="5"/>
        <v>0</v>
      </c>
      <c r="O46" s="725">
        <f t="shared" ca="1" si="5"/>
        <v>0</v>
      </c>
      <c r="P46" s="725">
        <f t="shared" si="5"/>
        <v>0</v>
      </c>
      <c r="Q46" s="725">
        <f t="shared" si="5"/>
        <v>0</v>
      </c>
      <c r="R46" s="725">
        <f ca="1">SUM(R39:R45)</f>
        <v>51225.578622046713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248.96653675442144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248.96653675442144</v>
      </c>
    </row>
    <row r="50" spans="1:18">
      <c r="A50" s="827" t="s">
        <v>306</v>
      </c>
      <c r="B50" s="837"/>
      <c r="C50" s="695">
        <f ca="1">transport!B18</f>
        <v>6.3694641873151081</v>
      </c>
      <c r="D50" s="695">
        <f>transport!C18</f>
        <v>0</v>
      </c>
      <c r="E50" s="695">
        <f>transport!D18</f>
        <v>25.418162272070358</v>
      </c>
      <c r="F50" s="695">
        <f>transport!E18</f>
        <v>15.412363530232406</v>
      </c>
      <c r="G50" s="695">
        <f>transport!F18</f>
        <v>0</v>
      </c>
      <c r="H50" s="695">
        <f>transport!G18</f>
        <v>8718.7027370899104</v>
      </c>
      <c r="I50" s="695">
        <f>transport!H18</f>
        <v>2001.121971397173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10767.024698476702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6.3694641873151081</v>
      </c>
      <c r="D52" s="725">
        <f t="shared" ref="D52:Q52" ca="1" si="6">SUM(D48:D51)</f>
        <v>0</v>
      </c>
      <c r="E52" s="725">
        <f t="shared" si="6"/>
        <v>25.418162272070358</v>
      </c>
      <c r="F52" s="725">
        <f t="shared" si="6"/>
        <v>15.412363530232406</v>
      </c>
      <c r="G52" s="725">
        <f t="shared" si="6"/>
        <v>0</v>
      </c>
      <c r="H52" s="725">
        <f t="shared" si="6"/>
        <v>8967.6692738443326</v>
      </c>
      <c r="I52" s="725">
        <f t="shared" si="6"/>
        <v>2001.121971397173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11015.991235231124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162.31705776623949</v>
      </c>
      <c r="D54" s="695">
        <f ca="1">+landbouw!C12</f>
        <v>0</v>
      </c>
      <c r="E54" s="695">
        <f>+landbouw!D12</f>
        <v>14.907213563913265</v>
      </c>
      <c r="F54" s="695">
        <f>+landbouw!E12</f>
        <v>7.0713674809686147</v>
      </c>
      <c r="G54" s="695">
        <f>+landbouw!F12</f>
        <v>723.59137196832592</v>
      </c>
      <c r="H54" s="695">
        <f>+landbouw!G12</f>
        <v>0</v>
      </c>
      <c r="I54" s="695">
        <f>+landbouw!H12</f>
        <v>0</v>
      </c>
      <c r="J54" s="695">
        <f>+landbouw!I12</f>
        <v>0</v>
      </c>
      <c r="K54" s="695">
        <f>+landbouw!J12</f>
        <v>77.622974654646185</v>
      </c>
      <c r="L54" s="695">
        <f>+landbouw!K12</f>
        <v>0</v>
      </c>
      <c r="M54" s="695">
        <f>+landbouw!L12</f>
        <v>0</v>
      </c>
      <c r="N54" s="695">
        <f>+landbouw!M12</f>
        <v>0</v>
      </c>
      <c r="O54" s="695">
        <f>+landbouw!N12</f>
        <v>0</v>
      </c>
      <c r="P54" s="695">
        <f>+landbouw!O12</f>
        <v>0</v>
      </c>
      <c r="Q54" s="696">
        <f>+landbouw!P12</f>
        <v>0</v>
      </c>
      <c r="R54" s="724">
        <f ca="1">SUM(C54:Q54)</f>
        <v>985.50998543409355</v>
      </c>
    </row>
    <row r="55" spans="1:18" ht="15" thickBot="1">
      <c r="A55" s="827" t="s">
        <v>714</v>
      </c>
      <c r="B55" s="837"/>
      <c r="C55" s="695">
        <f ca="1">C25*'EF ele_warmte'!B12</f>
        <v>101.30586475830663</v>
      </c>
      <c r="D55" s="695"/>
      <c r="E55" s="695">
        <f>E25*EF_CO2_aardgas</f>
        <v>164.92372277992735</v>
      </c>
      <c r="F55" s="695"/>
      <c r="G55" s="695"/>
      <c r="H55" s="695"/>
      <c r="I55" s="695"/>
      <c r="J55" s="695"/>
      <c r="K55" s="695"/>
      <c r="L55" s="695"/>
      <c r="M55" s="695"/>
      <c r="N55" s="695"/>
      <c r="O55" s="695"/>
      <c r="P55" s="695"/>
      <c r="Q55" s="696"/>
      <c r="R55" s="724">
        <f ca="1">SUM(C55:Q55)</f>
        <v>266.229587538234</v>
      </c>
    </row>
    <row r="56" spans="1:18" ht="15.75" thickBot="1">
      <c r="A56" s="825" t="s">
        <v>715</v>
      </c>
      <c r="B56" s="838"/>
      <c r="C56" s="725">
        <f ca="1">SUM(C54:C55)</f>
        <v>263.62292252454608</v>
      </c>
      <c r="D56" s="725">
        <f t="shared" ref="D56:Q56" ca="1" si="7">SUM(D54:D55)</f>
        <v>0</v>
      </c>
      <c r="E56" s="725">
        <f t="shared" si="7"/>
        <v>179.83093634384062</v>
      </c>
      <c r="F56" s="725">
        <f t="shared" si="7"/>
        <v>7.0713674809686147</v>
      </c>
      <c r="G56" s="725">
        <f t="shared" si="7"/>
        <v>723.59137196832592</v>
      </c>
      <c r="H56" s="725">
        <f t="shared" si="7"/>
        <v>0</v>
      </c>
      <c r="I56" s="725">
        <f t="shared" si="7"/>
        <v>0</v>
      </c>
      <c r="J56" s="725">
        <f t="shared" si="7"/>
        <v>0</v>
      </c>
      <c r="K56" s="725">
        <f t="shared" si="7"/>
        <v>77.622974654646185</v>
      </c>
      <c r="L56" s="725">
        <f t="shared" si="7"/>
        <v>0</v>
      </c>
      <c r="M56" s="725">
        <f t="shared" si="7"/>
        <v>0</v>
      </c>
      <c r="N56" s="725">
        <f t="shared" si="7"/>
        <v>0</v>
      </c>
      <c r="O56" s="725">
        <f t="shared" si="7"/>
        <v>0</v>
      </c>
      <c r="P56" s="725">
        <f t="shared" si="7"/>
        <v>0</v>
      </c>
      <c r="Q56" s="726">
        <f t="shared" si="7"/>
        <v>0</v>
      </c>
      <c r="R56" s="727">
        <f ca="1">SUM(R54:R55)</f>
        <v>1251.7395729723276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25024.457779667522</v>
      </c>
      <c r="D61" s="733">
        <f t="shared" ref="D61:Q61" ca="1" si="8">D46+D52+D56</f>
        <v>1544.5361344537814</v>
      </c>
      <c r="E61" s="733">
        <f t="shared" ca="1" si="8"/>
        <v>19176.698847355776</v>
      </c>
      <c r="F61" s="733">
        <f t="shared" si="8"/>
        <v>864.16049893976287</v>
      </c>
      <c r="G61" s="733">
        <f t="shared" ca="1" si="8"/>
        <v>5836.9092428642007</v>
      </c>
      <c r="H61" s="733">
        <f t="shared" si="8"/>
        <v>8967.6692738443326</v>
      </c>
      <c r="I61" s="733">
        <f t="shared" si="8"/>
        <v>2001.121971397173</v>
      </c>
      <c r="J61" s="733">
        <f t="shared" si="8"/>
        <v>0</v>
      </c>
      <c r="K61" s="733">
        <f t="shared" si="8"/>
        <v>77.755681727609286</v>
      </c>
      <c r="L61" s="733">
        <f t="shared" si="8"/>
        <v>0</v>
      </c>
      <c r="M61" s="733">
        <f t="shared" ca="1" si="8"/>
        <v>0</v>
      </c>
      <c r="N61" s="733">
        <f t="shared" si="8"/>
        <v>0</v>
      </c>
      <c r="O61" s="733">
        <f t="shared" ca="1" si="8"/>
        <v>0</v>
      </c>
      <c r="P61" s="733">
        <f t="shared" si="8"/>
        <v>0</v>
      </c>
      <c r="Q61" s="733">
        <f t="shared" si="8"/>
        <v>0</v>
      </c>
      <c r="R61" s="733">
        <f ca="1">R46+R52+R56</f>
        <v>63493.309430250163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0.19431870958176503</v>
      </c>
      <c r="D63" s="779">
        <f t="shared" ca="1" si="9"/>
        <v>0.23764705882352946</v>
      </c>
      <c r="E63" s="973">
        <f t="shared" ca="1" si="9"/>
        <v>0.20200000000000004</v>
      </c>
      <c r="F63" s="779">
        <f t="shared" si="9"/>
        <v>0.22699999999999998</v>
      </c>
      <c r="G63" s="779">
        <f t="shared" ca="1" si="9"/>
        <v>0.26700000000000002</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12869.001030597588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3021.3398310095954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4549.4999999999991</v>
      </c>
      <c r="D76" s="956">
        <f>'lokale energieproductie'!C8</f>
        <v>5352.3529411764703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1081.1752941176471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15890.340861607183</v>
      </c>
      <c r="C78" s="751">
        <f>SUM(C72:C77)</f>
        <v>4549.4999999999991</v>
      </c>
      <c r="D78" s="752">
        <f t="shared" ref="D78:H78" si="10">SUM(D76:D77)</f>
        <v>5352.3529411764703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1081.1752941176471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6499.2857142857129</v>
      </c>
      <c r="D87" s="775">
        <f>'lokale energieproductie'!C17</f>
        <v>7646.2184873949573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1544.5361344537814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6499.2857142857129</v>
      </c>
      <c r="D90" s="751">
        <f t="shared" ref="D90:H90" si="12">SUM(D87:D89)</f>
        <v>7646.2184873949573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1544.5361344537814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12869.001030597588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3021.3398310095954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4549.4999999999991</v>
      </c>
      <c r="C8" s="551">
        <f>B48</f>
        <v>5352.3529411764703</v>
      </c>
      <c r="D8" s="552"/>
      <c r="E8" s="552">
        <f>E48</f>
        <v>0</v>
      </c>
      <c r="F8" s="553"/>
      <c r="G8" s="554"/>
      <c r="H8" s="552">
        <f>I48</f>
        <v>0</v>
      </c>
      <c r="I8" s="552">
        <f>G48+F48</f>
        <v>0</v>
      </c>
      <c r="J8" s="552">
        <f>H48+D48+C48</f>
        <v>0</v>
      </c>
      <c r="K8" s="552"/>
      <c r="L8" s="552"/>
      <c r="M8" s="552"/>
      <c r="N8" s="555"/>
      <c r="O8" s="556">
        <f>C8*$C$12+D8*$D$12+E8*$E$12+F8*$F$12+G8*$G$12+H8*$H$12+I8*$I$12+J8*$J$12</f>
        <v>1081.1752941176471</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20439.840861607183</v>
      </c>
      <c r="C10" s="566">
        <f t="shared" ref="C10:L10" si="0">SUM(C8:C9)</f>
        <v>5352.3529411764703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1081.1752941176471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6499.2857142857129</v>
      </c>
      <c r="C17" s="582">
        <f>B49</f>
        <v>7646.2184873949573</v>
      </c>
      <c r="D17" s="583"/>
      <c r="E17" s="583">
        <f>E49</f>
        <v>0</v>
      </c>
      <c r="F17" s="584"/>
      <c r="G17" s="585"/>
      <c r="H17" s="582">
        <f>I49</f>
        <v>0</v>
      </c>
      <c r="I17" s="583">
        <f>G49+F49</f>
        <v>0</v>
      </c>
      <c r="J17" s="583">
        <f>H49+D49+C49</f>
        <v>0</v>
      </c>
      <c r="K17" s="583"/>
      <c r="L17" s="583"/>
      <c r="M17" s="583"/>
      <c r="N17" s="970"/>
      <c r="O17" s="586">
        <f>C17*$C$22+E17*$E$22+H17*$H$22+I17*$I$22+J17*$J$22+D17*$D$22+F17*$F$22+G17*$G$22+K17*$K$22+L17*$L$22</f>
        <v>1544.5361344537814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6499.2857142857129</v>
      </c>
      <c r="C20" s="565">
        <f>SUM(C17:C19)</f>
        <v>7646.2184873949573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1544.5361344537814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34003</v>
      </c>
      <c r="C28" s="794">
        <v>8580</v>
      </c>
      <c r="D28" s="643" t="s">
        <v>865</v>
      </c>
      <c r="E28" s="642" t="s">
        <v>866</v>
      </c>
      <c r="F28" s="642" t="s">
        <v>867</v>
      </c>
      <c r="G28" s="642" t="s">
        <v>868</v>
      </c>
      <c r="H28" s="642" t="s">
        <v>869</v>
      </c>
      <c r="I28" s="642" t="s">
        <v>870</v>
      </c>
      <c r="J28" s="793">
        <v>41543</v>
      </c>
      <c r="K28" s="793">
        <v>42059</v>
      </c>
      <c r="L28" s="642" t="s">
        <v>871</v>
      </c>
      <c r="M28" s="642">
        <v>1011</v>
      </c>
      <c r="N28" s="642">
        <v>4549.4999999999991</v>
      </c>
      <c r="O28" s="642">
        <v>6499.2857142857129</v>
      </c>
      <c r="P28" s="642">
        <v>12998.571428571428</v>
      </c>
      <c r="Q28" s="642">
        <v>0</v>
      </c>
      <c r="R28" s="642">
        <v>0</v>
      </c>
      <c r="S28" s="642">
        <v>0</v>
      </c>
      <c r="T28" s="642">
        <v>0</v>
      </c>
      <c r="U28" s="642">
        <v>0</v>
      </c>
      <c r="V28" s="642">
        <v>0</v>
      </c>
      <c r="W28" s="642">
        <v>0</v>
      </c>
      <c r="X28" s="642">
        <v>600</v>
      </c>
      <c r="Y28" s="642" t="s">
        <v>39</v>
      </c>
      <c r="Z28" s="644" t="s">
        <v>385</v>
      </c>
    </row>
    <row r="29" spans="1:26" s="576" customFormat="1">
      <c r="A29" s="598" t="s">
        <v>279</v>
      </c>
      <c r="B29" s="599"/>
      <c r="C29" s="599"/>
      <c r="D29" s="599"/>
      <c r="E29" s="599"/>
      <c r="F29" s="599"/>
      <c r="G29" s="599"/>
      <c r="H29" s="599"/>
      <c r="I29" s="599"/>
      <c r="J29" s="599"/>
      <c r="K29" s="599"/>
      <c r="L29" s="600"/>
      <c r="M29" s="600">
        <f>SUM(M28:M28)</f>
        <v>1011</v>
      </c>
      <c r="N29" s="600">
        <f>SUM(N28:N28)</f>
        <v>4549.4999999999991</v>
      </c>
      <c r="O29" s="600">
        <f>SUM(O28:O28)</f>
        <v>6499.2857142857129</v>
      </c>
      <c r="P29" s="600">
        <f>SUM(P28:P28)</f>
        <v>12998.571428571428</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1011</v>
      </c>
      <c r="N30" s="600">
        <f>SUMIF($Z$28:$Z$28,"industrie",N28:N28)</f>
        <v>4549.4999999999991</v>
      </c>
      <c r="O30" s="600">
        <f>SUMIF($Z$28:$Z$28,"industrie",O28:O28)</f>
        <v>6499.2857142857129</v>
      </c>
      <c r="P30" s="600">
        <f>SUMIF($Z$28:$Z$28,"industrie",P28:P28)</f>
        <v>12998.571428571428</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5352.3529411764703</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7646.2184873949573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19234.251030221283</v>
      </c>
      <c r="C4" s="455">
        <f>huishoudens!C8</f>
        <v>0</v>
      </c>
      <c r="D4" s="455">
        <f>huishoudens!D8</f>
        <v>26383.488480676489</v>
      </c>
      <c r="E4" s="455">
        <f>huishoudens!E8</f>
        <v>3519.0664001814507</v>
      </c>
      <c r="F4" s="455">
        <f>huishoudens!F8</f>
        <v>14014.094984328769</v>
      </c>
      <c r="G4" s="455">
        <f>huishoudens!G8</f>
        <v>0</v>
      </c>
      <c r="H4" s="455">
        <f>huishoudens!H8</f>
        <v>0</v>
      </c>
      <c r="I4" s="455">
        <f>huishoudens!I8</f>
        <v>0</v>
      </c>
      <c r="J4" s="455">
        <f>huishoudens!J8</f>
        <v>0</v>
      </c>
      <c r="K4" s="455">
        <f>huishoudens!K8</f>
        <v>0</v>
      </c>
      <c r="L4" s="455">
        <f>huishoudens!L8</f>
        <v>0</v>
      </c>
      <c r="M4" s="455">
        <f>huishoudens!M8</f>
        <v>0</v>
      </c>
      <c r="N4" s="455">
        <f>huishoudens!N8</f>
        <v>7475.4263270849497</v>
      </c>
      <c r="O4" s="455">
        <f>huishoudens!O8</f>
        <v>406.71143497434156</v>
      </c>
      <c r="P4" s="456">
        <f>huishoudens!P8</f>
        <v>158.00938961527535</v>
      </c>
      <c r="Q4" s="457">
        <f>SUM(B4:P4)</f>
        <v>71191.048047082542</v>
      </c>
    </row>
    <row r="5" spans="1:17">
      <c r="A5" s="454" t="s">
        <v>155</v>
      </c>
      <c r="B5" s="455">
        <f ca="1">tertiair!B16</f>
        <v>13878.024504839619</v>
      </c>
      <c r="C5" s="455">
        <f ca="1">tertiair!C16</f>
        <v>0</v>
      </c>
      <c r="D5" s="455">
        <f ca="1">tertiair!D16</f>
        <v>10969.753931824544</v>
      </c>
      <c r="E5" s="455">
        <f>tertiair!E16</f>
        <v>53.260176089501485</v>
      </c>
      <c r="F5" s="455">
        <f ca="1">tertiair!F16</f>
        <v>2627.8087949898763</v>
      </c>
      <c r="G5" s="455">
        <f>tertiair!G16</f>
        <v>0</v>
      </c>
      <c r="H5" s="455">
        <f>tertiair!H16</f>
        <v>0</v>
      </c>
      <c r="I5" s="455">
        <f>tertiair!I16</f>
        <v>0</v>
      </c>
      <c r="J5" s="455">
        <f>tertiair!J16</f>
        <v>2.5649713522390642E-2</v>
      </c>
      <c r="K5" s="455">
        <f>tertiair!K16</f>
        <v>0</v>
      </c>
      <c r="L5" s="455">
        <f ca="1">tertiair!L16</f>
        <v>0</v>
      </c>
      <c r="M5" s="455">
        <f>tertiair!M16</f>
        <v>0</v>
      </c>
      <c r="N5" s="455">
        <f ca="1">tertiair!N16</f>
        <v>939.4145053069908</v>
      </c>
      <c r="O5" s="455">
        <f>tertiair!O16</f>
        <v>14.691782297523464</v>
      </c>
      <c r="P5" s="456">
        <f>tertiair!P16</f>
        <v>0</v>
      </c>
      <c r="Q5" s="454">
        <f t="shared" ref="Q5:Q14" ca="1" si="0">SUM(B5:P5)</f>
        <v>28482.97934506158</v>
      </c>
    </row>
    <row r="6" spans="1:17">
      <c r="A6" s="454" t="s">
        <v>193</v>
      </c>
      <c r="B6" s="455">
        <f>'openbare verlichting'!B8</f>
        <v>416.08300000000003</v>
      </c>
      <c r="C6" s="455"/>
      <c r="D6" s="455"/>
      <c r="E6" s="455"/>
      <c r="F6" s="455"/>
      <c r="G6" s="455"/>
      <c r="H6" s="455"/>
      <c r="I6" s="455"/>
      <c r="J6" s="455"/>
      <c r="K6" s="455"/>
      <c r="L6" s="455"/>
      <c r="M6" s="455"/>
      <c r="N6" s="455"/>
      <c r="O6" s="455"/>
      <c r="P6" s="456"/>
      <c r="Q6" s="454">
        <f t="shared" si="0"/>
        <v>416.08300000000003</v>
      </c>
    </row>
    <row r="7" spans="1:17">
      <c r="A7" s="454" t="s">
        <v>111</v>
      </c>
      <c r="B7" s="455">
        <f>landbouw!B8</f>
        <v>835.31358414018302</v>
      </c>
      <c r="C7" s="455">
        <f>landbouw!C8</f>
        <v>0</v>
      </c>
      <c r="D7" s="455">
        <f>landbouw!D8</f>
        <v>73.798086950065667</v>
      </c>
      <c r="E7" s="455">
        <f>landbouw!E8</f>
        <v>31.151398594575394</v>
      </c>
      <c r="F7" s="455">
        <f>landbouw!F8</f>
        <v>2710.0800448251907</v>
      </c>
      <c r="G7" s="455">
        <f>landbouw!G8</f>
        <v>0</v>
      </c>
      <c r="H7" s="455">
        <f>landbouw!H8</f>
        <v>0</v>
      </c>
      <c r="I7" s="455">
        <f>landbouw!I8</f>
        <v>0</v>
      </c>
      <c r="J7" s="455">
        <f>landbouw!J8</f>
        <v>219.27393970239035</v>
      </c>
      <c r="K7" s="455">
        <f>landbouw!K8</f>
        <v>0</v>
      </c>
      <c r="L7" s="455">
        <f>landbouw!L8</f>
        <v>0</v>
      </c>
      <c r="M7" s="455">
        <f>landbouw!M8</f>
        <v>0</v>
      </c>
      <c r="N7" s="455">
        <f>landbouw!N8</f>
        <v>0</v>
      </c>
      <c r="O7" s="455">
        <f>landbouw!O8</f>
        <v>0</v>
      </c>
      <c r="P7" s="456">
        <f>landbouw!P8</f>
        <v>0</v>
      </c>
      <c r="Q7" s="454">
        <f t="shared" si="0"/>
        <v>3869.617054212405</v>
      </c>
    </row>
    <row r="8" spans="1:17">
      <c r="A8" s="454" t="s">
        <v>626</v>
      </c>
      <c r="B8" s="455">
        <f>industrie!B18</f>
        <v>93862.69632648617</v>
      </c>
      <c r="C8" s="455">
        <f>industrie!C18</f>
        <v>6499.2857142857129</v>
      </c>
      <c r="D8" s="455">
        <f>industrie!D18</f>
        <v>56564.825650567589</v>
      </c>
      <c r="E8" s="455">
        <f>industrie!E18</f>
        <v>135.50059522051015</v>
      </c>
      <c r="F8" s="455">
        <f>industrie!F18</f>
        <v>2509.0994824636596</v>
      </c>
      <c r="G8" s="455">
        <f>industrie!G18</f>
        <v>0</v>
      </c>
      <c r="H8" s="455">
        <f>industrie!H18</f>
        <v>0</v>
      </c>
      <c r="I8" s="455">
        <f>industrie!I18</f>
        <v>0</v>
      </c>
      <c r="J8" s="455">
        <f>industrie!J18</f>
        <v>0.34922902366148978</v>
      </c>
      <c r="K8" s="455">
        <f>industrie!K18</f>
        <v>0</v>
      </c>
      <c r="L8" s="455">
        <f>industrie!L18</f>
        <v>0</v>
      </c>
      <c r="M8" s="455">
        <f>industrie!M18</f>
        <v>0</v>
      </c>
      <c r="N8" s="455">
        <f>industrie!N18</f>
        <v>4216.1425449289827</v>
      </c>
      <c r="O8" s="455">
        <f>industrie!O18</f>
        <v>0</v>
      </c>
      <c r="P8" s="456">
        <f>industrie!P18</f>
        <v>0</v>
      </c>
      <c r="Q8" s="454">
        <f t="shared" si="0"/>
        <v>163787.89954297632</v>
      </c>
    </row>
    <row r="9" spans="1:17" s="460" customFormat="1">
      <c r="A9" s="458" t="s">
        <v>552</v>
      </c>
      <c r="B9" s="459">
        <f>transport!B14</f>
        <v>32.778440125627625</v>
      </c>
      <c r="C9" s="459">
        <f>transport!C14</f>
        <v>0</v>
      </c>
      <c r="D9" s="459">
        <f>transport!D14</f>
        <v>125.8324864953978</v>
      </c>
      <c r="E9" s="459">
        <f>transport!E14</f>
        <v>67.895874582521614</v>
      </c>
      <c r="F9" s="459">
        <f>transport!F14</f>
        <v>0</v>
      </c>
      <c r="G9" s="459">
        <f>transport!G14</f>
        <v>32654.317367377938</v>
      </c>
      <c r="H9" s="459">
        <f>transport!H14</f>
        <v>8036.6344232818192</v>
      </c>
      <c r="I9" s="459">
        <f>transport!I14</f>
        <v>0</v>
      </c>
      <c r="J9" s="459">
        <f>transport!J14</f>
        <v>0</v>
      </c>
      <c r="K9" s="459">
        <f>transport!K14</f>
        <v>0</v>
      </c>
      <c r="L9" s="459">
        <f>transport!L14</f>
        <v>0</v>
      </c>
      <c r="M9" s="459">
        <f>transport!M14</f>
        <v>2397.1618277911298</v>
      </c>
      <c r="N9" s="459">
        <f>transport!N14</f>
        <v>0</v>
      </c>
      <c r="O9" s="459">
        <f>transport!O14</f>
        <v>0</v>
      </c>
      <c r="P9" s="459">
        <f>transport!P14</f>
        <v>0</v>
      </c>
      <c r="Q9" s="458">
        <f>SUM(B9:P9)</f>
        <v>43314.620419654442</v>
      </c>
    </row>
    <row r="10" spans="1:17">
      <c r="A10" s="454" t="s">
        <v>542</v>
      </c>
      <c r="B10" s="455">
        <f>transport!B54</f>
        <v>0</v>
      </c>
      <c r="C10" s="455">
        <f>transport!C54</f>
        <v>0</v>
      </c>
      <c r="D10" s="455">
        <f>transport!D54</f>
        <v>0</v>
      </c>
      <c r="E10" s="455">
        <f>transport!E54</f>
        <v>0</v>
      </c>
      <c r="F10" s="455">
        <f>transport!F54</f>
        <v>0</v>
      </c>
      <c r="G10" s="455">
        <f>transport!G54</f>
        <v>932.45893915513648</v>
      </c>
      <c r="H10" s="455">
        <f>transport!H54</f>
        <v>0</v>
      </c>
      <c r="I10" s="455">
        <f>transport!I54</f>
        <v>0</v>
      </c>
      <c r="J10" s="455">
        <f>transport!J54</f>
        <v>0</v>
      </c>
      <c r="K10" s="455">
        <f>transport!K54</f>
        <v>0</v>
      </c>
      <c r="L10" s="455">
        <f>transport!L54</f>
        <v>0</v>
      </c>
      <c r="M10" s="455">
        <f>transport!M54</f>
        <v>50.600532940828863</v>
      </c>
      <c r="N10" s="455">
        <f>transport!N54</f>
        <v>0</v>
      </c>
      <c r="O10" s="455">
        <f>transport!O54</f>
        <v>0</v>
      </c>
      <c r="P10" s="456">
        <f>transport!P54</f>
        <v>0</v>
      </c>
      <c r="Q10" s="454">
        <f t="shared" si="0"/>
        <v>983.05947209596536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521.33870678921608</v>
      </c>
      <c r="C14" s="462"/>
      <c r="D14" s="462">
        <f>'SEAP template'!E25</f>
        <v>816.45407316795706</v>
      </c>
      <c r="E14" s="462"/>
      <c r="F14" s="462"/>
      <c r="G14" s="462"/>
      <c r="H14" s="462"/>
      <c r="I14" s="462"/>
      <c r="J14" s="462"/>
      <c r="K14" s="462"/>
      <c r="L14" s="462"/>
      <c r="M14" s="462"/>
      <c r="N14" s="462"/>
      <c r="O14" s="462"/>
      <c r="P14" s="463"/>
      <c r="Q14" s="454">
        <f t="shared" si="0"/>
        <v>1337.792779957173</v>
      </c>
    </row>
    <row r="15" spans="1:17" s="466" customFormat="1">
      <c r="A15" s="464" t="s">
        <v>546</v>
      </c>
      <c r="B15" s="465">
        <f ca="1">SUM(B4:B14)</f>
        <v>128780.4855926021</v>
      </c>
      <c r="C15" s="465">
        <f t="shared" ref="C15:Q15" ca="1" si="1">SUM(C4:C14)</f>
        <v>6499.2857142857129</v>
      </c>
      <c r="D15" s="465">
        <f t="shared" ca="1" si="1"/>
        <v>94934.15270968205</v>
      </c>
      <c r="E15" s="465">
        <f t="shared" si="1"/>
        <v>3806.8744446685591</v>
      </c>
      <c r="F15" s="465">
        <f t="shared" ca="1" si="1"/>
        <v>21861.083306607492</v>
      </c>
      <c r="G15" s="465">
        <f t="shared" si="1"/>
        <v>33586.776306533073</v>
      </c>
      <c r="H15" s="465">
        <f t="shared" si="1"/>
        <v>8036.6344232818192</v>
      </c>
      <c r="I15" s="465">
        <f t="shared" si="1"/>
        <v>0</v>
      </c>
      <c r="J15" s="465">
        <f t="shared" si="1"/>
        <v>219.64881843957423</v>
      </c>
      <c r="K15" s="465">
        <f t="shared" si="1"/>
        <v>0</v>
      </c>
      <c r="L15" s="465">
        <f t="shared" ca="1" si="1"/>
        <v>0</v>
      </c>
      <c r="M15" s="465">
        <f t="shared" si="1"/>
        <v>2447.7623607319588</v>
      </c>
      <c r="N15" s="465">
        <f t="shared" ca="1" si="1"/>
        <v>12630.983377320925</v>
      </c>
      <c r="O15" s="465">
        <f t="shared" si="1"/>
        <v>421.403217271865</v>
      </c>
      <c r="P15" s="465">
        <f t="shared" si="1"/>
        <v>158.00938961527535</v>
      </c>
      <c r="Q15" s="465">
        <f t="shared" ca="1" si="1"/>
        <v>313383.09966104041</v>
      </c>
    </row>
    <row r="17" spans="1:17">
      <c r="A17" s="467" t="s">
        <v>547</v>
      </c>
      <c r="B17" s="784">
        <f ca="1">huishoudens!B10</f>
        <v>0.19431870958176503</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3737.5748399643344</v>
      </c>
      <c r="C22" s="455">
        <f t="shared" ref="C22:C32" ca="1" si="3">C4*$C$17</f>
        <v>0</v>
      </c>
      <c r="D22" s="455">
        <f t="shared" ref="D22:D32" si="4">D4*$D$17</f>
        <v>5329.4646730966515</v>
      </c>
      <c r="E22" s="455">
        <f t="shared" ref="E22:E32" si="5">E4*$E$17</f>
        <v>798.82807284118928</v>
      </c>
      <c r="F22" s="455">
        <f t="shared" ref="F22:F32" si="6">F4*$F$17</f>
        <v>3741.7633608157817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13607.630946717958</v>
      </c>
    </row>
    <row r="23" spans="1:17">
      <c r="A23" s="454" t="s">
        <v>155</v>
      </c>
      <c r="B23" s="455">
        <f t="shared" ca="1" si="2"/>
        <v>2696.7598133245483</v>
      </c>
      <c r="C23" s="455">
        <f t="shared" ca="1" si="3"/>
        <v>0</v>
      </c>
      <c r="D23" s="455">
        <f t="shared" ca="1" si="4"/>
        <v>2215.8902942285581</v>
      </c>
      <c r="E23" s="455">
        <f t="shared" si="5"/>
        <v>12.090059972316837</v>
      </c>
      <c r="F23" s="455">
        <f t="shared" ca="1" si="6"/>
        <v>701.62494826229704</v>
      </c>
      <c r="G23" s="455">
        <f t="shared" si="7"/>
        <v>0</v>
      </c>
      <c r="H23" s="455">
        <f t="shared" si="8"/>
        <v>0</v>
      </c>
      <c r="I23" s="455">
        <f t="shared" si="9"/>
        <v>0</v>
      </c>
      <c r="J23" s="455">
        <f t="shared" si="10"/>
        <v>9.0799985869262877E-3</v>
      </c>
      <c r="K23" s="455">
        <f t="shared" si="11"/>
        <v>0</v>
      </c>
      <c r="L23" s="455">
        <f t="shared" ca="1" si="12"/>
        <v>0</v>
      </c>
      <c r="M23" s="455">
        <f t="shared" si="13"/>
        <v>0</v>
      </c>
      <c r="N23" s="455">
        <f t="shared" ca="1" si="14"/>
        <v>0</v>
      </c>
      <c r="O23" s="455">
        <f t="shared" si="15"/>
        <v>0</v>
      </c>
      <c r="P23" s="456">
        <f t="shared" si="16"/>
        <v>0</v>
      </c>
      <c r="Q23" s="454">
        <f t="shared" ref="Q23:Q31" ca="1" si="17">SUM(B23:P23)</f>
        <v>5626.3741957863085</v>
      </c>
    </row>
    <row r="24" spans="1:17">
      <c r="A24" s="454" t="s">
        <v>193</v>
      </c>
      <c r="B24" s="455">
        <f t="shared" ca="1" si="2"/>
        <v>80.85271163890954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80.85271163890954</v>
      </c>
    </row>
    <row r="25" spans="1:17">
      <c r="A25" s="454" t="s">
        <v>111</v>
      </c>
      <c r="B25" s="455">
        <f t="shared" ca="1" si="2"/>
        <v>162.31705776623949</v>
      </c>
      <c r="C25" s="455">
        <f t="shared" ca="1" si="3"/>
        <v>0</v>
      </c>
      <c r="D25" s="455">
        <f t="shared" si="4"/>
        <v>14.907213563913265</v>
      </c>
      <c r="E25" s="455">
        <f t="shared" si="5"/>
        <v>7.0713674809686147</v>
      </c>
      <c r="F25" s="455">
        <f t="shared" si="6"/>
        <v>723.59137196832592</v>
      </c>
      <c r="G25" s="455">
        <f t="shared" si="7"/>
        <v>0</v>
      </c>
      <c r="H25" s="455">
        <f t="shared" si="8"/>
        <v>0</v>
      </c>
      <c r="I25" s="455">
        <f t="shared" si="9"/>
        <v>0</v>
      </c>
      <c r="J25" s="455">
        <f t="shared" si="10"/>
        <v>77.622974654646185</v>
      </c>
      <c r="K25" s="455">
        <f t="shared" si="11"/>
        <v>0</v>
      </c>
      <c r="L25" s="455">
        <f t="shared" si="12"/>
        <v>0</v>
      </c>
      <c r="M25" s="455">
        <f t="shared" si="13"/>
        <v>0</v>
      </c>
      <c r="N25" s="455">
        <f t="shared" si="14"/>
        <v>0</v>
      </c>
      <c r="O25" s="455">
        <f t="shared" si="15"/>
        <v>0</v>
      </c>
      <c r="P25" s="456">
        <f t="shared" si="16"/>
        <v>0</v>
      </c>
      <c r="Q25" s="454">
        <f t="shared" ca="1" si="17"/>
        <v>985.50998543409355</v>
      </c>
    </row>
    <row r="26" spans="1:17">
      <c r="A26" s="454" t="s">
        <v>626</v>
      </c>
      <c r="B26" s="455">
        <f t="shared" ca="1" si="2"/>
        <v>18239.278028027871</v>
      </c>
      <c r="C26" s="455">
        <f t="shared" ca="1" si="3"/>
        <v>1544.5361344537814</v>
      </c>
      <c r="D26" s="455">
        <f t="shared" si="4"/>
        <v>11426.094781414653</v>
      </c>
      <c r="E26" s="455">
        <f t="shared" si="5"/>
        <v>30.758635115055807</v>
      </c>
      <c r="F26" s="455">
        <f t="shared" si="6"/>
        <v>669.92956181779709</v>
      </c>
      <c r="G26" s="455">
        <f t="shared" si="7"/>
        <v>0</v>
      </c>
      <c r="H26" s="455">
        <f t="shared" si="8"/>
        <v>0</v>
      </c>
      <c r="I26" s="455">
        <f t="shared" si="9"/>
        <v>0</v>
      </c>
      <c r="J26" s="455">
        <f t="shared" si="10"/>
        <v>0.12362707437616738</v>
      </c>
      <c r="K26" s="455">
        <f t="shared" si="11"/>
        <v>0</v>
      </c>
      <c r="L26" s="455">
        <f t="shared" si="12"/>
        <v>0</v>
      </c>
      <c r="M26" s="455">
        <f t="shared" si="13"/>
        <v>0</v>
      </c>
      <c r="N26" s="455">
        <f t="shared" si="14"/>
        <v>0</v>
      </c>
      <c r="O26" s="455">
        <f t="shared" si="15"/>
        <v>0</v>
      </c>
      <c r="P26" s="456">
        <f t="shared" si="16"/>
        <v>0</v>
      </c>
      <c r="Q26" s="454">
        <f t="shared" ca="1" si="17"/>
        <v>31910.720767903535</v>
      </c>
    </row>
    <row r="27" spans="1:17" s="460" customFormat="1">
      <c r="A27" s="458" t="s">
        <v>552</v>
      </c>
      <c r="B27" s="778">
        <f t="shared" ca="1" si="2"/>
        <v>6.3694641873151081</v>
      </c>
      <c r="C27" s="459">
        <f t="shared" ca="1" si="3"/>
        <v>0</v>
      </c>
      <c r="D27" s="459">
        <f t="shared" si="4"/>
        <v>25.418162272070358</v>
      </c>
      <c r="E27" s="459">
        <f t="shared" si="5"/>
        <v>15.412363530232406</v>
      </c>
      <c r="F27" s="459">
        <f t="shared" si="6"/>
        <v>0</v>
      </c>
      <c r="G27" s="459">
        <f t="shared" si="7"/>
        <v>8718.7027370899104</v>
      </c>
      <c r="H27" s="459">
        <f t="shared" si="8"/>
        <v>2001.121971397173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10767.024698476702</v>
      </c>
    </row>
    <row r="28" spans="1:17" ht="16.5" customHeight="1">
      <c r="A28" s="454" t="s">
        <v>542</v>
      </c>
      <c r="B28" s="455">
        <f t="shared" ca="1" si="2"/>
        <v>0</v>
      </c>
      <c r="C28" s="455">
        <f t="shared" ca="1" si="3"/>
        <v>0</v>
      </c>
      <c r="D28" s="455">
        <f t="shared" si="4"/>
        <v>0</v>
      </c>
      <c r="E28" s="455">
        <f t="shared" si="5"/>
        <v>0</v>
      </c>
      <c r="F28" s="455">
        <f t="shared" si="6"/>
        <v>0</v>
      </c>
      <c r="G28" s="455">
        <f t="shared" si="7"/>
        <v>248.96653675442144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248.96653675442144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101.30586475830663</v>
      </c>
      <c r="C32" s="455">
        <f t="shared" ca="1" si="3"/>
        <v>0</v>
      </c>
      <c r="D32" s="455">
        <f t="shared" si="4"/>
        <v>164.92372277992735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266.229587538234</v>
      </c>
    </row>
    <row r="33" spans="1:17" s="466" customFormat="1">
      <c r="A33" s="464" t="s">
        <v>546</v>
      </c>
      <c r="B33" s="465">
        <f ca="1">SUM(B22:B32)</f>
        <v>25024.457779667526</v>
      </c>
      <c r="C33" s="465">
        <f t="shared" ref="C33:Q33" ca="1" si="19">SUM(C22:C32)</f>
        <v>1544.5361344537814</v>
      </c>
      <c r="D33" s="465">
        <f t="shared" ca="1" si="19"/>
        <v>19176.698847355776</v>
      </c>
      <c r="E33" s="465">
        <f t="shared" si="19"/>
        <v>864.16049893976287</v>
      </c>
      <c r="F33" s="465">
        <f t="shared" ca="1" si="19"/>
        <v>5836.9092428642016</v>
      </c>
      <c r="G33" s="465">
        <f t="shared" si="19"/>
        <v>8967.6692738443326</v>
      </c>
      <c r="H33" s="465">
        <f t="shared" si="19"/>
        <v>2001.121971397173</v>
      </c>
      <c r="I33" s="465">
        <f t="shared" si="19"/>
        <v>0</v>
      </c>
      <c r="J33" s="465">
        <f t="shared" si="19"/>
        <v>77.755681727609286</v>
      </c>
      <c r="K33" s="465">
        <f t="shared" si="19"/>
        <v>0</v>
      </c>
      <c r="L33" s="465">
        <f t="shared" ca="1" si="19"/>
        <v>0</v>
      </c>
      <c r="M33" s="465">
        <f t="shared" si="19"/>
        <v>0</v>
      </c>
      <c r="N33" s="465">
        <f t="shared" ca="1" si="19"/>
        <v>0</v>
      </c>
      <c r="O33" s="465">
        <f t="shared" si="19"/>
        <v>0</v>
      </c>
      <c r="P33" s="465">
        <f t="shared" si="19"/>
        <v>0</v>
      </c>
      <c r="Q33" s="465">
        <f t="shared" ca="1" si="19"/>
        <v>63493.309430250163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12869.001030597588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3021.3398310095954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4549.4999999999991</v>
      </c>
      <c r="D8" s="1026">
        <f>'SEAP template'!D76</f>
        <v>5352.3529411764703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1081.1752941176471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15890.340861607183</v>
      </c>
      <c r="C10" s="1028">
        <f>SUM(C4:C9)</f>
        <v>4549.4999999999991</v>
      </c>
      <c r="D10" s="1028">
        <f t="shared" ref="D10:H10" si="0">SUM(D8:D9)</f>
        <v>5352.3529411764703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1081.1752941176471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0.19431870958176503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6499.2857142857129</v>
      </c>
      <c r="D17" s="1027">
        <f>'SEAP template'!D87</f>
        <v>7646.2184873949573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1544.5361344537814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6499.2857142857129</v>
      </c>
      <c r="D20" s="1028">
        <f t="shared" ref="D20:H20" si="2">SUM(D17:D19)</f>
        <v>7646.2184873949573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1544.5361344537814</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0.19431870958176503</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2020-06-20T15:22:13Z</dcterms:modified>
</cp:coreProperties>
</file>