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<sst xmlns="http://schemas.openxmlformats.org/spreadsheetml/2006/main" count="2366" uniqueCount="865">
  <si>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</si>
  <si>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</si>
  <si>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</si>
  <si>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</si>
  <si>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</si>
  <si>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</si>
  <si>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</si>
  <si>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</si>
  <si>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</si>
  <si>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</si>
  <si>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</si>
  <si>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</si>
  <si>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</si>
  <si>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</si>
  <si>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</si>
  <si>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</si>
  <si>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</si>
  <si>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</si>
  <si>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</si>
  <si>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</si>
  <si>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</si>
  <si>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</si>
  <si>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</si>
  <si>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</si>
  <si>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</si>
  <si>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</si>
  <si>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</si>
  <si>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</si>
  <si>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</si>
  <si>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</si>
  <si>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</si>
  <si>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</si>
  <si>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</si>
  <si>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</si>
  <si>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</si>
  <si>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</si>
  <si>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</si>
  <si>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</si>
  <si>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</si>
  <si>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</si>
  <si>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</si>
  <si>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</si>
  <si>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</si>
  <si>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</si>
  <si>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</si>
  <si>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</si>
  <si>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</si>
  <si>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</si>
  <si>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</si>
  <si>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</si>
  <si>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</si>
  <si>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</si>
  <si>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</si>
  <si>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</si>
  <si>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</si>
  <si>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</si>
  <si>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</si>
  <si>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</si>
  <si>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</si>
  <si>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</si>
  <si>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</si>
  <si>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</si>
  <si>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</si>
  <si>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</si>
  <si>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</si>
  <si>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</si>
  <si>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</si>
  <si>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</si>
  <si>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</si>
  <si>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</si>
  <si>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</si>
  <si>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</si>
  <si>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</si>
  <si>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</si>
  <si>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</si>
  <si>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</si>
  <si>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</si>
  <si>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</si>
  <si>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</si>
  <si>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</si>
  <si>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</si>
  <si>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</si>
  <si>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</si>
  <si>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</si>
  <si>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</si>
  <si>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</si>
  <si>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</si>
  <si>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</si>
  <si>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</si>
  <si>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</si>
  <si>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</si>
  <si>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</si>
  <si>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</si>
  <si>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</si>
  <si>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</si>
  <si>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</si>
  <si>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</si>
  <si>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</si>
  <si>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</si>
  <si>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</si>
  <si>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</si>
  <si>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</si>
  <si>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</si>
  <si>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</si>
  <si>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</si>
  <si>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</si>
  <si>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</si>
  <si>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</si>
  <si>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</si>
  <si>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</si>
  <si>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</si>
  <si>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</si>
  <si>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</si>
  <si>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</si>
  <si>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</si>
  <si>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</si>
  <si>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</si>
  <si>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</si>
  <si>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</si>
  <si>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</si>
  <si>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</si>
  <si>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</si>
  <si>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</si>
  <si>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</si>
  <si>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</si>
  <si>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</si>
  <si>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</si>
  <si>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</si>
  <si>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</si>
  <si>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</si>
  <si>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</si>
  <si>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</si>
  <si>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</si>
  <si>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</si>
  <si>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</si>
  <si>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</si>
  <si>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</si>
  <si>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</si>
  <si>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</si>
  <si>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</si>
  <si>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</si>
  <si>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</si>
  <si>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</si>
  <si>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</si>
  <si>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</si>
  <si>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</si>
  <si>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</si>
  <si>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</si>
  <si>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</si>
  <si>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</si>
  <si>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</si>
  <si>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</si>
  <si>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</si>
  <si>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</si>
  <si>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</si>
  <si>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</si>
  <si>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</si>
  <si>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</si>
  <si>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</si>
  <si>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</si>
  <si>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</si>
  <si>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</si>
  <si>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</si>
  <si>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</si>
  <si>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</si>
  <si>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</si>
  <si>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</si>
  <si>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</si>
  <si>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</si>
  <si>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</si>
  <si>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</si>
  <si>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</si>
  <si>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</si>
  <si>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</si>
  <si>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</si>
  <si>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</si>
  <si>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</si>
  <si>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</si>
  <si>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</si>
  <si>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</si>
  <si>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</si>
  <si>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</si>
  <si>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</si>
  <si>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</si>
  <si>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</si>
  <si>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</si>
  <si>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</si>
  <si>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</si>
  <si>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</si>
  <si>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</si>
  <si>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</si>
  <si>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</si>
  <si>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</si>
  <si>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</si>
  <si>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</si>
  <si>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</si>
  <si>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</si>
  <si>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</si>
  <si>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</si>
  <si>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</si>
  <si>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</si>
  <si>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</si>
  <si>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</si>
  <si>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</si>
  <si>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</si>
  <si>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</si>
  <si>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</si>
  <si>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</si>
  <si>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</si>
  <si>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</si>
  <si>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</si>
  <si>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</si>
  <si>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</si>
  <si>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</si>
  <si>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</si>
  <si>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</si>
  <si>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</si>
  <si>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</si>
  <si>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</si>
  <si>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</si>
  <si>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</si>
  <si>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</si>
  <si>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</si>
  <si>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</si>
  <si>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</si>
  <si>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</si>
  <si>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</si>
  <si>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</si>
  <si>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</si>
  <si>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</si>
  <si>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</si>
  <si>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</si>
  <si>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</si>
  <si>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</si>
  <si>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</si>
  <si>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</si>
  <si>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</si>
  <si>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</si>
  <si>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</si>
  <si>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</si>
  <si>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</si>
  <si>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</si>
  <si>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</si>
  <si>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</si>
  <si>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</si>
  <si>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</si>
  <si>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</si>
  <si>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</si>
  <si>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</si>
  <si>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</si>
  <si>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</si>
  <si>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</si>
  <si>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</si>
  <si>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</si>
  <si>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</si>
  <si>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</si>
  <si>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</si>
  <si>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</si>
  <si>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</si>
  <si>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</si>
  <si>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</si>
  <si>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</si>
  <si>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</si>
  <si>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</si>
  <si>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</si>
  <si>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</si>
  <si>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</si>
  <si>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</si>
  <si>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</si>
  <si>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</si>
  <si>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</si>
  <si>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</si>
  <si>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</si>
  <si>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</si>
  <si>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</si>
  <si>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</si>
  <si>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</si>
  <si>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</si>
  <si>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</si>
  <si>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</si>
  <si>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</si>
  <si>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</si>
  <si>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</si>
  <si>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</si>
  <si>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</si>
  <si>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</si>
  <si>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</si>
  <si>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</si>
  <si>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</si>
  <si>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</si>
  <si>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</si>
  <si>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</si>
  <si>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</si>
  <si>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</si>
  <si>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</si>
  <si>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</si>
  <si>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</si>
  <si>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</si>
  <si>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</si>
  <si>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</si>
  <si>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</si>
  <si>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</si>
  <si>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</si>
  <si>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</si>
  <si>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</si>
  <si>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</si>
  <si>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</si>
  <si>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</si>
  <si>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</si>
  <si>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</si>
  <si>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</si>
  <si>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</si>
  <si>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</si>
  <si>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</si>
  <si>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</si>
  <si>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</si>
  <si>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</si>
  <si>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</si>
  <si>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</si>
  <si>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</si>
  <si>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</si>
  <si>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</si>
  <si>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</si>
  <si>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</si>
  <si>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</si>
  <si>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</si>
  <si>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</si>
  <si>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</si>
  <si>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</si>
  <si>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</si>
  <si>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</si>
  <si>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</si>
  <si>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</si>
  <si>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</si>
  <si>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</si>
  <si>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</si>
  <si>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</si>
  <si>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</si>
  <si>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</si>
  <si>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</si>
  <si>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</si>
  <si>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</si>
  <si>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</si>
  <si>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</si>
  <si>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</si>
  <si>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</si>
  <si>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</si>
  <si>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</si>
  <si>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</si>
  <si>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</si>
  <si>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</si>
  <si>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</si>
  <si>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</si>
  <si>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</si>
  <si>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</si>
  <si>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</si>
  <si>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</si>
  <si>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</si>
  <si>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</si>
  <si>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</si>
  <si>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</si>
  <si>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</si>
  <si>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</si>
  <si>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</si>
  <si>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</si>
  <si>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</si>
  <si>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</si>
  <si>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</si>
  <si>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</si>
  <si>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</si>
  <si>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</si>
  <si>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</si>
  <si>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</si>
  <si>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</si>
  <si>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</si>
  <si>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</si>
  <si>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</si>
  <si>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</si>
  <si>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</si>
  <si>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</si>
  <si>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</si>
  <si>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</si>
  <si>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</si>
  <si>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</si>
  <si>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</si>
  <si>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</si>
  <si>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</si>
  <si>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</si>
  <si>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</si>
  <si>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</si>
  <si>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</si>
  <si>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</si>
  <si>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</si>
  <si>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</si>
  <si>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</si>
  <si>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</si>
  <si>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</si>
  <si>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</si>
  <si>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</si>
  <si>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</si>
  <si>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</si>
  <si>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</si>
  <si>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</si>
  <si>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</si>
  <si>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</si>
  <si>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</si>
  <si>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</si>
  <si>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</si>
  <si>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</si>
  <si>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</si>
  <si>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</si>
  <si>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</si>
  <si>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</si>
  <si>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</si>
  <si>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</si>
  <si>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</si>
  <si>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</si>
  <si>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</si>
  <si>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</si>
  <si>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</si>
  <si>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</si>
  <si>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</si>
  <si>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</si>
  <si>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</si>
  <si>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</si>
  <si>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</si>
  <si>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</si>
  <si>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</si>
  <si>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</si>
  <si>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</si>
  <si>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</si>
  <si>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</si>
  <si>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</si>
  <si>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</si>
  <si>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</si>
  <si>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</si>
  <si>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</si>
  <si>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</si>
  <si>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</si>
  <si>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</si>
  <si>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</si>
  <si>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</si>
  <si>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</si>
  <si>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</si>
  <si>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</si>
  <si>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</si>
  <si>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</si>
  <si>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</si>
  <si>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</si>
  <si>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</si>
  <si>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</si>
  <si>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</si>
  <si>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</si>
  <si>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</si>
  <si>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</si>
  <si>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</si>
  <si>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</si>
  <si>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</si>
  <si>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</si>
  <si>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</si>
  <si>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</si>
  <si>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</si>
  <si>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</si>
  <si>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</si>
  <si>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</si>
  <si>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</si>
  <si>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</si>
  <si>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</si>
  <si>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</si>
  <si>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</si>
  <si>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</si>
  <si>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</si>
  <si>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</si>
  <si>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</si>
  <si>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</si>
  <si>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</si>
  <si>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</si>
  <si>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</si>
  <si>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</si>
  <si>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</si>
  <si>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</si>
  <si>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</si>
  <si>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</si>
  <si>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</si>
  <si>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</si>
  <si>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</si>
  <si>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</si>
  <si>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</si>
  <si>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</si>
  <si>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</si>
  <si>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</si>
  <si>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</si>
  <si>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</si>
  <si>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</si>
  <si>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</si>
  <si>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</si>
  <si>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</si>
  <si>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</si>
  <si>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</si>
  <si>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</si>
  <si>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</si>
  <si>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</si>
  <si>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</si>
  <si>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</si>
  <si>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</si>
  <si>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</si>
  <si>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</si>
  <si>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</si>
  <si>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</si>
  <si>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</si>
  <si>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</si>
  <si>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</si>
  <si>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</si>
  <si>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</si>
  <si>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</si>
  <si>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</si>
  <si>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</si>
  <si>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</si>
  <si>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</si>
  <si>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</si>
  <si>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</si>
  <si>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</si>
  <si>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</si>
  <si>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</si>
  <si>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</si>
  <si>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</si>
  <si>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</si>
  <si>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</si>
  <si>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</si>
  <si>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</si>
  <si>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</si>
  <si>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</si>
  <si>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</si>
  <si>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</si>
  <si>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</si>
  <si>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</si>
  <si>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</si>
  <si>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</si>
  <si>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</si>
  <si>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</si>
  <si>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</si>
  <si>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</si>
  <si>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</si>
  <si>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</si>
  <si>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</si>
  <si>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</si>
  <si>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</si>
  <si>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</si>
  <si>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</si>
  <si>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</si>
  <si>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</si>
  <si>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</si>
  <si>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</si>
  <si>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</si>
  <si>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</si>
  <si>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</si>
  <si>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</si>
  <si>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</si>
  <si>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</si>
  <si>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</si>
  <si>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</si>
  <si>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</si>
  <si>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</si>
  <si>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</si>
  <si>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</si>
  <si>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</si>
  <si>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</si>
  <si>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</si>
  <si>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</si>
  <si>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</si>
  <si>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</si>
  <si>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</si>
  <si>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</si>
  <si>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</si>
  <si>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</si>
  <si>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</si>
  <si>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</si>
  <si>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</si>
  <si>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</si>
  <si>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</si>
  <si>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</si>
  <si>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</si>
  <si>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</si>
  <si>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</si>
  <si>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</si>
  <si>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</si>
  <si>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</si>
  <si>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</si>
  <si>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</si>
  <si>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</si>
  <si>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</si>
  <si>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</si>
  <si>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</si>
  <si>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</si>
  <si>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</si>
  <si>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</si>
  <si>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</si>
  <si>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</si>
  <si>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</si>
  <si>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</si>
  <si>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</si>
  <si>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</si>
  <si>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</si>
  <si>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</si>
  <si>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</si>
  <si>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</si>
  <si>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</si>
  <si>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</si>
  <si>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</si>
  <si>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</si>
  <si>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</si>
  <si>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</si>
  <si>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</si>
  <si>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</si>
  <si>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</si>
  <si>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</si>
  <si>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</si>
  <si>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</si>
  <si>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</si>
  <si>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</si>
  <si>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</si>
  <si>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</si>
  <si>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</si>
  <si>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</si>
  <si>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</si>
  <si>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</si>
  <si>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</si>
  <si>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</si>
  <si>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</si>
  <si>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</si>
  <si>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</si>
  <si>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</si>
  <si>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</si>
  <si>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</si>
  <si>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</si>
  <si>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</si>
  <si>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</si>
  <si>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</si>
  <si>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</si>
  <si>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</si>
  <si>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</si>
  <si>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</si>
  <si>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</si>
  <si>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</si>
  <si>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</si>
  <si>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</si>
  <si>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</si>
  <si>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</si>
  <si>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</si>
  <si>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</si>
  <si>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</si>
  <si>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</si>
  <si>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</si>
  <si>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</si>
  <si>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</si>
  <si>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</si>
  <si>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</si>
  <si>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</si>
  <si>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</si>
  <si>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</si>
  <si>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</si>
  <si>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</si>
  <si>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</si>
  <si>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</si>
  <si>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</si>
  <si>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</si>
  <si>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</si>
  <si>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</si>
  <si>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</si>
  <si>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</si>
  <si>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</si>
  <si>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</si>
  <si>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</si>
  <si>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</si>
  <si>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</si>
  <si>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</si>
  <si>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</si>
  <si>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</si>
  <si>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</si>
  <si>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</si>
  <si>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</si>
  <si>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</si>
  <si>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</si>
  <si>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</si>
  <si>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</si>
  <si>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</si>
  <si>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</si>
  <si>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</si>
  <si>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</si>
  <si>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</si>
  <si>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</si>
  <si>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</si>
  <si>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</si>
  <si>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</si>
  <si>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</si>
  <si>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</si>
  <si>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</si>
  <si>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</si>
  <si>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</si>
  <si>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</si>
  <si>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</si>
  <si>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</si>
  <si>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</si>
  <si>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</si>
  <si>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</si>
  <si>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</si>
  <si>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</si>
  <si>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</si>
  <si>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</si>
  <si>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</si>
  <si>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</si>
  <si>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</si>
  <si>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</si>
  <si>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</si>
  <si>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</si>
  <si>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</si>
  <si>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</si>
  <si>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</si>
  <si>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</si>
  <si>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</si>
  <si>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</si>
  <si>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</si>
  <si>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</si>
  <si>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</si>
  <si>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</si>
  <si>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</si>
  <si>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</si>
  <si>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</si>
  <si>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</si>
  <si>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</si>
  <si>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</si>
  <si>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</si>
  <si>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</si>
  <si>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</si>
  <si>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</si>
  <si>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</si>
  <si>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</si>
  <si>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</si>
  <si>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</si>
  <si>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</si>
  <si>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</si>
  <si>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</si>
  <si>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</si>
  <si>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</si>
  <si>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</si>
  <si>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</si>
  <si>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</si>
  <si>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</si>
  <si>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</si>
  <si>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</si>
  <si>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</si>
  <si>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</si>
  <si>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</si>
  <si>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</si>
  <si>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</si>
  <si>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</si>
  <si>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</si>
  <si>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</si>
  <si>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</si>
  <si>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</si>
  <si>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</si>
  <si>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</si>
  <si>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</si>
  <si>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</si>
  <si>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</si>
  <si>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</si>
  <si>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</si>
  <si>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</si>
  <si>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</si>
  <si>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</si>
  <si>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</si>
  <si>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</si>
  <si>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</si>
  <si>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</si>
  <si>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</si>
  <si>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</si>
  <si>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</si>
  <si>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</si>
  <si>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</si>
  <si>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</si>
  <si>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</si>
  <si>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</si>
  <si>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</si>
  <si>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</si>
  <si>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</si>
  <si>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</si>
  <si>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</si>
  <si>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</si>
  <si>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</si>
  <si>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</si>
  <si>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</si>
  <si>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</si>
  <si>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</si>
  <si>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</si>
  <si>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</si>
  <si>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</si>
  <si>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</si>
  <si>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</si>
  <si>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</si>
  <si>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</si>
  <si>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</si>
  <si>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</si>
  <si>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</si>
  <si>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</si>
  <si>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</si>
  <si>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</si>
  <si>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</si>
  <si>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</si>
  <si>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</si>
  <si>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</si>
  <si>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</si>
  <si>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</si>
  <si>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</si>
  <si>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</si>
  <si>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</si>
  <si>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</si>
  <si>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</si>
  <si>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</si>
  <si>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</si>
  <si>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</si>
  <si>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</si>
  <si>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</si>
  <si>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</si>
  <si>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</si>
  <si>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</si>
  <si>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</si>
  <si>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</si>
  <si>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</si>
  <si>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</si>
  <si>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</si>
  <si>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</si>
  <si>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</si>
  <si>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</si>
  <si>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</si>
  <si>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</si>
  <si>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</si>
  <si>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</si>
  <si>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</si>
  <si>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</si>
  <si>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</si>
  <si>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</si>
  <si>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</si>
  <si>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</si>
  <si>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</si>
  <si>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</si>
  <si>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</si>
  <si>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</si>
  <si>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</si>
  <si>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</si>
  <si>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</si>
  <si>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</si>
  <si>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</si>
  <si>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</si>
  <si>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</si>
  <si>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</si>
  <si>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</si>
  <si>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</si>
  <si>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</si>
  <si>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</si>
  <si>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</si>
  <si>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</si>
  <si>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</si>
  <si>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33039</t>
  </si>
  <si>
    <t>HEUVELLAND</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</si>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</sst>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77110.879116134078</c:v>
                </c:pt>
                <c:pt idx="1">
                  <c:v>18235.990814455032</c:v>
                </c:pt>
                <c:pt idx="2">
                  <c:v>662.04300000000001</c:v>
                </c:pt>
                <c:pt idx="3">
                  <c:v>29678.186714020394</c:v>
                </c:pt>
                <c:pt idx="4">
                  <c:v>339123.91965661594</c:v>
                </c:pt>
                <c:pt idx="5">
                  <c:v>32326.875756325826</c:v>
                </c:pt>
                <c:pt idx="6">
                  <c:v>263.05513211004285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77110.879116134078</c:v>
                </c:pt>
                <c:pt idx="1">
                  <c:v>18235.990814455032</c:v>
                </c:pt>
                <c:pt idx="2">
                  <c:v>662.04300000000001</c:v>
                </c:pt>
                <c:pt idx="3">
                  <c:v>29678.186714020394</c:v>
                </c:pt>
                <c:pt idx="4">
                  <c:v>339123.91965661594</c:v>
                </c:pt>
                <c:pt idx="5">
                  <c:v>32326.875756325826</c:v>
                </c:pt>
                <c:pt idx="6">
                  <c:v>263.05513211004285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14250.132705466767</c:v>
                </c:pt>
                <c:pt idx="1">
                  <c:v>3736.656652159666</c:v>
                </c:pt>
                <c:pt idx="2">
                  <c:v>140.78161029886417</c:v>
                </c:pt>
                <c:pt idx="3">
                  <c:v>7690.2688116779063</c:v>
                </c:pt>
                <c:pt idx="4">
                  <c:v>68957.583522323417</c:v>
                </c:pt>
                <c:pt idx="5">
                  <c:v>8027.9503078523849</c:v>
                </c:pt>
                <c:pt idx="6">
                  <c:v>66.620511857008907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14250.132705466767</c:v>
                </c:pt>
                <c:pt idx="1">
                  <c:v>3736.656652159666</c:v>
                </c:pt>
                <c:pt idx="2">
                  <c:v>140.78161029886417</c:v>
                </c:pt>
                <c:pt idx="3">
                  <c:v>7690.2688116779063</c:v>
                </c:pt>
                <c:pt idx="4">
                  <c:v>68957.583522323417</c:v>
                </c:pt>
                <c:pt idx="5">
                  <c:v>8027.9503078523849</c:v>
                </c:pt>
                <c:pt idx="6">
                  <c:v>66.620511857008907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33039</v>
      </c>
      <c r="B6" s="392"/>
      <c r="C6" s="393"/>
    </row>
    <row r="7" spans="1:7" s="390" customFormat="1" ht="15.75" customHeight="1">
      <c r="A7" s="394" t="str">
        <f>txtMunicipality</f>
        <v>HEUVELLAND</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0.21264723031413996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0.21264723031413996</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3309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7786.35</v>
      </c>
      <c r="C14" s="332"/>
      <c r="D14" s="332"/>
      <c r="E14" s="332"/>
      <c r="F14" s="332"/>
    </row>
    <row r="15" spans="1:6">
      <c r="A15" s="1310" t="s">
        <v>183</v>
      </c>
      <c r="B15" s="1311">
        <v>132</v>
      </c>
      <c r="C15" s="332"/>
      <c r="D15" s="332"/>
      <c r="E15" s="332"/>
      <c r="F15" s="332"/>
    </row>
    <row r="16" spans="1:6">
      <c r="A16" s="1310" t="s">
        <v>6</v>
      </c>
      <c r="B16" s="1311">
        <v>4158</v>
      </c>
      <c r="C16" s="332"/>
      <c r="D16" s="332"/>
      <c r="E16" s="332"/>
      <c r="F16" s="332"/>
    </row>
    <row r="17" spans="1:6">
      <c r="A17" s="1310" t="s">
        <v>7</v>
      </c>
      <c r="B17" s="1311">
        <v>2316</v>
      </c>
      <c r="C17" s="332"/>
      <c r="D17" s="332"/>
      <c r="E17" s="332"/>
      <c r="F17" s="332"/>
    </row>
    <row r="18" spans="1:6">
      <c r="A18" s="1310" t="s">
        <v>8</v>
      </c>
      <c r="B18" s="1311">
        <v>3840</v>
      </c>
      <c r="C18" s="332"/>
      <c r="D18" s="332"/>
      <c r="E18" s="332"/>
      <c r="F18" s="332"/>
    </row>
    <row r="19" spans="1:6">
      <c r="A19" s="1310" t="s">
        <v>9</v>
      </c>
      <c r="B19" s="1311">
        <v>4000</v>
      </c>
      <c r="C19" s="332"/>
      <c r="D19" s="332"/>
      <c r="E19" s="332"/>
      <c r="F19" s="332"/>
    </row>
    <row r="20" spans="1:6">
      <c r="A20" s="1310" t="s">
        <v>10</v>
      </c>
      <c r="B20" s="1311">
        <v>2105</v>
      </c>
      <c r="C20" s="332"/>
      <c r="D20" s="332"/>
      <c r="E20" s="332"/>
      <c r="F20" s="332"/>
    </row>
    <row r="21" spans="1:6">
      <c r="A21" s="1310" t="s">
        <v>11</v>
      </c>
      <c r="B21" s="1311">
        <v>24871</v>
      </c>
      <c r="C21" s="332"/>
      <c r="D21" s="332"/>
      <c r="E21" s="332"/>
      <c r="F21" s="332"/>
    </row>
    <row r="22" spans="1:6">
      <c r="A22" s="1310" t="s">
        <v>12</v>
      </c>
      <c r="B22" s="1311">
        <v>65638</v>
      </c>
      <c r="C22" s="332"/>
      <c r="D22" s="332"/>
      <c r="E22" s="332"/>
      <c r="F22" s="332"/>
    </row>
    <row r="23" spans="1:6">
      <c r="A23" s="1310" t="s">
        <v>13</v>
      </c>
      <c r="B23" s="1311">
        <v>850</v>
      </c>
      <c r="C23" s="332"/>
      <c r="D23" s="332"/>
      <c r="E23" s="332"/>
      <c r="F23" s="332"/>
    </row>
    <row r="24" spans="1:6">
      <c r="A24" s="1310" t="s">
        <v>14</v>
      </c>
      <c r="B24" s="1311">
        <v>45</v>
      </c>
      <c r="C24" s="332"/>
      <c r="D24" s="332"/>
      <c r="E24" s="332"/>
      <c r="F24" s="332"/>
    </row>
    <row r="25" spans="1:6">
      <c r="A25" s="1310" t="s">
        <v>15</v>
      </c>
      <c r="B25" s="1311">
        <v>5559</v>
      </c>
      <c r="C25" s="332"/>
      <c r="D25" s="332"/>
      <c r="E25" s="332"/>
      <c r="F25" s="332"/>
    </row>
    <row r="26" spans="1:6">
      <c r="A26" s="1310" t="s">
        <v>16</v>
      </c>
      <c r="B26" s="1311">
        <v>615</v>
      </c>
      <c r="C26" s="332"/>
      <c r="D26" s="332"/>
      <c r="E26" s="332"/>
      <c r="F26" s="332"/>
    </row>
    <row r="27" spans="1:6">
      <c r="A27" s="1310" t="s">
        <v>17</v>
      </c>
      <c r="B27" s="1311">
        <v>11</v>
      </c>
      <c r="C27" s="332"/>
      <c r="D27" s="332"/>
      <c r="E27" s="332"/>
      <c r="F27" s="332"/>
    </row>
    <row r="28" spans="1:6" s="43" customFormat="1">
      <c r="A28" s="1312" t="s">
        <v>18</v>
      </c>
      <c r="B28" s="1313">
        <v>383242</v>
      </c>
      <c r="C28" s="338"/>
      <c r="D28" s="338"/>
      <c r="E28" s="338"/>
      <c r="F28" s="338"/>
    </row>
    <row r="29" spans="1:6">
      <c r="A29" s="1312" t="s">
        <v>699</v>
      </c>
      <c r="B29" s="1313">
        <v>206</v>
      </c>
      <c r="C29" s="338"/>
      <c r="D29" s="338"/>
      <c r="E29" s="338"/>
      <c r="F29" s="338"/>
    </row>
    <row r="30" spans="1:6">
      <c r="A30" s="1305" t="s">
        <v>700</v>
      </c>
      <c r="B30" s="1314">
        <v>36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4</v>
      </c>
      <c r="F36" s="1311">
        <v>11509.535998900499</v>
      </c>
    </row>
    <row r="37" spans="1:6">
      <c r="A37" s="1310" t="s">
        <v>24</v>
      </c>
      <c r="B37" s="1310" t="s">
        <v>27</v>
      </c>
      <c r="C37" s="1311">
        <v>0</v>
      </c>
      <c r="D37" s="1311">
        <v>0</v>
      </c>
      <c r="E37" s="1311">
        <v>0</v>
      </c>
      <c r="F37" s="1311">
        <v>0</v>
      </c>
    </row>
    <row r="38" spans="1:6">
      <c r="A38" s="1310" t="s">
        <v>24</v>
      </c>
      <c r="B38" s="1310" t="s">
        <v>28</v>
      </c>
      <c r="C38" s="1311">
        <v>1</v>
      </c>
      <c r="D38" s="1311">
        <v>4530.2145961828001</v>
      </c>
      <c r="E38" s="1311">
        <v>0</v>
      </c>
      <c r="F38" s="1311">
        <v>0</v>
      </c>
    </row>
    <row r="39" spans="1:6">
      <c r="A39" s="1310" t="s">
        <v>29</v>
      </c>
      <c r="B39" s="1310" t="s">
        <v>30</v>
      </c>
      <c r="C39" s="1311">
        <v>1720</v>
      </c>
      <c r="D39" s="1311">
        <v>25182709.550746702</v>
      </c>
      <c r="E39" s="1311">
        <v>3069</v>
      </c>
      <c r="F39" s="1311">
        <v>10636275.787737999</v>
      </c>
    </row>
    <row r="40" spans="1:6">
      <c r="A40" s="1310" t="s">
        <v>29</v>
      </c>
      <c r="B40" s="1310" t="s">
        <v>28</v>
      </c>
      <c r="C40" s="1311">
        <v>0</v>
      </c>
      <c r="D40" s="1311">
        <v>0</v>
      </c>
      <c r="E40" s="1311">
        <v>0</v>
      </c>
      <c r="F40" s="1311">
        <v>0</v>
      </c>
    </row>
    <row r="41" spans="1:6">
      <c r="A41" s="1310" t="s">
        <v>31</v>
      </c>
      <c r="B41" s="1310" t="s">
        <v>32</v>
      </c>
      <c r="C41" s="1311">
        <v>70</v>
      </c>
      <c r="D41" s="1311">
        <v>1069953.07426926</v>
      </c>
      <c r="E41" s="1311">
        <v>123</v>
      </c>
      <c r="F41" s="1311">
        <v>506071.861554462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10</v>
      </c>
      <c r="F44" s="1311">
        <v>164360.640118348</v>
      </c>
    </row>
    <row r="45" spans="1:6">
      <c r="A45" s="1310" t="s">
        <v>31</v>
      </c>
      <c r="B45" s="1310" t="s">
        <v>36</v>
      </c>
      <c r="C45" s="1311">
        <v>0</v>
      </c>
      <c r="D45" s="1311">
        <v>0</v>
      </c>
      <c r="E45" s="1311">
        <v>3</v>
      </c>
      <c r="F45" s="1311">
        <v>475346.04549461801</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100905.605095448</v>
      </c>
      <c r="E48" s="1311">
        <v>1</v>
      </c>
      <c r="F48" s="1311">
        <v>8605.9684550975999</v>
      </c>
    </row>
    <row r="49" spans="1:6">
      <c r="A49" s="1310" t="s">
        <v>31</v>
      </c>
      <c r="B49" s="1310" t="s">
        <v>39</v>
      </c>
      <c r="C49" s="1311">
        <v>0</v>
      </c>
      <c r="D49" s="1311">
        <v>0</v>
      </c>
      <c r="E49" s="1311">
        <v>0</v>
      </c>
      <c r="F49" s="1311">
        <v>0</v>
      </c>
    </row>
    <row r="50" spans="1:6">
      <c r="A50" s="1310" t="s">
        <v>31</v>
      </c>
      <c r="B50" s="1310" t="s">
        <v>40</v>
      </c>
      <c r="C50" s="1311">
        <v>7</v>
      </c>
      <c r="D50" s="1311">
        <v>277006171.37970501</v>
      </c>
      <c r="E50" s="1311">
        <v>17</v>
      </c>
      <c r="F50" s="1311">
        <v>82260479.324659497</v>
      </c>
    </row>
    <row r="51" spans="1:6">
      <c r="A51" s="1310" t="s">
        <v>41</v>
      </c>
      <c r="B51" s="1310" t="s">
        <v>42</v>
      </c>
      <c r="C51" s="1311">
        <v>20</v>
      </c>
      <c r="D51" s="1311">
        <v>349859.83621772903</v>
      </c>
      <c r="E51" s="1311">
        <v>229</v>
      </c>
      <c r="F51" s="1311">
        <v>6461503.4573617103</v>
      </c>
    </row>
    <row r="52" spans="1:6">
      <c r="A52" s="1310" t="s">
        <v>41</v>
      </c>
      <c r="B52" s="1310" t="s">
        <v>28</v>
      </c>
      <c r="C52" s="1311">
        <v>0</v>
      </c>
      <c r="D52" s="1311">
        <v>0</v>
      </c>
      <c r="E52" s="1311">
        <v>0</v>
      </c>
      <c r="F52" s="1311">
        <v>0</v>
      </c>
    </row>
    <row r="53" spans="1:6">
      <c r="A53" s="1310" t="s">
        <v>43</v>
      </c>
      <c r="B53" s="1310" t="s">
        <v>44</v>
      </c>
      <c r="C53" s="1311">
        <v>46</v>
      </c>
      <c r="D53" s="1311">
        <v>732583.14366202103</v>
      </c>
      <c r="E53" s="1311">
        <v>130</v>
      </c>
      <c r="F53" s="1311">
        <v>465806.30387342098</v>
      </c>
    </row>
    <row r="54" spans="1:6">
      <c r="A54" s="1310" t="s">
        <v>45</v>
      </c>
      <c r="B54" s="1310" t="s">
        <v>46</v>
      </c>
      <c r="C54" s="1311">
        <v>0</v>
      </c>
      <c r="D54" s="1311">
        <v>0</v>
      </c>
      <c r="E54" s="1311">
        <v>1</v>
      </c>
      <c r="F54" s="1311">
        <v>662043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68</v>
      </c>
      <c r="D57" s="1311">
        <v>2350268.7637513401</v>
      </c>
      <c r="E57" s="1311">
        <v>117</v>
      </c>
      <c r="F57" s="1311">
        <v>1277314.8557475701</v>
      </c>
    </row>
    <row r="58" spans="1:6">
      <c r="A58" s="1310" t="s">
        <v>48</v>
      </c>
      <c r="B58" s="1310" t="s">
        <v>50</v>
      </c>
      <c r="C58" s="1311">
        <v>16</v>
      </c>
      <c r="D58" s="1311">
        <v>500024.837970772</v>
      </c>
      <c r="E58" s="1311">
        <v>28</v>
      </c>
      <c r="F58" s="1311">
        <v>255977.328207838</v>
      </c>
    </row>
    <row r="59" spans="1:6">
      <c r="A59" s="1310" t="s">
        <v>48</v>
      </c>
      <c r="B59" s="1310" t="s">
        <v>51</v>
      </c>
      <c r="C59" s="1311">
        <v>43</v>
      </c>
      <c r="D59" s="1311">
        <v>1289227.72805235</v>
      </c>
      <c r="E59" s="1311">
        <v>113</v>
      </c>
      <c r="F59" s="1311">
        <v>2218354.0725850901</v>
      </c>
    </row>
    <row r="60" spans="1:6">
      <c r="A60" s="1310" t="s">
        <v>48</v>
      </c>
      <c r="B60" s="1310" t="s">
        <v>52</v>
      </c>
      <c r="C60" s="1311">
        <v>57</v>
      </c>
      <c r="D60" s="1311">
        <v>3124961.7125556399</v>
      </c>
      <c r="E60" s="1311">
        <v>108</v>
      </c>
      <c r="F60" s="1311">
        <v>2766765.32620101</v>
      </c>
    </row>
    <row r="61" spans="1:6">
      <c r="A61" s="1310" t="s">
        <v>48</v>
      </c>
      <c r="B61" s="1310" t="s">
        <v>53</v>
      </c>
      <c r="C61" s="1311">
        <v>49</v>
      </c>
      <c r="D61" s="1311">
        <v>1557711.6127351101</v>
      </c>
      <c r="E61" s="1311">
        <v>138</v>
      </c>
      <c r="F61" s="1311">
        <v>1333553.1218968499</v>
      </c>
    </row>
    <row r="62" spans="1:6">
      <c r="A62" s="1310" t="s">
        <v>48</v>
      </c>
      <c r="B62" s="1310" t="s">
        <v>54</v>
      </c>
      <c r="C62" s="1311">
        <v>5</v>
      </c>
      <c r="D62" s="1311">
        <v>412715.95835672901</v>
      </c>
      <c r="E62" s="1311">
        <v>8</v>
      </c>
      <c r="F62" s="1311">
        <v>67702.609967588607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5</v>
      </c>
      <c r="F66" s="1311">
        <v>2687.720998018</v>
      </c>
    </row>
    <row r="67" spans="1:6">
      <c r="A67" s="1312" t="s">
        <v>55</v>
      </c>
      <c r="B67" s="1312" t="s">
        <v>58</v>
      </c>
      <c r="C67" s="1311">
        <v>0</v>
      </c>
      <c r="D67" s="1311">
        <v>0</v>
      </c>
      <c r="E67" s="1311">
        <v>0</v>
      </c>
      <c r="F67" s="1311">
        <v>0</v>
      </c>
    </row>
    <row r="68" spans="1:6">
      <c r="A68" s="1305" t="s">
        <v>55</v>
      </c>
      <c r="B68" s="1305" t="s">
        <v>59</v>
      </c>
      <c r="C68" s="1314">
        <v>3</v>
      </c>
      <c r="D68" s="1314">
        <v>37958.896527114797</v>
      </c>
      <c r="E68" s="1314">
        <v>12</v>
      </c>
      <c r="F68" s="1314">
        <v>310702.90380543697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29454754</v>
      </c>
      <c r="E73" s="453"/>
      <c r="F73" s="332"/>
    </row>
    <row r="74" spans="1:6">
      <c r="A74" s="1310" t="s">
        <v>63</v>
      </c>
      <c r="B74" s="1310" t="s">
        <v>648</v>
      </c>
      <c r="C74" s="1324" t="s">
        <v>650</v>
      </c>
      <c r="D74" s="1325">
        <v>2632415.4476373061</v>
      </c>
      <c r="E74" s="453"/>
      <c r="F74" s="332"/>
    </row>
    <row r="75" spans="1:6">
      <c r="A75" s="1310" t="s">
        <v>64</v>
      </c>
      <c r="B75" s="1310" t="s">
        <v>647</v>
      </c>
      <c r="C75" s="1324" t="s">
        <v>651</v>
      </c>
      <c r="D75" s="1325">
        <v>6773676</v>
      </c>
      <c r="E75" s="453"/>
      <c r="F75" s="332"/>
    </row>
    <row r="76" spans="1:6">
      <c r="A76" s="1310" t="s">
        <v>64</v>
      </c>
      <c r="B76" s="1310" t="s">
        <v>648</v>
      </c>
      <c r="C76" s="1324" t="s">
        <v>652</v>
      </c>
      <c r="D76" s="1325">
        <v>206846.44763730606</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72965.104725387893</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3222.788947726066</v>
      </c>
      <c r="C91" s="332"/>
      <c r="D91" s="332"/>
      <c r="E91" s="332"/>
      <c r="F91" s="332"/>
    </row>
    <row r="92" spans="1:6">
      <c r="A92" s="1305" t="s">
        <v>68</v>
      </c>
      <c r="B92" s="1306">
        <v>1040.8056680671541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1025</v>
      </c>
      <c r="C97" s="332"/>
      <c r="D97" s="332"/>
      <c r="E97" s="332"/>
      <c r="F97" s="332"/>
    </row>
    <row r="98" spans="1:6">
      <c r="A98" s="1310" t="s">
        <v>71</v>
      </c>
      <c r="B98" s="1311">
        <v>3</v>
      </c>
      <c r="C98" s="332"/>
      <c r="D98" s="332"/>
      <c r="E98" s="332"/>
      <c r="F98" s="332"/>
    </row>
    <row r="99" spans="1:6">
      <c r="A99" s="1310" t="s">
        <v>72</v>
      </c>
      <c r="B99" s="1311">
        <v>202</v>
      </c>
      <c r="C99" s="332"/>
      <c r="D99" s="332"/>
      <c r="E99" s="332"/>
      <c r="F99" s="332"/>
    </row>
    <row r="100" spans="1:6">
      <c r="A100" s="1310" t="s">
        <v>73</v>
      </c>
      <c r="B100" s="1311">
        <v>175</v>
      </c>
      <c r="C100" s="332"/>
      <c r="D100" s="332"/>
      <c r="E100" s="332"/>
      <c r="F100" s="332"/>
    </row>
    <row r="101" spans="1:6">
      <c r="A101" s="1310" t="s">
        <v>74</v>
      </c>
      <c r="B101" s="1311">
        <v>136</v>
      </c>
      <c r="C101" s="332"/>
      <c r="D101" s="332"/>
      <c r="E101" s="332"/>
      <c r="F101" s="332"/>
    </row>
    <row r="102" spans="1:6">
      <c r="A102" s="1310" t="s">
        <v>75</v>
      </c>
      <c r="B102" s="1311">
        <v>56</v>
      </c>
      <c r="C102" s="332"/>
      <c r="D102" s="332"/>
      <c r="E102" s="332"/>
      <c r="F102" s="332"/>
    </row>
    <row r="103" spans="1:6">
      <c r="A103" s="1310" t="s">
        <v>76</v>
      </c>
      <c r="B103" s="1311">
        <v>271</v>
      </c>
      <c r="C103" s="332"/>
      <c r="D103" s="332"/>
      <c r="E103" s="332"/>
      <c r="F103" s="332"/>
    </row>
    <row r="104" spans="1:6">
      <c r="A104" s="1310" t="s">
        <v>77</v>
      </c>
      <c r="B104" s="1311">
        <v>1200</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8</v>
      </c>
      <c r="C123" s="1311">
        <v>12</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142</v>
      </c>
      <c r="C129" s="332"/>
      <c r="D129" s="332"/>
      <c r="E129" s="332"/>
      <c r="F129" s="332"/>
    </row>
    <row r="130" spans="1:6">
      <c r="A130" s="1310" t="s">
        <v>294</v>
      </c>
      <c r="B130" s="1311">
        <v>6</v>
      </c>
      <c r="C130" s="332"/>
      <c r="D130" s="332"/>
      <c r="E130" s="332"/>
      <c r="F130" s="332"/>
    </row>
    <row r="131" spans="1:6">
      <c r="A131" s="1310" t="s">
        <v>295</v>
      </c>
      <c r="B131" s="1311">
        <v>2</v>
      </c>
      <c r="C131" s="332"/>
      <c r="D131" s="332"/>
      <c r="E131" s="332"/>
      <c r="F131" s="332"/>
    </row>
    <row r="132" spans="1:6">
      <c r="A132" s="1305" t="s">
        <v>296</v>
      </c>
      <c r="B132" s="1306">
        <v>19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112807.42143356301</v>
      </c>
      <c r="C3" s="43" t="s">
        <v>169</v>
      </c>
      <c r="D3" s="43"/>
      <c r="E3" s="154"/>
      <c r="F3" s="43"/>
      <c r="G3" s="43"/>
      <c r="H3" s="43"/>
      <c r="I3" s="43"/>
      <c r="J3" s="43"/>
      <c r="K3" s="96"/>
    </row>
    <row r="4" spans="1:11">
      <c r="A4" s="360" t="s">
        <v>170</v>
      </c>
      <c r="B4" s="49">
        <f>IF(ISERROR('SEAP template'!B78+'SEAP template'!C78),0,'SEAP template'!B78+'SEAP template'!C78)</f>
        <v>4263.5946157932203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0.21264723031413996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662.04300000000001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662.04300000000001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0.21264723031413996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140.78161029886417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10636.275787737999</v>
      </c>
      <c r="C5" s="17">
        <f>IF(ISERROR('Eigen informatie GS &amp; warmtenet'!B59),0,'Eigen informatie GS &amp; warmtenet'!B59)</f>
        <v>0</v>
      </c>
      <c r="D5" s="30">
        <f>(SUM(HH_hh_gas_kWh,HH_rest_gas_kWh)/1000)*0.903</f>
        <v>22739.986724324273</v>
      </c>
      <c r="E5" s="17">
        <f>B46*B57</f>
        <v>11129.795805832471</v>
      </c>
      <c r="F5" s="17">
        <f>B51*B62</f>
        <v>11915.195454339022</v>
      </c>
      <c r="G5" s="18"/>
      <c r="H5" s="17"/>
      <c r="I5" s="17"/>
      <c r="J5" s="17">
        <f>B50*B61+C50*C61</f>
        <v>2829.7819835592386</v>
      </c>
      <c r="K5" s="17"/>
      <c r="L5" s="17"/>
      <c r="M5" s="17"/>
      <c r="N5" s="17">
        <f>B48*B59+C48*C59</f>
        <v>14045.123987302526</v>
      </c>
      <c r="O5" s="17">
        <f>B69*B70*B71</f>
        <v>307.51352400498996</v>
      </c>
      <c r="P5" s="17">
        <f>B77*B78*B79/1000-B77*B78*B79/1000/B80</f>
        <v>284.41690130749561</v>
      </c>
    </row>
    <row r="6" spans="1:16">
      <c r="A6" s="16" t="s">
        <v>612</v>
      </c>
      <c r="B6" s="786">
        <f>kWh_PV_kleiner_dan_10kW</f>
        <v>3222.788947726066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13859.064735464064</v>
      </c>
      <c r="C8" s="21">
        <f>C5</f>
        <v>0</v>
      </c>
      <c r="D8" s="21">
        <f>D5</f>
        <v>22739.986724324273</v>
      </c>
      <c r="E8" s="21">
        <f>E5</f>
        <v>11129.795805832471</v>
      </c>
      <c r="F8" s="21">
        <f>F5</f>
        <v>11915.195454339022</v>
      </c>
      <c r="G8" s="21"/>
      <c r="H8" s="21"/>
      <c r="I8" s="21"/>
      <c r="J8" s="21">
        <f>J5</f>
        <v>2829.7819835592386</v>
      </c>
      <c r="K8" s="21"/>
      <c r="L8" s="21">
        <f>L5</f>
        <v>0</v>
      </c>
      <c r="M8" s="21">
        <f>M5</f>
        <v>0</v>
      </c>
      <c r="N8" s="21">
        <f>N5</f>
        <v>14045.123987302526</v>
      </c>
      <c r="O8" s="21">
        <f>O5</f>
        <v>307.51352400498996</v>
      </c>
      <c r="P8" s="21">
        <f>P5</f>
        <v>284.41690130749561</v>
      </c>
    </row>
    <row r="9" spans="1:16">
      <c r="B9" s="19"/>
      <c r="C9" s="19"/>
      <c r="D9" s="258"/>
      <c r="E9" s="19"/>
      <c r="F9" s="19"/>
      <c r="G9" s="19"/>
      <c r="H9" s="19"/>
      <c r="I9" s="19"/>
      <c r="J9" s="19"/>
      <c r="K9" s="19"/>
      <c r="L9" s="19"/>
      <c r="M9" s="19"/>
      <c r="N9" s="19"/>
      <c r="O9" s="19"/>
      <c r="P9" s="19"/>
    </row>
    <row r="10" spans="1:16">
      <c r="A10" s="24" t="s">
        <v>213</v>
      </c>
      <c r="B10" s="25">
        <f ca="1">'EF ele_warmte'!B12</f>
        <v>0.21264723031413996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2947.0917307408022</v>
      </c>
      <c r="C12" s="23">
        <f ca="1">C10*C8</f>
        <v>0</v>
      </c>
      <c r="D12" s="23">
        <f>D8*D10</f>
        <v>4593.4773183135039</v>
      </c>
      <c r="E12" s="23">
        <f>E10*E8</f>
        <v>2526.4636479239712</v>
      </c>
      <c r="F12" s="23">
        <f>F10*F8</f>
        <v>3181.357186308519</v>
      </c>
      <c r="G12" s="23"/>
      <c r="H12" s="23"/>
      <c r="I12" s="23"/>
      <c r="J12" s="23">
        <f>J10*J8</f>
        <v>1001.7428221799704</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1025</v>
      </c>
      <c r="C18" s="166" t="s">
        <v>110</v>
      </c>
      <c r="D18" s="228"/>
      <c r="E18" s="15"/>
    </row>
    <row r="19" spans="1:7">
      <c r="A19" s="171" t="s">
        <v>71</v>
      </c>
      <c r="B19" s="37">
        <f>aantalw2001_ander</f>
        <v>3</v>
      </c>
      <c r="C19" s="166" t="s">
        <v>110</v>
      </c>
      <c r="D19" s="229"/>
      <c r="E19" s="15"/>
    </row>
    <row r="20" spans="1:7">
      <c r="A20" s="171" t="s">
        <v>72</v>
      </c>
      <c r="B20" s="37">
        <f>aantalw2001_propaan</f>
        <v>202</v>
      </c>
      <c r="C20" s="167">
        <f>IF(ISERROR(B20/SUM($B$20,$B$21,$B$22)*100),0,B20/SUM($B$20,$B$21,$B$22)*100)</f>
        <v>39.376218323586741</v>
      </c>
      <c r="D20" s="229"/>
      <c r="E20" s="15"/>
    </row>
    <row r="21" spans="1:7">
      <c r="A21" s="171" t="s">
        <v>73</v>
      </c>
      <c r="B21" s="37">
        <f>aantalw2001_elektriciteit</f>
        <v>175</v>
      </c>
      <c r="C21" s="167">
        <f>IF(ISERROR(B21/SUM($B$20,$B$21,$B$22)*100),0,B21/SUM($B$20,$B$21,$B$22)*100)</f>
        <v>34.113060428849899</v>
      </c>
      <c r="D21" s="229"/>
      <c r="E21" s="15"/>
    </row>
    <row r="22" spans="1:7">
      <c r="A22" s="171" t="s">
        <v>74</v>
      </c>
      <c r="B22" s="37">
        <f>aantalw2001_hout</f>
        <v>136</v>
      </c>
      <c r="C22" s="167">
        <f>IF(ISERROR(B22/SUM($B$20,$B$21,$B$22)*100),0,B22/SUM($B$20,$B$21,$B$22)*100)</f>
        <v>26.510721247563353</v>
      </c>
      <c r="D22" s="229"/>
      <c r="E22" s="15"/>
    </row>
    <row r="23" spans="1:7">
      <c r="A23" s="171" t="s">
        <v>75</v>
      </c>
      <c r="B23" s="37">
        <f>aantalw2001_niet_gespec</f>
        <v>56</v>
      </c>
      <c r="C23" s="166" t="s">
        <v>110</v>
      </c>
      <c r="D23" s="228"/>
      <c r="E23" s="15"/>
    </row>
    <row r="24" spans="1:7">
      <c r="A24" s="171" t="s">
        <v>76</v>
      </c>
      <c r="B24" s="37">
        <f>aantalw2001_steenkool</f>
        <v>271</v>
      </c>
      <c r="C24" s="166" t="s">
        <v>110</v>
      </c>
      <c r="D24" s="229"/>
      <c r="E24" s="15"/>
    </row>
    <row r="25" spans="1:7">
      <c r="A25" s="171" t="s">
        <v>77</v>
      </c>
      <c r="B25" s="37">
        <f>aantalw2001_stookolie</f>
        <v>1200</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3309</v>
      </c>
      <c r="C28" s="36"/>
      <c r="D28" s="228"/>
    </row>
    <row r="29" spans="1:7" s="15" customFormat="1">
      <c r="A29" s="230" t="s">
        <v>839</v>
      </c>
      <c r="B29" s="37">
        <f>SUM(HH_hh_gas_aantal,HH_rest_gas_aantal)</f>
        <v>1720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1720</v>
      </c>
      <c r="C32" s="167">
        <f>IF(ISERROR(B32/SUM($B$32,$B$34,$B$35,$B$36,$B$38,$B$39)*100),0,B32/SUM($B$32,$B$34,$B$35,$B$36,$B$38,$B$39)*100)</f>
        <v>52.407068860450948</v>
      </c>
      <c r="D32" s="233"/>
      <c r="G32" s="15"/>
    </row>
    <row r="33" spans="1:7">
      <c r="A33" s="171" t="s">
        <v>71</v>
      </c>
      <c r="B33" s="34" t="s">
        <v>110</v>
      </c>
      <c r="C33" s="167"/>
      <c r="D33" s="233"/>
      <c r="G33" s="15"/>
    </row>
    <row r="34" spans="1:7">
      <c r="A34" s="171" t="s">
        <v>72</v>
      </c>
      <c r="B34" s="33">
        <f>IF((($B$28-$B$32-$B$39-$B$77-$B$38)*C20/100)&lt;0,0,($B$28-$B$32-$B$39-$B$77-$B$38)*C20/100)</f>
        <v>309.4970760233918</v>
      </c>
      <c r="C34" s="167">
        <f>IF(ISERROR(B34/SUM($B$32,$B$34,$B$35,$B$36,$B$38,$B$39)*100),0,B34/SUM($B$32,$B$34,$B$35,$B$36,$B$38,$B$39)*100)</f>
        <v>9.4301363809686727</v>
      </c>
      <c r="D34" s="233"/>
      <c r="G34" s="15"/>
    </row>
    <row r="35" spans="1:7">
      <c r="A35" s="171" t="s">
        <v>73</v>
      </c>
      <c r="B35" s="33">
        <f>IF((($B$28-$B$32-$B$39-$B$77-$B$38)*C21/100)&lt;0,0,($B$28-$B$32-$B$39-$B$77-$B$38)*C21/100)</f>
        <v>268.12865497076024</v>
      </c>
      <c r="C35" s="167">
        <f>IF(ISERROR(B35/SUM($B$32,$B$34,$B$35,$B$36,$B$38,$B$39)*100),0,B35/SUM($B$32,$B$34,$B$35,$B$36,$B$38,$B$39)*100)</f>
        <v>8.1696726072748405</v>
      </c>
      <c r="D35" s="233"/>
      <c r="G35" s="15"/>
    </row>
    <row r="36" spans="1:7">
      <c r="A36" s="171" t="s">
        <v>74</v>
      </c>
      <c r="B36" s="33">
        <f>IF((($B$28-$B$32-$B$39-$B$77-$B$38)*C22/100)&lt;0,0,($B$28-$B$32-$B$39-$B$77-$B$38)*C22/100)</f>
        <v>208.37426900584796</v>
      </c>
      <c r="C36" s="167">
        <f>IF(ISERROR(B36/SUM($B$32,$B$34,$B$35,$B$36,$B$38,$B$39)*100),0,B36/SUM($B$32,$B$34,$B$35,$B$36,$B$38,$B$39)*100)</f>
        <v>6.3490027119393044</v>
      </c>
      <c r="D36" s="233"/>
      <c r="G36" s="15"/>
    </row>
    <row r="37" spans="1:7">
      <c r="A37" s="171" t="s">
        <v>75</v>
      </c>
      <c r="B37" s="34" t="s">
        <v>110</v>
      </c>
      <c r="C37" s="167"/>
      <c r="D37" s="173"/>
      <c r="G37" s="15"/>
    </row>
    <row r="38" spans="1:7">
      <c r="A38" s="171" t="s">
        <v>76</v>
      </c>
      <c r="B38" s="33">
        <f>IF((B24-(B29-B18)*0.1)&lt;0,0,B24-(B29-B18)*0.1)</f>
        <v>201.5</v>
      </c>
      <c r="C38" s="167">
        <f>IF(ISERROR(B38/SUM($B$32,$B$34,$B$35,$B$36,$B$38,$B$39)*100),0,B38/SUM($B$32,$B$34,$B$35,$B$36,$B$38,$B$39)*100)</f>
        <v>6.1395490554539922</v>
      </c>
      <c r="D38" s="234"/>
      <c r="G38" s="15"/>
    </row>
    <row r="39" spans="1:7">
      <c r="A39" s="171" t="s">
        <v>77</v>
      </c>
      <c r="B39" s="33">
        <f>IF((B25-(B29-B18))&lt;0,0,B25-(B29-B18)*0.9)</f>
        <v>574.5</v>
      </c>
      <c r="C39" s="167">
        <f>IF(ISERROR(B39/SUM($B$32,$B$34,$B$35,$B$36,$B$38,$B$39)*100),0,B39/SUM($B$32,$B$34,$B$35,$B$36,$B$38,$B$39)*100)</f>
        <v>17.504570383912249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1720</v>
      </c>
      <c r="C44" s="34" t="s">
        <v>110</v>
      </c>
      <c r="D44" s="174"/>
    </row>
    <row r="45" spans="1:7">
      <c r="A45" s="171" t="s">
        <v>71</v>
      </c>
      <c r="B45" s="33" t="str">
        <f t="shared" si="0"/>
        <v>-</v>
      </c>
      <c r="C45" s="34" t="s">
        <v>110</v>
      </c>
      <c r="D45" s="174"/>
    </row>
    <row r="46" spans="1:7">
      <c r="A46" s="171" t="s">
        <v>72</v>
      </c>
      <c r="B46" s="33">
        <f t="shared" si="0"/>
        <v>309.4970760233918</v>
      </c>
      <c r="C46" s="34" t="s">
        <v>110</v>
      </c>
      <c r="D46" s="174"/>
    </row>
    <row r="47" spans="1:7">
      <c r="A47" s="171" t="s">
        <v>73</v>
      </c>
      <c r="B47" s="33">
        <f t="shared" si="0"/>
        <v>268.12865497076024</v>
      </c>
      <c r="C47" s="34" t="s">
        <v>110</v>
      </c>
      <c r="D47" s="174"/>
    </row>
    <row r="48" spans="1:7">
      <c r="A48" s="171" t="s">
        <v>74</v>
      </c>
      <c r="B48" s="33">
        <f t="shared" si="0"/>
        <v>208.37426900584796</v>
      </c>
      <c r="C48" s="33">
        <f>B48*10</f>
        <v>2083.7426900584796</v>
      </c>
      <c r="D48" s="234"/>
    </row>
    <row r="49" spans="1:6">
      <c r="A49" s="171" t="s">
        <v>75</v>
      </c>
      <c r="B49" s="33" t="str">
        <f t="shared" si="0"/>
        <v>-</v>
      </c>
      <c r="C49" s="34" t="s">
        <v>110</v>
      </c>
      <c r="D49" s="234"/>
    </row>
    <row r="50" spans="1:6">
      <c r="A50" s="171" t="s">
        <v>76</v>
      </c>
      <c r="B50" s="33">
        <f t="shared" si="0"/>
        <v>201.5</v>
      </c>
      <c r="C50" s="33">
        <f>B50*2</f>
        <v>403</v>
      </c>
      <c r="D50" s="234"/>
    </row>
    <row r="51" spans="1:6">
      <c r="A51" s="171" t="s">
        <v>77</v>
      </c>
      <c r="B51" s="33">
        <f t="shared" si="0"/>
        <v>574.5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7919.6673146059466</v>
      </c>
      <c r="C5" s="17">
        <f>IF(ISERROR('Eigen informatie GS &amp; warmtenet'!B60),0,'Eigen informatie GS &amp; warmtenet'!B60)</f>
        <v>0</v>
      </c>
      <c r="D5" s="30">
        <f>SUM(D6:D12)</f>
        <v>8339.1242839200113</v>
      </c>
      <c r="E5" s="17">
        <f>SUM(E6:E12)</f>
        <v>26.409757876697675</v>
      </c>
      <c r="F5" s="17">
        <f>SUM(F6:F12)</f>
        <v>1356.0252687835264</v>
      </c>
      <c r="G5" s="18"/>
      <c r="H5" s="17"/>
      <c r="I5" s="17"/>
      <c r="J5" s="17">
        <f>SUM(J6:J12)</f>
        <v>1.2614531735501268E-2</v>
      </c>
      <c r="K5" s="17"/>
      <c r="L5" s="17"/>
      <c r="M5" s="17"/>
      <c r="N5" s="17">
        <f>SUM(N6:N12)</f>
        <v>460.28973352908054</v>
      </c>
      <c r="O5" s="17">
        <f>B38*B39*B40</f>
        <v>29.383564595046927</v>
      </c>
      <c r="P5" s="17">
        <f>B46*B47*B48/1000-B46*B47*B48/1000/B49</f>
        <v>105.07827661299004</v>
      </c>
      <c r="R5" s="32"/>
    </row>
    <row r="6" spans="1:18">
      <c r="A6" s="32" t="s">
        <v>53</v>
      </c>
      <c r="B6" s="37">
        <f>B26</f>
        <v>1333.5531218968499</v>
      </c>
      <c r="C6" s="33"/>
      <c r="D6" s="37">
        <f>IF(ISERROR(TER_kantoor_gas_kWh/1000),0,TER_kantoor_gas_kWh/1000)*0.903</f>
        <v>1406.6135862998044</v>
      </c>
      <c r="E6" s="33">
        <f>$C$26*'E Balans VL '!I12/100/3.6*1000000</f>
        <v>0.3194876299568129</v>
      </c>
      <c r="F6" s="33">
        <f>$C$26*('E Balans VL '!L12+'E Balans VL '!N12)/100/3.6*1000000</f>
        <v>126.45927624949408</v>
      </c>
      <c r="G6" s="34"/>
      <c r="H6" s="33"/>
      <c r="I6" s="33"/>
      <c r="J6" s="33">
        <f>$C$26*('E Balans VL '!D12+'E Balans VL '!E12)/100/3.6*1000000</f>
        <v>0</v>
      </c>
      <c r="K6" s="33"/>
      <c r="L6" s="33"/>
      <c r="M6" s="33"/>
      <c r="N6" s="33">
        <f>$C$26*'E Balans VL '!Y12/100/3.6*1000000</f>
        <v>0.67737600962755562</v>
      </c>
      <c r="O6" s="33"/>
      <c r="P6" s="33"/>
      <c r="R6" s="32"/>
    </row>
    <row r="7" spans="1:18">
      <c r="A7" s="32" t="s">
        <v>52</v>
      </c>
      <c r="B7" s="37">
        <f t="shared" ref="B7:B12" si="0">B27</f>
        <v>2766.7653262010099</v>
      </c>
      <c r="C7" s="33"/>
      <c r="D7" s="37">
        <f>IF(ISERROR(TER_horeca_gas_kWh/1000),0,TER_horeca_gas_kWh/1000)*0.903</f>
        <v>2821.8404264377432</v>
      </c>
      <c r="E7" s="33">
        <f>$C$27*'E Balans VL '!I9/100/3.6*1000000</f>
        <v>0</v>
      </c>
      <c r="F7" s="33">
        <f>$C$27*('E Balans VL '!L9+'E Balans VL '!N9)/100/3.6*1000000</f>
        <v>226.86825294283943</v>
      </c>
      <c r="G7" s="34"/>
      <c r="H7" s="33"/>
      <c r="I7" s="33"/>
      <c r="J7" s="33">
        <f>$C$27*('E Balans VL '!D9+'E Balans VL '!E9)/100/3.6*1000000</f>
        <v>0</v>
      </c>
      <c r="K7" s="33"/>
      <c r="L7" s="33"/>
      <c r="M7" s="33"/>
      <c r="N7" s="33">
        <f>$C$27*'E Balans VL '!Y9/100/3.6*1000000</f>
        <v>0.84812473295960922</v>
      </c>
      <c r="O7" s="33"/>
      <c r="P7" s="33"/>
      <c r="R7" s="32"/>
    </row>
    <row r="8" spans="1:18">
      <c r="A8" s="6" t="s">
        <v>51</v>
      </c>
      <c r="B8" s="37">
        <f t="shared" si="0"/>
        <v>2218.3540725850899</v>
      </c>
      <c r="C8" s="33"/>
      <c r="D8" s="37">
        <f>IF(ISERROR(TER_handel_gas_kWh/1000),0,TER_handel_gas_kWh/1000)*0.903</f>
        <v>1164.1726384312719</v>
      </c>
      <c r="E8" s="33">
        <f>$C$28*'E Balans VL '!I13/100/3.6*1000000</f>
        <v>7.7963021168361202</v>
      </c>
      <c r="F8" s="33">
        <f>$C$28*('E Balans VL '!L13+'E Balans VL '!N13)/100/3.6*1000000</f>
        <v>202.97541384941417</v>
      </c>
      <c r="G8" s="34"/>
      <c r="H8" s="33"/>
      <c r="I8" s="33"/>
      <c r="J8" s="33">
        <f>$C$28*('E Balans VL '!D13+'E Balans VL '!E13)/100/3.6*1000000</f>
        <v>0</v>
      </c>
      <c r="K8" s="33"/>
      <c r="L8" s="33"/>
      <c r="M8" s="33"/>
      <c r="N8" s="33">
        <f>$C$28*'E Balans VL '!Y13/100/3.6*1000000</f>
        <v>0.80339234137330295</v>
      </c>
      <c r="O8" s="33"/>
      <c r="P8" s="33"/>
      <c r="R8" s="32"/>
    </row>
    <row r="9" spans="1:18">
      <c r="A9" s="32" t="s">
        <v>50</v>
      </c>
      <c r="B9" s="37">
        <f t="shared" si="0"/>
        <v>255.97732820783801</v>
      </c>
      <c r="C9" s="33"/>
      <c r="D9" s="37">
        <f>IF(ISERROR(TER_gezond_gas_kWh/1000),0,TER_gezond_gas_kWh/1000)*0.903</f>
        <v>451.52242868760715</v>
      </c>
      <c r="E9" s="33">
        <f>$C$29*'E Balans VL '!I10/100/3.6*1000000</f>
        <v>0</v>
      </c>
      <c r="F9" s="33">
        <f>$C$29*('E Balans VL '!L10+'E Balans VL '!N10)/100/3.6*1000000</f>
        <v>31.378119939842275</v>
      </c>
      <c r="G9" s="34"/>
      <c r="H9" s="33"/>
      <c r="I9" s="33"/>
      <c r="J9" s="33">
        <f>$C$29*('E Balans VL '!D10+'E Balans VL '!E10)/100/3.6*1000000</f>
        <v>0</v>
      </c>
      <c r="K9" s="33"/>
      <c r="L9" s="33"/>
      <c r="M9" s="33"/>
      <c r="N9" s="33">
        <f>$C$29*'E Balans VL '!Y10/100/3.6*1000000</f>
        <v>1.88765441649391</v>
      </c>
      <c r="O9" s="33"/>
      <c r="P9" s="33"/>
      <c r="R9" s="32"/>
    </row>
    <row r="10" spans="1:18">
      <c r="A10" s="32" t="s">
        <v>49</v>
      </c>
      <c r="B10" s="37">
        <f t="shared" si="0"/>
        <v>1277.3148557475702</v>
      </c>
      <c r="C10" s="33"/>
      <c r="D10" s="37">
        <f>IF(ISERROR(TER_ander_gas_kWh/1000),0,TER_ander_gas_kWh/1000)*0.903</f>
        <v>2122.2926936674598</v>
      </c>
      <c r="E10" s="33">
        <f>$C$30*'E Balans VL '!I14/100/3.6*1000000</f>
        <v>18.293968129904741</v>
      </c>
      <c r="F10" s="33">
        <f>$C$30*('E Balans VL '!L14+'E Balans VL '!N14)/100/3.6*1000000</f>
        <v>760.42896446609893</v>
      </c>
      <c r="G10" s="34"/>
      <c r="H10" s="33"/>
      <c r="I10" s="33"/>
      <c r="J10" s="33">
        <f>$C$30*('E Balans VL '!D14+'E Balans VL '!E14)/100/3.6*1000000</f>
        <v>1.2614531735501268E-2</v>
      </c>
      <c r="K10" s="33"/>
      <c r="L10" s="33"/>
      <c r="M10" s="33"/>
      <c r="N10" s="33">
        <f>$C$30*'E Balans VL '!Y14/100/3.6*1000000</f>
        <v>455.88254325333054</v>
      </c>
      <c r="O10" s="33"/>
      <c r="P10" s="33"/>
      <c r="R10" s="32"/>
    </row>
    <row r="11" spans="1:18">
      <c r="A11" s="32" t="s">
        <v>54</v>
      </c>
      <c r="B11" s="37">
        <f t="shared" si="0"/>
        <v>67.7026099675886</v>
      </c>
      <c r="C11" s="33"/>
      <c r="D11" s="37">
        <f>IF(ISERROR(TER_onderwijs_gas_kWh/1000),0,TER_onderwijs_gas_kWh/1000)*0.903</f>
        <v>372.6825103961263</v>
      </c>
      <c r="E11" s="33">
        <f>$C$31*'E Balans VL '!I11/100/3.6*1000000</f>
        <v>0</v>
      </c>
      <c r="F11" s="33">
        <f>$C$31*('E Balans VL '!L11+'E Balans VL '!N11)/100/3.6*1000000</f>
        <v>7.9152413358374512</v>
      </c>
      <c r="G11" s="34"/>
      <c r="H11" s="33"/>
      <c r="I11" s="33"/>
      <c r="J11" s="33">
        <f>$C$31*('E Balans VL '!D11+'E Balans VL '!E11)/100/3.6*1000000</f>
        <v>0</v>
      </c>
      <c r="K11" s="33"/>
      <c r="L11" s="33"/>
      <c r="M11" s="33"/>
      <c r="N11" s="33">
        <f>$C$31*'E Balans VL '!Y11/100/3.6*1000000</f>
        <v>0.19064277529561321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7919.6673146059466</v>
      </c>
      <c r="C16" s="21">
        <f t="shared" ca="1" si="1"/>
        <v>0</v>
      </c>
      <c r="D16" s="21">
        <f t="shared" ca="1" si="1"/>
        <v>8339.1242839200113</v>
      </c>
      <c r="E16" s="21">
        <f t="shared" si="1"/>
        <v>26.409757876697675</v>
      </c>
      <c r="F16" s="21">
        <f t="shared" ca="1" si="1"/>
        <v>1356.0252687835264</v>
      </c>
      <c r="G16" s="21">
        <f t="shared" si="1"/>
        <v>0</v>
      </c>
      <c r="H16" s="21">
        <f t="shared" si="1"/>
        <v>0</v>
      </c>
      <c r="I16" s="21">
        <f t="shared" si="1"/>
        <v>0</v>
      </c>
      <c r="J16" s="21">
        <f t="shared" si="1"/>
        <v>1.2614531735501268E-2</v>
      </c>
      <c r="K16" s="21">
        <f t="shared" si="1"/>
        <v>0</v>
      </c>
      <c r="L16" s="21">
        <f t="shared" ca="1" si="1"/>
        <v>0</v>
      </c>
      <c r="M16" s="21">
        <f t="shared" si="1"/>
        <v>0</v>
      </c>
      <c r="N16" s="21">
        <f t="shared" ca="1" si="1"/>
        <v>460.28973352908054</v>
      </c>
      <c r="O16" s="21">
        <f>O5</f>
        <v>29.383564595046927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0.21264723031413996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1684.0953194603769</v>
      </c>
      <c r="C20" s="23">
        <f t="shared" ref="C20:P20" ca="1" si="2">C16*C18</f>
        <v>0</v>
      </c>
      <c r="D20" s="23">
        <f t="shared" ca="1" si="2"/>
        <v>1684.5031053518424</v>
      </c>
      <c r="E20" s="23">
        <f t="shared" si="2"/>
        <v>5.9950150380103722</v>
      </c>
      <c r="F20" s="23">
        <f t="shared" ca="1" si="2"/>
        <v>362.05874676520153</v>
      </c>
      <c r="G20" s="23">
        <f t="shared" si="2"/>
        <v>0</v>
      </c>
      <c r="H20" s="23">
        <f t="shared" si="2"/>
        <v>0</v>
      </c>
      <c r="I20" s="23">
        <f t="shared" si="2"/>
        <v>0</v>
      </c>
      <c r="J20" s="23">
        <f t="shared" si="2"/>
        <v>4.4655442343674483E-3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1333.5531218968499</v>
      </c>
      <c r="C26" s="39">
        <f>IF(ISERROR(B26*3.6/1000000/'E Balans VL '!Z12*100),0,B26*3.6/1000000/'E Balans VL '!Z12*100)</f>
        <v>3.760972946495475E-2</v>
      </c>
      <c r="D26" s="237" t="s">
        <v>702</v>
      </c>
      <c r="F26" s="6"/>
    </row>
    <row r="27" spans="1:18">
      <c r="A27" s="231" t="s">
        <v>52</v>
      </c>
      <c r="B27" s="33">
        <f>IF(ISERROR(TER_horeca_ele_kWh/1000),0,TER_horeca_ele_kWh/1000)</f>
        <v>2766.7653262010099</v>
      </c>
      <c r="C27" s="39">
        <f>IF(ISERROR(B27*3.6/1000000/'E Balans VL '!Z9*100),0,B27*3.6/1000000/'E Balans VL '!Z9*100)</f>
        <v>0.20512166011880051</v>
      </c>
      <c r="D27" s="237" t="s">
        <v>702</v>
      </c>
      <c r="F27" s="6"/>
    </row>
    <row r="28" spans="1:18">
      <c r="A28" s="171" t="s">
        <v>51</v>
      </c>
      <c r="B28" s="33">
        <f>IF(ISERROR(TER_handel_ele_kWh/1000),0,TER_handel_ele_kWh/1000)</f>
        <v>2218.3540725850899</v>
      </c>
      <c r="C28" s="39">
        <f>IF(ISERROR(B28*3.6/1000000/'E Balans VL '!Z13*100),0,B28*3.6/1000000/'E Balans VL '!Z13*100)</f>
        <v>6.6456613680920248E-2</v>
      </c>
      <c r="D28" s="237" t="s">
        <v>702</v>
      </c>
      <c r="F28" s="6"/>
    </row>
    <row r="29" spans="1:18">
      <c r="A29" s="231" t="s">
        <v>50</v>
      </c>
      <c r="B29" s="33">
        <f>IF(ISERROR(TER_gezond_ele_kWh/1000),0,TER_gezond_ele_kWh/1000)</f>
        <v>255.97732820783801</v>
      </c>
      <c r="C29" s="39">
        <f>IF(ISERROR(B29*3.6/1000000/'E Balans VL '!Z10*100),0,B29*3.6/1000000/'E Balans VL '!Z10*100)</f>
        <v>2.5311138543021507E-2</v>
      </c>
      <c r="D29" s="237" t="s">
        <v>702</v>
      </c>
      <c r="F29" s="6"/>
    </row>
    <row r="30" spans="1:18">
      <c r="A30" s="231" t="s">
        <v>49</v>
      </c>
      <c r="B30" s="33">
        <f>IF(ISERROR(TER_ander_ele_kWh/1000),0,TER_ander_ele_kWh/1000)</f>
        <v>1277.3148557475702</v>
      </c>
      <c r="C30" s="39">
        <f>IF(ISERROR(B30*3.6/1000000/'E Balans VL '!Z14*100),0,B30*3.6/1000000/'E Balans VL '!Z14*100)</f>
        <v>5.1663611203418155E-2</v>
      </c>
      <c r="D30" s="237" t="s">
        <v>702</v>
      </c>
      <c r="F30" s="6"/>
    </row>
    <row r="31" spans="1:18">
      <c r="A31" s="231" t="s">
        <v>54</v>
      </c>
      <c r="B31" s="33">
        <f>IF(ISERROR(TER_onderwijs_ele_kWh/1000),0,TER_onderwijs_ele_kWh/1000)</f>
        <v>67.7026099675886</v>
      </c>
      <c r="C31" s="39">
        <f>IF(ISERROR(B31*3.6/1000000/'E Balans VL '!Z11*100),0,B31*3.6/1000000/'E Balans VL '!Z11*100)</f>
        <v>1.8600867907102376E-2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6</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83414.863840282022</v>
      </c>
      <c r="C5" s="17">
        <f>IF(ISERROR('Eigen informatie GS &amp; warmtenet'!B61),0,'Eigen informatie GS &amp; warmtenet'!B61)</f>
        <v>0</v>
      </c>
      <c r="D5" s="30">
        <f>SUM(D6:D15)</f>
        <v>251193.85814333998</v>
      </c>
      <c r="E5" s="17">
        <f>SUM(E6:E15)</f>
        <v>135.79796613983785</v>
      </c>
      <c r="F5" s="17">
        <f>SUM(F6:F15)</f>
        <v>1676.4062620503146</v>
      </c>
      <c r="G5" s="18"/>
      <c r="H5" s="17"/>
      <c r="I5" s="17"/>
      <c r="J5" s="17">
        <f>SUM(J6:J15)</f>
        <v>0.16328932337739366</v>
      </c>
      <c r="K5" s="17"/>
      <c r="L5" s="17"/>
      <c r="M5" s="17"/>
      <c r="N5" s="17">
        <f>SUM(N6:N15)</f>
        <v>2702.8301554803902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164.36064011834802</v>
      </c>
      <c r="C8" s="33"/>
      <c r="D8" s="37">
        <f>IF( ISERROR(IND_metaal_Gas_kWH/1000),0,IND_metaal_Gas_kWH/1000)*0.903</f>
        <v>0</v>
      </c>
      <c r="E8" s="33">
        <f>C30*'E Balans VL '!I18/100/3.6*1000000</f>
        <v>0.82873502501038809</v>
      </c>
      <c r="F8" s="33">
        <f>C30*'E Balans VL '!L18/100/3.6*1000000+C30*'E Balans VL '!N18/100/3.6*1000000</f>
        <v>11.229454795804426</v>
      </c>
      <c r="G8" s="34"/>
      <c r="H8" s="33"/>
      <c r="I8" s="33"/>
      <c r="J8" s="40">
        <f>C30*'E Balans VL '!D18/100/3.6*1000000+C30*'E Balans VL '!E18/100/3.6*1000000</f>
        <v>0.14571972760813184</v>
      </c>
      <c r="K8" s="33"/>
      <c r="L8" s="33"/>
      <c r="M8" s="33"/>
      <c r="N8" s="33">
        <f>C30*'E Balans VL '!Y18/100/3.6*1000000</f>
        <v>2.1843538825755502</v>
      </c>
      <c r="O8" s="33"/>
      <c r="P8" s="33"/>
      <c r="R8" s="32"/>
    </row>
    <row r="9" spans="1:18">
      <c r="A9" s="6" t="s">
        <v>32</v>
      </c>
      <c r="B9" s="37">
        <f t="shared" si="0"/>
        <v>506.07186155446198</v>
      </c>
      <c r="C9" s="33"/>
      <c r="D9" s="37">
        <f>IF( ISERROR(IND_andere_gas_kWh/1000),0,IND_andere_gas_kWh/1000)*0.903</f>
        <v>966.1676260651418</v>
      </c>
      <c r="E9" s="33">
        <f>C31*'E Balans VL '!I19/100/3.6*1000000</f>
        <v>1.5952581143162554</v>
      </c>
      <c r="F9" s="33">
        <f>C31*'E Balans VL '!L19/100/3.6*1000000+C31*'E Balans VL '!N19/100/3.6*1000000</f>
        <v>309.79590891326603</v>
      </c>
      <c r="G9" s="34"/>
      <c r="H9" s="33"/>
      <c r="I9" s="33"/>
      <c r="J9" s="40">
        <f>C31*'E Balans VL '!D19/100/3.6*1000000+C31*'E Balans VL '!E19/100/3.6*1000000</f>
        <v>0</v>
      </c>
      <c r="K9" s="33"/>
      <c r="L9" s="33"/>
      <c r="M9" s="33"/>
      <c r="N9" s="33">
        <f>C31*'E Balans VL '!Y19/100/3.6*1000000</f>
        <v>21.220280309910653</v>
      </c>
      <c r="O9" s="33"/>
      <c r="P9" s="33"/>
      <c r="R9" s="32"/>
    </row>
    <row r="10" spans="1:18">
      <c r="A10" s="6" t="s">
        <v>40</v>
      </c>
      <c r="B10" s="37">
        <f t="shared" si="0"/>
        <v>82260.479324659493</v>
      </c>
      <c r="C10" s="33"/>
      <c r="D10" s="37">
        <f>IF( ISERROR(IND_voed_gas_kWh/1000),0,IND_voed_gas_kWh/1000)*0.903</f>
        <v>250136.57275587364</v>
      </c>
      <c r="E10" s="33">
        <f>C32*'E Balans VL '!I20/100/3.6*1000000</f>
        <v>131.10010174678939</v>
      </c>
      <c r="F10" s="33">
        <f>C32*'E Balans VL '!L20/100/3.6*1000000+C32*'E Balans VL '!N20/100/3.6*1000000</f>
        <v>1336.5329556695031</v>
      </c>
      <c r="G10" s="34"/>
      <c r="H10" s="33"/>
      <c r="I10" s="33"/>
      <c r="J10" s="40">
        <f>C32*'E Balans VL '!D20/100/3.6*1000000+C32*'E Balans VL '!E20/100/3.6*1000000</f>
        <v>0</v>
      </c>
      <c r="K10" s="33"/>
      <c r="L10" s="33"/>
      <c r="M10" s="33"/>
      <c r="N10" s="33">
        <f>C32*'E Balans VL '!Y20/100/3.6*1000000</f>
        <v>2598.1967765009244</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475.34604549461801</v>
      </c>
      <c r="C12" s="33"/>
      <c r="D12" s="37">
        <f>IF( ISERROR(IND_min_gas_kWh/1000),0,IND_min_gas_kWh/1000)*0.903</f>
        <v>0</v>
      </c>
      <c r="E12" s="33">
        <f>C34*'E Balans VL '!I22/100/3.6*1000000</f>
        <v>2.0569510550762815</v>
      </c>
      <c r="F12" s="33">
        <f>C34*'E Balans VL '!L22/100/3.6*1000000+C34*'E Balans VL '!N22/100/3.6*1000000</f>
        <v>18.149298798093074</v>
      </c>
      <c r="G12" s="34"/>
      <c r="H12" s="33"/>
      <c r="I12" s="33"/>
      <c r="J12" s="40">
        <f>C34*'E Balans VL '!D22/100/3.6*1000000+C34*'E Balans VL '!E22/100/3.6*1000000</f>
        <v>0</v>
      </c>
      <c r="K12" s="33"/>
      <c r="L12" s="33"/>
      <c r="M12" s="33"/>
      <c r="N12" s="33">
        <f>C34*'E Balans VL '!Y22/100/3.6*1000000</f>
        <v>81.083327513858933</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8.6059684550975994</v>
      </c>
      <c r="C15" s="33"/>
      <c r="D15" s="37">
        <f>IF( ISERROR(IND_rest_gas_kWh/1000),0,IND_rest_gas_kWh/1000)*0.903</f>
        <v>91.11776140118954</v>
      </c>
      <c r="E15" s="33">
        <f>C37*'E Balans VL '!I15/100/3.6*1000000</f>
        <v>0.21692019864555065</v>
      </c>
      <c r="F15" s="33">
        <f>C37*'E Balans VL '!L15/100/3.6*1000000+C37*'E Balans VL '!N15/100/3.6*1000000</f>
        <v>0.69864387364812663</v>
      </c>
      <c r="G15" s="34"/>
      <c r="H15" s="33"/>
      <c r="I15" s="33"/>
      <c r="J15" s="40">
        <f>C37*'E Balans VL '!D15/100/3.6*1000000+C37*'E Balans VL '!E15/100/3.6*1000000</f>
        <v>1.7569595769261818E-2</v>
      </c>
      <c r="K15" s="33"/>
      <c r="L15" s="33"/>
      <c r="M15" s="33"/>
      <c r="N15" s="33">
        <f>C37*'E Balans VL '!Y15/100/3.6*1000000</f>
        <v>0.14541727312062216</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83414.863840282022</v>
      </c>
      <c r="C18" s="21">
        <f>C5+C16</f>
        <v>0</v>
      </c>
      <c r="D18" s="21">
        <f>MAX((D5+D16),0)</f>
        <v>251193.85814333998</v>
      </c>
      <c r="E18" s="21">
        <f>MAX((E5+E16),0)</f>
        <v>135.79796613983785</v>
      </c>
      <c r="F18" s="21">
        <f>MAX((F5+F16),0)</f>
        <v>1676.4062620503146</v>
      </c>
      <c r="G18" s="21"/>
      <c r="H18" s="21"/>
      <c r="I18" s="21"/>
      <c r="J18" s="21">
        <f>MAX((J5+J16),0)</f>
        <v>0.16328932337739366</v>
      </c>
      <c r="K18" s="21"/>
      <c r="L18" s="21">
        <f>MAX((L5+L16),0)</f>
        <v>0</v>
      </c>
      <c r="M18" s="21"/>
      <c r="N18" s="21">
        <f>MAX((N5+N16),0)</f>
        <v>2702.8301554803902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0.21264723031413996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17737.939762667076</v>
      </c>
      <c r="C22" s="23">
        <f ca="1">C18*C20</f>
        <v>0</v>
      </c>
      <c r="D22" s="23">
        <f>D18*D20</f>
        <v>50741.159344954678</v>
      </c>
      <c r="E22" s="23">
        <f>E18*E20</f>
        <v>30.826138313743193</v>
      </c>
      <c r="F22" s="23">
        <f>F18*F20</f>
        <v>447.60047196743403</v>
      </c>
      <c r="G22" s="23"/>
      <c r="H22" s="23"/>
      <c r="I22" s="23"/>
      <c r="J22" s="23">
        <f>J18*J20</f>
        <v>5.7804420475597355E-2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164.36064011834802</v>
      </c>
      <c r="C30" s="39">
        <f>IF(ISERROR(B30*3.6/1000000/'E Balans VL '!Z18*100),0,B30*3.6/1000000/'E Balans VL '!Z18*100)</f>
        <v>8.1584917478891607E-3</v>
      </c>
      <c r="D30" s="237" t="s">
        <v>702</v>
      </c>
    </row>
    <row r="31" spans="1:18">
      <c r="A31" s="6" t="s">
        <v>32</v>
      </c>
      <c r="B31" s="37">
        <f>IF( ISERROR(IND_ander_ele_kWh/1000),0,IND_ander_ele_kWh/1000)</f>
        <v>506.07186155446198</v>
      </c>
      <c r="C31" s="39">
        <f>IF(ISERROR(B31*3.6/1000000/'E Balans VL '!Z19*100),0,B31*3.6/1000000/'E Balans VL '!Z19*100)</f>
        <v>1.7077332054785687E-2</v>
      </c>
      <c r="D31" s="237" t="s">
        <v>702</v>
      </c>
    </row>
    <row r="32" spans="1:18">
      <c r="A32" s="171" t="s">
        <v>40</v>
      </c>
      <c r="B32" s="37">
        <f>IF( ISERROR(IND_voed_ele_kWh/1000),0,IND_voed_ele_kWh/1000)</f>
        <v>82260.479324659493</v>
      </c>
      <c r="C32" s="39">
        <f>IF(ISERROR(B32*3.6/1000000/'E Balans VL '!Z20*100),0,B32*3.6/1000000/'E Balans VL '!Z20*100)</f>
        <v>1.9318308505947117</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475.34604549461801</v>
      </c>
      <c r="C34" s="39">
        <f>IF(ISERROR(B34*3.6/1000000/'E Balans VL '!Z22*100),0,B34*3.6/1000000/'E Balans VL '!Z22*100)</f>
        <v>6.743770404757353E-2</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8.6059684550975994</v>
      </c>
      <c r="C37" s="39">
        <f>IF(ISERROR(B37*3.6/1000000/'E Balans VL '!Z15*100),0,B37*3.6/1000000/'E Balans VL '!Z15*100)</f>
        <v>3.2251118102900852E-5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6461.5034573617104</v>
      </c>
      <c r="C5" s="17">
        <f>'Eigen informatie GS &amp; warmtenet'!B62</f>
        <v>0</v>
      </c>
      <c r="D5" s="30">
        <f>IF(ISERROR(SUM(LB_lb_gas_kWh,LB_rest_gas_kWh)/1000),0,SUM(LB_lb_gas_kWh,LB_rest_gas_kWh)/1000)*0.903</f>
        <v>315.92343210460933</v>
      </c>
      <c r="E5" s="17">
        <f>B17*'E Balans VL '!I25/3.6*1000000/100</f>
        <v>240.96922825419045</v>
      </c>
      <c r="F5" s="17">
        <f>B17*('E Balans VL '!L25/3.6*1000000+'E Balans VL '!N25/3.6*1000000)/100</f>
        <v>20963.614038899923</v>
      </c>
      <c r="G5" s="18"/>
      <c r="H5" s="17"/>
      <c r="I5" s="17"/>
      <c r="J5" s="17">
        <f>('E Balans VL '!D25+'E Balans VL '!E25)/3.6*1000000*landbouw!B17/100</f>
        <v>1696.1765573999614</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6461.5034573617104</v>
      </c>
      <c r="C8" s="21">
        <f>C5+C6</f>
        <v>0</v>
      </c>
      <c r="D8" s="21">
        <f>MAX((D5+D6),0)</f>
        <v>315.92343210460933</v>
      </c>
      <c r="E8" s="21">
        <f>MAX((E5+E6),0)</f>
        <v>240.96922825419045</v>
      </c>
      <c r="F8" s="21">
        <f>MAX((F5+F6),0)</f>
        <v>20963.614038899923</v>
      </c>
      <c r="G8" s="21"/>
      <c r="H8" s="21"/>
      <c r="I8" s="21"/>
      <c r="J8" s="21">
        <f>MAX((J5+J6),0)</f>
        <v>1696.1765573999614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0.21264723031413996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1374.0208138732073</v>
      </c>
      <c r="C12" s="23">
        <f ca="1">C8*C10</f>
        <v>0</v>
      </c>
      <c r="D12" s="23">
        <f>D8*D10</f>
        <v>63.816533285131086</v>
      </c>
      <c r="E12" s="23">
        <f>E8*E10</f>
        <v>54.700014813701237</v>
      </c>
      <c r="F12" s="23">
        <f>F8*F10</f>
        <v>5597.2849483862801</v>
      </c>
      <c r="G12" s="23"/>
      <c r="H12" s="23"/>
      <c r="I12" s="23"/>
      <c r="J12" s="23">
        <f>J8*J10</f>
        <v>600.44650131958633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0.88747063845676399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1437.6294754904231</v>
      </c>
      <c r="C26" s="247">
        <f>B26*'GWP N2O_CH4'!B5</f>
        <v>30190.218985298885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641.38630817028718</v>
      </c>
      <c r="C27" s="247">
        <f>B27*'GWP N2O_CH4'!B5</f>
        <v>13469.112471576031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18.3149714354794</v>
      </c>
      <c r="C28" s="247">
        <f>B28*'GWP N2O_CH4'!B4</f>
        <v>5677.6411449986144</v>
      </c>
      <c r="D28" s="50"/>
    </row>
    <row r="29" spans="1:4">
      <c r="A29" s="41" t="s">
        <v>276</v>
      </c>
      <c r="B29" s="247">
        <f>B34*'ha_N2O bodem landbouw'!B4</f>
        <v>50.546569278692004</v>
      </c>
      <c r="C29" s="247">
        <f>B29*'GWP N2O_CH4'!B4</f>
        <v>15669.436476394521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1.1519707490106754E-2</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8.8102015113003491E-5</v>
      </c>
      <c r="C5" s="440" t="s">
        <v>210</v>
      </c>
      <c r="D5" s="425">
        <f>SUM(D6:D11)</f>
        <v>3.5954967008615293E-4</v>
      </c>
      <c r="E5" s="425">
        <f>SUM(E6:E11)</f>
        <v>1.926803029890709E-4</v>
      </c>
      <c r="F5" s="438" t="s">
        <v>210</v>
      </c>
      <c r="G5" s="425">
        <f>SUM(G6:G11)</f>
        <v>8.636506433704387E-2</v>
      </c>
      <c r="H5" s="425">
        <f>SUM(H6:H11)</f>
        <v>2.2915850677281416E-2</v>
      </c>
      <c r="I5" s="440" t="s">
        <v>210</v>
      </c>
      <c r="J5" s="440" t="s">
        <v>210</v>
      </c>
      <c r="K5" s="440" t="s">
        <v>210</v>
      </c>
      <c r="L5" s="440" t="s">
        <v>210</v>
      </c>
      <c r="M5" s="425">
        <f>SUM(M6:M11)</f>
        <v>6.4555057202594548E-3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7.1629468405277295E-5</v>
      </c>
      <c r="C6" s="426"/>
      <c r="D6" s="893">
        <f>vkm_GW_PW*SUMIFS(TableVerdeelsleutelVkm[CNG],TableVerdeelsleutelVkm[Voertuigtype],"Lichte voertuigen")*SUMIFS(TableECFTransport[EnergieConsumptieFactor (PJ per km)],TableECFTransport[Index],CONCATENATE($A6,"_CNG_CNG"))</f>
        <v>2.5870378072401088E-4</v>
      </c>
      <c r="E6" s="893">
        <f>vkm_GW_PW*SUMIFS(TableVerdeelsleutelVkm[LPG],TableVerdeelsleutelVkm[Voertuigtype],"Lichte voertuigen")*SUMIFS(TableECFTransport[EnergieConsumptieFactor (PJ per km)],TableECFTransport[Index],CONCATENATE($A6,"_LPG_LPG"))</f>
        <v>1.4059886423941189E-4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4.3753500273573991E-2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1.6558943064311434E-2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3.6145150464321979E-3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2.5146949816229863E-2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2.6473559681741489E-7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1.4158126633004842E-3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1.64725467077262E-5</v>
      </c>
      <c r="C8" s="426"/>
      <c r="D8" s="428">
        <f>vkm_NGW_PW*SUMIFS(TableVerdeelsleutelVkm[CNG],TableVerdeelsleutelVkm[Voertuigtype],"Lichte voertuigen")*SUMIFS(TableECFTransport[EnergieConsumptieFactor (PJ per km)],TableECFTransport[Index],CONCATENATE($A8,"_CNG_CNG"))</f>
        <v>1.0084588936214208E-4</v>
      </c>
      <c r="E8" s="428">
        <f>vkm_NGW_PW*SUMIFS(TableVerdeelsleutelVkm[LPG],TableVerdeelsleutelVkm[Voertuigtype],"Lichte voertuigen")*SUMIFS(TableECFTransport[EnergieConsumptieFactor (PJ per km)],TableECFTransport[Index],CONCATENATE($A8,"_LPG_LPG"))</f>
        <v>5.2081438749659025E-5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1.5082797516114509E-2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6.3566064575126049E-3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1.2910772091295928E-3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2.3818167311254988E-3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3.6419860561859274E-8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1.3410080139718031E-4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24.472781975834305</v>
      </c>
      <c r="C14" s="21"/>
      <c r="D14" s="21">
        <f t="shared" ref="D14:M14" si="0">((D5)*10^9/3600)+D12</f>
        <v>99.874908357264701</v>
      </c>
      <c r="E14" s="21">
        <f t="shared" si="0"/>
        <v>53.522306385853035</v>
      </c>
      <c r="F14" s="21"/>
      <c r="G14" s="21">
        <f t="shared" si="0"/>
        <v>23990.29564917885</v>
      </c>
      <c r="H14" s="21">
        <f t="shared" si="0"/>
        <v>6365.5140770226162</v>
      </c>
      <c r="I14" s="21"/>
      <c r="J14" s="21"/>
      <c r="K14" s="21"/>
      <c r="L14" s="21"/>
      <c r="M14" s="21">
        <f t="shared" si="0"/>
        <v>1793.1960334054043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0.21264723031413996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5.204069305242971</v>
      </c>
      <c r="C18" s="23"/>
      <c r="D18" s="23">
        <f t="shared" ref="D18:M18" si="1">D14*D16</f>
        <v>20.17473148816747</v>
      </c>
      <c r="E18" s="23">
        <f t="shared" si="1"/>
        <v>12.14956354958864</v>
      </c>
      <c r="F18" s="23"/>
      <c r="G18" s="23">
        <f t="shared" si="1"/>
        <v>6405.4089383307537</v>
      </c>
      <c r="H18" s="23">
        <f t="shared" si="1"/>
        <v>1585.0130051786314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8.9825409245405257E-4</v>
      </c>
      <c r="H50" s="321">
        <f t="shared" si="2"/>
        <v>0</v>
      </c>
      <c r="I50" s="321">
        <f t="shared" si="2"/>
        <v>0</v>
      </c>
      <c r="J50" s="321">
        <f t="shared" si="2"/>
        <v>0</v>
      </c>
      <c r="K50" s="321">
        <f t="shared" si="2"/>
        <v>0</v>
      </c>
      <c r="L50" s="321">
        <f t="shared" si="2"/>
        <v>0</v>
      </c>
      <c r="M50" s="321">
        <f t="shared" si="2"/>
        <v>4.8744383142101636E-5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8.9825409245405257E-4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4.8744383142101636E-5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249.51502568168127</v>
      </c>
      <c r="H54" s="21">
        <f t="shared" si="3"/>
        <v>0</v>
      </c>
      <c r="I54" s="21">
        <f t="shared" si="3"/>
        <v>0</v>
      </c>
      <c r="J54" s="21">
        <f t="shared" si="3"/>
        <v>0</v>
      </c>
      <c r="K54" s="21">
        <f t="shared" si="3"/>
        <v>0</v>
      </c>
      <c r="L54" s="21">
        <f t="shared" si="3"/>
        <v>0</v>
      </c>
      <c r="M54" s="21">
        <f t="shared" si="3"/>
        <v>13.540106428361566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0.21264723031413996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66.620511857008907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8581.7103146059471</v>
      </c>
      <c r="D10" s="689">
        <f ca="1">tertiair!C16</f>
        <v>0</v>
      </c>
      <c r="E10" s="689">
        <f ca="1">tertiair!D16</f>
        <v>8339.1242839200113</v>
      </c>
      <c r="F10" s="689">
        <f>tertiair!E16</f>
        <v>26.409757876697675</v>
      </c>
      <c r="G10" s="689">
        <f ca="1">tertiair!F16</f>
        <v>1356.0252687835264</v>
      </c>
      <c r="H10" s="689">
        <f>tertiair!G16</f>
        <v>0</v>
      </c>
      <c r="I10" s="689">
        <f>tertiair!H16</f>
        <v>0</v>
      </c>
      <c r="J10" s="689">
        <f>tertiair!I16</f>
        <v>0</v>
      </c>
      <c r="K10" s="689">
        <f>tertiair!J16</f>
        <v>1.2614531735501268E-2</v>
      </c>
      <c r="L10" s="689">
        <f>tertiair!K16</f>
        <v>0</v>
      </c>
      <c r="M10" s="689">
        <f ca="1">tertiair!L16</f>
        <v>0</v>
      </c>
      <c r="N10" s="689">
        <f>tertiair!M16</f>
        <v>0</v>
      </c>
      <c r="O10" s="689">
        <f ca="1">tertiair!N16</f>
        <v>460.28973352908054</v>
      </c>
      <c r="P10" s="689">
        <f>tertiair!O16</f>
        <v>29.383564595046927</v>
      </c>
      <c r="Q10" s="690">
        <f>tertiair!P16</f>
        <v>105.07827661299004</v>
      </c>
      <c r="R10" s="692">
        <f ca="1">SUM(C10:Q10)</f>
        <v>18898.033814455033</v>
      </c>
      <c r="S10" s="67"/>
    </row>
    <row r="11" spans="1:19" s="451" customFormat="1">
      <c r="A11" s="811" t="s">
        <v>224</v>
      </c>
      <c r="B11" s="816"/>
      <c r="C11" s="689">
        <f>huishoudens!B8</f>
        <v>13859.064735464064</v>
      </c>
      <c r="D11" s="689">
        <f>huishoudens!C8</f>
        <v>0</v>
      </c>
      <c r="E11" s="689">
        <f>huishoudens!D8</f>
        <v>22739.986724324273</v>
      </c>
      <c r="F11" s="689">
        <f>huishoudens!E8</f>
        <v>11129.795805832471</v>
      </c>
      <c r="G11" s="689">
        <f>huishoudens!F8</f>
        <v>11915.195454339022</v>
      </c>
      <c r="H11" s="689">
        <f>huishoudens!G8</f>
        <v>0</v>
      </c>
      <c r="I11" s="689">
        <f>huishoudens!H8</f>
        <v>0</v>
      </c>
      <c r="J11" s="689">
        <f>huishoudens!I8</f>
        <v>0</v>
      </c>
      <c r="K11" s="689">
        <f>huishoudens!J8</f>
        <v>2829.7819835592386</v>
      </c>
      <c r="L11" s="689">
        <f>huishoudens!K8</f>
        <v>0</v>
      </c>
      <c r="M11" s="689">
        <f>huishoudens!L8</f>
        <v>0</v>
      </c>
      <c r="N11" s="689">
        <f>huishoudens!M8</f>
        <v>0</v>
      </c>
      <c r="O11" s="689">
        <f>huishoudens!N8</f>
        <v>14045.123987302526</v>
      </c>
      <c r="P11" s="689">
        <f>huishoudens!O8</f>
        <v>307.51352400498996</v>
      </c>
      <c r="Q11" s="690">
        <f>huishoudens!P8</f>
        <v>284.41690130749561</v>
      </c>
      <c r="R11" s="692">
        <f>SUM(C11:Q11)</f>
        <v>77110.879116134078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83414.863840282022</v>
      </c>
      <c r="D13" s="689">
        <f>industrie!C18</f>
        <v>0</v>
      </c>
      <c r="E13" s="689">
        <f>industrie!D18</f>
        <v>251193.85814333998</v>
      </c>
      <c r="F13" s="689">
        <f>industrie!E18</f>
        <v>135.79796613983785</v>
      </c>
      <c r="G13" s="689">
        <f>industrie!F18</f>
        <v>1676.4062620503146</v>
      </c>
      <c r="H13" s="689">
        <f>industrie!G18</f>
        <v>0</v>
      </c>
      <c r="I13" s="689">
        <f>industrie!H18</f>
        <v>0</v>
      </c>
      <c r="J13" s="689">
        <f>industrie!I18</f>
        <v>0</v>
      </c>
      <c r="K13" s="689">
        <f>industrie!J18</f>
        <v>0.16328932337739366</v>
      </c>
      <c r="L13" s="689">
        <f>industrie!K18</f>
        <v>0</v>
      </c>
      <c r="M13" s="689">
        <f>industrie!L18</f>
        <v>0</v>
      </c>
      <c r="N13" s="689">
        <f>industrie!M18</f>
        <v>0</v>
      </c>
      <c r="O13" s="689">
        <f>industrie!N18</f>
        <v>2702.8301554803902</v>
      </c>
      <c r="P13" s="689">
        <f>industrie!O18</f>
        <v>0</v>
      </c>
      <c r="Q13" s="690">
        <f>industrie!P18</f>
        <v>0</v>
      </c>
      <c r="R13" s="692">
        <f>SUM(C13:Q13)</f>
        <v>339123.91965661594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105855.63889035204</v>
      </c>
      <c r="D16" s="725">
        <f t="shared" ref="D16:R16" ca="1" si="0">SUM(D9:D15)</f>
        <v>0</v>
      </c>
      <c r="E16" s="725">
        <f t="shared" ca="1" si="0"/>
        <v>282272.96915158426</v>
      </c>
      <c r="F16" s="725">
        <f t="shared" si="0"/>
        <v>11292.003529849007</v>
      </c>
      <c r="G16" s="725">
        <f t="shared" ca="1" si="0"/>
        <v>14947.626985172861</v>
      </c>
      <c r="H16" s="725">
        <f t="shared" si="0"/>
        <v>0</v>
      </c>
      <c r="I16" s="725">
        <f t="shared" si="0"/>
        <v>0</v>
      </c>
      <c r="J16" s="725">
        <f t="shared" si="0"/>
        <v>0</v>
      </c>
      <c r="K16" s="725">
        <f t="shared" si="0"/>
        <v>2829.9578874143513</v>
      </c>
      <c r="L16" s="725">
        <f t="shared" si="0"/>
        <v>0</v>
      </c>
      <c r="M16" s="725">
        <f t="shared" ca="1" si="0"/>
        <v>0</v>
      </c>
      <c r="N16" s="725">
        <f t="shared" si="0"/>
        <v>0</v>
      </c>
      <c r="O16" s="725">
        <f t="shared" ca="1" si="0"/>
        <v>17208.243876311997</v>
      </c>
      <c r="P16" s="725">
        <f t="shared" si="0"/>
        <v>336.89708860003691</v>
      </c>
      <c r="Q16" s="725">
        <f t="shared" si="0"/>
        <v>389.49517792048562</v>
      </c>
      <c r="R16" s="725">
        <f t="shared" ca="1" si="0"/>
        <v>435132.83258720505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249.51502568168127</v>
      </c>
      <c r="I19" s="689">
        <f>transport!H54</f>
        <v>0</v>
      </c>
      <c r="J19" s="689">
        <f>transport!I54</f>
        <v>0</v>
      </c>
      <c r="K19" s="689">
        <f>transport!J54</f>
        <v>0</v>
      </c>
      <c r="L19" s="689">
        <f>transport!K54</f>
        <v>0</v>
      </c>
      <c r="M19" s="689">
        <f>transport!L54</f>
        <v>0</v>
      </c>
      <c r="N19" s="689">
        <f>transport!M54</f>
        <v>13.540106428361566</v>
      </c>
      <c r="O19" s="689">
        <f>transport!N54</f>
        <v>0</v>
      </c>
      <c r="P19" s="689">
        <f>transport!O54</f>
        <v>0</v>
      </c>
      <c r="Q19" s="690">
        <f>transport!P54</f>
        <v>0</v>
      </c>
      <c r="R19" s="692">
        <f>SUM(C19:Q19)</f>
        <v>263.05513211004285</v>
      </c>
      <c r="S19" s="67"/>
    </row>
    <row r="20" spans="1:19" s="451" customFormat="1">
      <c r="A20" s="811" t="s">
        <v>306</v>
      </c>
      <c r="B20" s="816"/>
      <c r="C20" s="689">
        <f>transport!B14</f>
        <v>24.472781975834305</v>
      </c>
      <c r="D20" s="689">
        <f>transport!C14</f>
        <v>0</v>
      </c>
      <c r="E20" s="689">
        <f>transport!D14</f>
        <v>99.874908357264701</v>
      </c>
      <c r="F20" s="689">
        <f>transport!E14</f>
        <v>53.522306385853035</v>
      </c>
      <c r="G20" s="689">
        <f>transport!F14</f>
        <v>0</v>
      </c>
      <c r="H20" s="689">
        <f>transport!G14</f>
        <v>23990.29564917885</v>
      </c>
      <c r="I20" s="689">
        <f>transport!H14</f>
        <v>6365.5140770226162</v>
      </c>
      <c r="J20" s="689">
        <f>transport!I14</f>
        <v>0</v>
      </c>
      <c r="K20" s="689">
        <f>transport!J14</f>
        <v>0</v>
      </c>
      <c r="L20" s="689">
        <f>transport!K14</f>
        <v>0</v>
      </c>
      <c r="M20" s="689">
        <f>transport!L14</f>
        <v>0</v>
      </c>
      <c r="N20" s="689">
        <f>transport!M14</f>
        <v>1793.1960334054043</v>
      </c>
      <c r="O20" s="689">
        <f>transport!N14</f>
        <v>0</v>
      </c>
      <c r="P20" s="689">
        <f>transport!O14</f>
        <v>0</v>
      </c>
      <c r="Q20" s="690">
        <f>transport!P14</f>
        <v>0</v>
      </c>
      <c r="R20" s="692">
        <f>SUM(C20:Q20)</f>
        <v>32326.875756325826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24.472781975834305</v>
      </c>
      <c r="D22" s="814">
        <f t="shared" ref="D22:R22" si="1">SUM(D18:D21)</f>
        <v>0</v>
      </c>
      <c r="E22" s="814">
        <f t="shared" si="1"/>
        <v>99.874908357264701</v>
      </c>
      <c r="F22" s="814">
        <f t="shared" si="1"/>
        <v>53.522306385853035</v>
      </c>
      <c r="G22" s="814">
        <f t="shared" si="1"/>
        <v>0</v>
      </c>
      <c r="H22" s="814">
        <f t="shared" si="1"/>
        <v>24239.810674860531</v>
      </c>
      <c r="I22" s="814">
        <f t="shared" si="1"/>
        <v>6365.5140770226162</v>
      </c>
      <c r="J22" s="814">
        <f t="shared" si="1"/>
        <v>0</v>
      </c>
      <c r="K22" s="814">
        <f t="shared" si="1"/>
        <v>0</v>
      </c>
      <c r="L22" s="814">
        <f t="shared" si="1"/>
        <v>0</v>
      </c>
      <c r="M22" s="814">
        <f t="shared" si="1"/>
        <v>0</v>
      </c>
      <c r="N22" s="814">
        <f t="shared" si="1"/>
        <v>1806.7361398337657</v>
      </c>
      <c r="O22" s="814">
        <f t="shared" si="1"/>
        <v>0</v>
      </c>
      <c r="P22" s="814">
        <f t="shared" si="1"/>
        <v>0</v>
      </c>
      <c r="Q22" s="814">
        <f t="shared" si="1"/>
        <v>0</v>
      </c>
      <c r="R22" s="814">
        <f t="shared" si="1"/>
        <v>32589.930888435869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6461.5034573617104</v>
      </c>
      <c r="D24" s="689">
        <f>+landbouw!C8</f>
        <v>0</v>
      </c>
      <c r="E24" s="689">
        <f>+landbouw!D8</f>
        <v>315.92343210460933</v>
      </c>
      <c r="F24" s="689">
        <f>+landbouw!E8</f>
        <v>240.96922825419045</v>
      </c>
      <c r="G24" s="689">
        <f>+landbouw!F8</f>
        <v>20963.614038899923</v>
      </c>
      <c r="H24" s="689">
        <f>+landbouw!G8</f>
        <v>0</v>
      </c>
      <c r="I24" s="689">
        <f>+landbouw!H8</f>
        <v>0</v>
      </c>
      <c r="J24" s="689">
        <f>+landbouw!I8</f>
        <v>0</v>
      </c>
      <c r="K24" s="689">
        <f>+landbouw!J8</f>
        <v>1696.1765573999614</v>
      </c>
      <c r="L24" s="689">
        <f>+landbouw!K8</f>
        <v>0</v>
      </c>
      <c r="M24" s="689">
        <f>+landbouw!L8</f>
        <v>0</v>
      </c>
      <c r="N24" s="689">
        <f>+landbouw!M8</f>
        <v>0</v>
      </c>
      <c r="O24" s="689">
        <f>+landbouw!N8</f>
        <v>0</v>
      </c>
      <c r="P24" s="689">
        <f>+landbouw!O8</f>
        <v>0</v>
      </c>
      <c r="Q24" s="690">
        <f>+landbouw!P8</f>
        <v>0</v>
      </c>
      <c r="R24" s="692">
        <f>SUM(C24:Q24)</f>
        <v>29678.186714020394</v>
      </c>
      <c r="S24" s="67"/>
    </row>
    <row r="25" spans="1:19" s="451" customFormat="1" ht="15" thickBot="1">
      <c r="A25" s="833" t="s">
        <v>714</v>
      </c>
      <c r="B25" s="947"/>
      <c r="C25" s="948">
        <f>IF(Onbekend_ele_kWh="---",0,Onbekend_ele_kWh)/1000+IF(REST_rest_ele_kWh="---",0,REST_rest_ele_kWh)/1000</f>
        <v>465.80630387342097</v>
      </c>
      <c r="D25" s="948"/>
      <c r="E25" s="948">
        <f>IF(onbekend_gas_kWh="---",0,onbekend_gas_kWh)/1000+IF(REST_rest_gas_kWh="---",0,REST_rest_gas_kWh)/1000</f>
        <v>732.58314366202103</v>
      </c>
      <c r="F25" s="948"/>
      <c r="G25" s="948"/>
      <c r="H25" s="948"/>
      <c r="I25" s="948"/>
      <c r="J25" s="948"/>
      <c r="K25" s="948"/>
      <c r="L25" s="948"/>
      <c r="M25" s="948"/>
      <c r="N25" s="948"/>
      <c r="O25" s="948"/>
      <c r="P25" s="948"/>
      <c r="Q25" s="949"/>
      <c r="R25" s="692">
        <f>SUM(C25:Q25)</f>
        <v>1198.3894475354421</v>
      </c>
      <c r="S25" s="67"/>
    </row>
    <row r="26" spans="1:19" s="451" customFormat="1" ht="15.75" thickBot="1">
      <c r="A26" s="697" t="s">
        <v>715</v>
      </c>
      <c r="B26" s="819"/>
      <c r="C26" s="814">
        <f>SUM(C24:C25)</f>
        <v>6927.3097612351312</v>
      </c>
      <c r="D26" s="814">
        <f t="shared" ref="D26:R26" si="2">SUM(D24:D25)</f>
        <v>0</v>
      </c>
      <c r="E26" s="814">
        <f t="shared" si="2"/>
        <v>1048.5065757666302</v>
      </c>
      <c r="F26" s="814">
        <f t="shared" si="2"/>
        <v>240.96922825419045</v>
      </c>
      <c r="G26" s="814">
        <f t="shared" si="2"/>
        <v>20963.614038899923</v>
      </c>
      <c r="H26" s="814">
        <f t="shared" si="2"/>
        <v>0</v>
      </c>
      <c r="I26" s="814">
        <f t="shared" si="2"/>
        <v>0</v>
      </c>
      <c r="J26" s="814">
        <f t="shared" si="2"/>
        <v>0</v>
      </c>
      <c r="K26" s="814">
        <f t="shared" si="2"/>
        <v>1696.1765573999614</v>
      </c>
      <c r="L26" s="814">
        <f t="shared" si="2"/>
        <v>0</v>
      </c>
      <c r="M26" s="814">
        <f t="shared" si="2"/>
        <v>0</v>
      </c>
      <c r="N26" s="814">
        <f t="shared" si="2"/>
        <v>0</v>
      </c>
      <c r="O26" s="814">
        <f t="shared" si="2"/>
        <v>0</v>
      </c>
      <c r="P26" s="814">
        <f t="shared" si="2"/>
        <v>0</v>
      </c>
      <c r="Q26" s="814">
        <f t="shared" si="2"/>
        <v>0</v>
      </c>
      <c r="R26" s="814">
        <f t="shared" si="2"/>
        <v>30876.576161555837</v>
      </c>
      <c r="S26" s="67"/>
    </row>
    <row r="27" spans="1:19" s="451" customFormat="1" ht="17.25" thickTop="1" thickBot="1">
      <c r="A27" s="698" t="s">
        <v>115</v>
      </c>
      <c r="B27" s="806"/>
      <c r="C27" s="699">
        <f ca="1">C22+C16+C26</f>
        <v>112807.42143356301</v>
      </c>
      <c r="D27" s="699">
        <f t="shared" ref="D27:R27" ca="1" si="3">D22+D16+D26</f>
        <v>0</v>
      </c>
      <c r="E27" s="699">
        <f t="shared" ca="1" si="3"/>
        <v>283421.35063570814</v>
      </c>
      <c r="F27" s="699">
        <f t="shared" si="3"/>
        <v>11586.495064489052</v>
      </c>
      <c r="G27" s="699">
        <f t="shared" ca="1" si="3"/>
        <v>35911.241024072784</v>
      </c>
      <c r="H27" s="699">
        <f t="shared" si="3"/>
        <v>24239.810674860531</v>
      </c>
      <c r="I27" s="699">
        <f t="shared" si="3"/>
        <v>6365.5140770226162</v>
      </c>
      <c r="J27" s="699">
        <f t="shared" si="3"/>
        <v>0</v>
      </c>
      <c r="K27" s="699">
        <f t="shared" si="3"/>
        <v>4526.1344448143127</v>
      </c>
      <c r="L27" s="699">
        <f t="shared" si="3"/>
        <v>0</v>
      </c>
      <c r="M27" s="699">
        <f t="shared" ca="1" si="3"/>
        <v>0</v>
      </c>
      <c r="N27" s="699">
        <f t="shared" si="3"/>
        <v>1806.7361398337657</v>
      </c>
      <c r="O27" s="699">
        <f t="shared" ca="1" si="3"/>
        <v>17208.243876311997</v>
      </c>
      <c r="P27" s="699">
        <f t="shared" si="3"/>
        <v>336.89708860003691</v>
      </c>
      <c r="Q27" s="699">
        <f t="shared" si="3"/>
        <v>389.49517792048562</v>
      </c>
      <c r="R27" s="699">
        <f t="shared" ca="1" si="3"/>
        <v>498599.33963719674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1824.8769297592412</v>
      </c>
      <c r="D40" s="689">
        <f ca="1">tertiair!C20</f>
        <v>0</v>
      </c>
      <c r="E40" s="689">
        <f ca="1">tertiair!D20</f>
        <v>1684.5031053518424</v>
      </c>
      <c r="F40" s="689">
        <f>tertiair!E20</f>
        <v>5.9950150380103722</v>
      </c>
      <c r="G40" s="689">
        <f ca="1">tertiair!F20</f>
        <v>362.05874676520153</v>
      </c>
      <c r="H40" s="689">
        <f>tertiair!G20</f>
        <v>0</v>
      </c>
      <c r="I40" s="689">
        <f>tertiair!H20</f>
        <v>0</v>
      </c>
      <c r="J40" s="689">
        <f>tertiair!I20</f>
        <v>0</v>
      </c>
      <c r="K40" s="689">
        <f>tertiair!J20</f>
        <v>4.4655442343674483E-3</v>
      </c>
      <c r="L40" s="689">
        <f>tertiair!K20</f>
        <v>0</v>
      </c>
      <c r="M40" s="689">
        <f ca="1">tertiair!L20</f>
        <v>0</v>
      </c>
      <c r="N40" s="689">
        <f>tertiair!M20</f>
        <v>0</v>
      </c>
      <c r="O40" s="689">
        <f ca="1">tertiair!N20</f>
        <v>0</v>
      </c>
      <c r="P40" s="689">
        <f>tertiair!O20</f>
        <v>0</v>
      </c>
      <c r="Q40" s="772">
        <f>tertiair!P20</f>
        <v>0</v>
      </c>
      <c r="R40" s="852">
        <f t="shared" ca="1" si="4"/>
        <v>3877.4382624585301</v>
      </c>
    </row>
    <row r="41" spans="1:18">
      <c r="A41" s="824" t="s">
        <v>224</v>
      </c>
      <c r="B41" s="831"/>
      <c r="C41" s="689">
        <f ca="1">huishoudens!B12</f>
        <v>2947.0917307408022</v>
      </c>
      <c r="D41" s="689">
        <f ca="1">huishoudens!C12</f>
        <v>0</v>
      </c>
      <c r="E41" s="689">
        <f>huishoudens!D12</f>
        <v>4593.4773183135039</v>
      </c>
      <c r="F41" s="689">
        <f>huishoudens!E12</f>
        <v>2526.4636479239712</v>
      </c>
      <c r="G41" s="689">
        <f>huishoudens!F12</f>
        <v>3181.357186308519</v>
      </c>
      <c r="H41" s="689">
        <f>huishoudens!G12</f>
        <v>0</v>
      </c>
      <c r="I41" s="689">
        <f>huishoudens!H12</f>
        <v>0</v>
      </c>
      <c r="J41" s="689">
        <f>huishoudens!I12</f>
        <v>0</v>
      </c>
      <c r="K41" s="689">
        <f>huishoudens!J12</f>
        <v>1001.7428221799704</v>
      </c>
      <c r="L41" s="689">
        <f>huishoudens!K12</f>
        <v>0</v>
      </c>
      <c r="M41" s="689">
        <f>huishoudens!L12</f>
        <v>0</v>
      </c>
      <c r="N41" s="689">
        <f>huishoudens!M12</f>
        <v>0</v>
      </c>
      <c r="O41" s="689">
        <f>huishoudens!N12</f>
        <v>0</v>
      </c>
      <c r="P41" s="689">
        <f>huishoudens!O12</f>
        <v>0</v>
      </c>
      <c r="Q41" s="772">
        <f>huishoudens!P12</f>
        <v>0</v>
      </c>
      <c r="R41" s="852">
        <f t="shared" ca="1" si="4"/>
        <v>14250.132705466767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17737.939762667076</v>
      </c>
      <c r="D43" s="689">
        <f ca="1">industrie!C22</f>
        <v>0</v>
      </c>
      <c r="E43" s="689">
        <f>industrie!D22</f>
        <v>50741.159344954678</v>
      </c>
      <c r="F43" s="689">
        <f>industrie!E22</f>
        <v>30.826138313743193</v>
      </c>
      <c r="G43" s="689">
        <f>industrie!F22</f>
        <v>447.60047196743403</v>
      </c>
      <c r="H43" s="689">
        <f>industrie!G22</f>
        <v>0</v>
      </c>
      <c r="I43" s="689">
        <f>industrie!H22</f>
        <v>0</v>
      </c>
      <c r="J43" s="689">
        <f>industrie!I22</f>
        <v>0</v>
      </c>
      <c r="K43" s="689">
        <f>industrie!J22</f>
        <v>5.7804420475597355E-2</v>
      </c>
      <c r="L43" s="689">
        <f>industrie!K22</f>
        <v>0</v>
      </c>
      <c r="M43" s="689">
        <f>industrie!L22</f>
        <v>0</v>
      </c>
      <c r="N43" s="689">
        <f>industrie!M22</f>
        <v>0</v>
      </c>
      <c r="O43" s="689">
        <f>industrie!N22</f>
        <v>0</v>
      </c>
      <c r="P43" s="689">
        <f>industrie!O22</f>
        <v>0</v>
      </c>
      <c r="Q43" s="772">
        <f>industrie!P22</f>
        <v>0</v>
      </c>
      <c r="R43" s="851">
        <f t="shared" ca="1" si="4"/>
        <v>68957.583522323417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22509.908423167119</v>
      </c>
      <c r="D46" s="725">
        <f t="shared" ref="D46:Q46" ca="1" si="5">SUM(D39:D45)</f>
        <v>0</v>
      </c>
      <c r="E46" s="725">
        <f t="shared" ca="1" si="5"/>
        <v>57019.139768620022</v>
      </c>
      <c r="F46" s="725">
        <f t="shared" si="5"/>
        <v>2563.2848012757249</v>
      </c>
      <c r="G46" s="725">
        <f t="shared" ca="1" si="5"/>
        <v>3991.0164050411549</v>
      </c>
      <c r="H46" s="725">
        <f t="shared" si="5"/>
        <v>0</v>
      </c>
      <c r="I46" s="725">
        <f t="shared" si="5"/>
        <v>0</v>
      </c>
      <c r="J46" s="725">
        <f t="shared" si="5"/>
        <v>0</v>
      </c>
      <c r="K46" s="725">
        <f t="shared" si="5"/>
        <v>1001.8050921446803</v>
      </c>
      <c r="L46" s="725">
        <f t="shared" si="5"/>
        <v>0</v>
      </c>
      <c r="M46" s="725">
        <f t="shared" ca="1" si="5"/>
        <v>0</v>
      </c>
      <c r="N46" s="725">
        <f t="shared" si="5"/>
        <v>0</v>
      </c>
      <c r="O46" s="725">
        <f t="shared" ca="1" si="5"/>
        <v>0</v>
      </c>
      <c r="P46" s="725">
        <f t="shared" si="5"/>
        <v>0</v>
      </c>
      <c r="Q46" s="725">
        <f t="shared" si="5"/>
        <v>0</v>
      </c>
      <c r="R46" s="725">
        <f ca="1">SUM(R39:R45)</f>
        <v>87085.154490248708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66.620511857008907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66.620511857008907</v>
      </c>
    </row>
    <row r="50" spans="1:18">
      <c r="A50" s="827" t="s">
        <v>306</v>
      </c>
      <c r="B50" s="837"/>
      <c r="C50" s="695">
        <f ca="1">transport!B18</f>
        <v>5.204069305242971</v>
      </c>
      <c r="D50" s="695">
        <f>transport!C18</f>
        <v>0</v>
      </c>
      <c r="E50" s="695">
        <f>transport!D18</f>
        <v>20.17473148816747</v>
      </c>
      <c r="F50" s="695">
        <f>transport!E18</f>
        <v>12.14956354958864</v>
      </c>
      <c r="G50" s="695">
        <f>transport!F18</f>
        <v>0</v>
      </c>
      <c r="H50" s="695">
        <f>transport!G18</f>
        <v>6405.4089383307537</v>
      </c>
      <c r="I50" s="695">
        <f>transport!H18</f>
        <v>1585.0130051786314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8027.9503078523849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5.204069305242971</v>
      </c>
      <c r="D52" s="725">
        <f t="shared" ref="D52:Q52" ca="1" si="6">SUM(D48:D51)</f>
        <v>0</v>
      </c>
      <c r="E52" s="725">
        <f t="shared" si="6"/>
        <v>20.17473148816747</v>
      </c>
      <c r="F52" s="725">
        <f t="shared" si="6"/>
        <v>12.14956354958864</v>
      </c>
      <c r="G52" s="725">
        <f t="shared" si="6"/>
        <v>0</v>
      </c>
      <c r="H52" s="725">
        <f t="shared" si="6"/>
        <v>6472.0294501877624</v>
      </c>
      <c r="I52" s="725">
        <f t="shared" si="6"/>
        <v>1585.0130051786314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8094.5708197093936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1374.0208138732073</v>
      </c>
      <c r="D54" s="695">
        <f ca="1">+landbouw!C12</f>
        <v>0</v>
      </c>
      <c r="E54" s="695">
        <f>+landbouw!D12</f>
        <v>63.816533285131086</v>
      </c>
      <c r="F54" s="695">
        <f>+landbouw!E12</f>
        <v>54.700014813701237</v>
      </c>
      <c r="G54" s="695">
        <f>+landbouw!F12</f>
        <v>5597.2849483862801</v>
      </c>
      <c r="H54" s="695">
        <f>+landbouw!G12</f>
        <v>0</v>
      </c>
      <c r="I54" s="695">
        <f>+landbouw!H12</f>
        <v>0</v>
      </c>
      <c r="J54" s="695">
        <f>+landbouw!I12</f>
        <v>0</v>
      </c>
      <c r="K54" s="695">
        <f>+landbouw!J12</f>
        <v>600.44650131958633</v>
      </c>
      <c r="L54" s="695">
        <f>+landbouw!K12</f>
        <v>0</v>
      </c>
      <c r="M54" s="695">
        <f>+landbouw!L12</f>
        <v>0</v>
      </c>
      <c r="N54" s="695">
        <f>+landbouw!M12</f>
        <v>0</v>
      </c>
      <c r="O54" s="695">
        <f>+landbouw!N12</f>
        <v>0</v>
      </c>
      <c r="P54" s="695">
        <f>+landbouw!O12</f>
        <v>0</v>
      </c>
      <c r="Q54" s="696">
        <f>+landbouw!P12</f>
        <v>0</v>
      </c>
      <c r="R54" s="724">
        <f ca="1">SUM(C54:Q54)</f>
        <v>7690.2688116779063</v>
      </c>
    </row>
    <row r="55" spans="1:18" ht="15" thickBot="1">
      <c r="A55" s="827" t="s">
        <v>714</v>
      </c>
      <c r="B55" s="837"/>
      <c r="C55" s="695">
        <f ca="1">C25*'EF ele_warmte'!B12</f>
        <v>99.052420381549609</v>
      </c>
      <c r="D55" s="695"/>
      <c r="E55" s="695">
        <f>E25*EF_CO2_aardgas</f>
        <v>147.98179501972825</v>
      </c>
      <c r="F55" s="695"/>
      <c r="G55" s="695"/>
      <c r="H55" s="695"/>
      <c r="I55" s="695"/>
      <c r="J55" s="695"/>
      <c r="K55" s="695"/>
      <c r="L55" s="695"/>
      <c r="M55" s="695"/>
      <c r="N55" s="695"/>
      <c r="O55" s="695"/>
      <c r="P55" s="695"/>
      <c r="Q55" s="696"/>
      <c r="R55" s="724">
        <f ca="1">SUM(C55:Q55)</f>
        <v>247.03421540127786</v>
      </c>
    </row>
    <row r="56" spans="1:18" ht="15.75" thickBot="1">
      <c r="A56" s="825" t="s">
        <v>715</v>
      </c>
      <c r="B56" s="838"/>
      <c r="C56" s="725">
        <f ca="1">SUM(C54:C55)</f>
        <v>1473.0732342547569</v>
      </c>
      <c r="D56" s="725">
        <f t="shared" ref="D56:Q56" ca="1" si="7">SUM(D54:D55)</f>
        <v>0</v>
      </c>
      <c r="E56" s="725">
        <f t="shared" si="7"/>
        <v>211.79832830485935</v>
      </c>
      <c r="F56" s="725">
        <f t="shared" si="7"/>
        <v>54.700014813701237</v>
      </c>
      <c r="G56" s="725">
        <f t="shared" si="7"/>
        <v>5597.2849483862801</v>
      </c>
      <c r="H56" s="725">
        <f t="shared" si="7"/>
        <v>0</v>
      </c>
      <c r="I56" s="725">
        <f t="shared" si="7"/>
        <v>0</v>
      </c>
      <c r="J56" s="725">
        <f t="shared" si="7"/>
        <v>0</v>
      </c>
      <c r="K56" s="725">
        <f t="shared" si="7"/>
        <v>600.44650131958633</v>
      </c>
      <c r="L56" s="725">
        <f t="shared" si="7"/>
        <v>0</v>
      </c>
      <c r="M56" s="725">
        <f t="shared" si="7"/>
        <v>0</v>
      </c>
      <c r="N56" s="725">
        <f t="shared" si="7"/>
        <v>0</v>
      </c>
      <c r="O56" s="725">
        <f t="shared" si="7"/>
        <v>0</v>
      </c>
      <c r="P56" s="725">
        <f t="shared" si="7"/>
        <v>0</v>
      </c>
      <c r="Q56" s="726">
        <f t="shared" si="7"/>
        <v>0</v>
      </c>
      <c r="R56" s="727">
        <f ca="1">SUM(R54:R55)</f>
        <v>7937.3030270791842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23988.185726727119</v>
      </c>
      <c r="D61" s="733">
        <f t="shared" ref="D61:Q61" ca="1" si="8">D46+D52+D56</f>
        <v>0</v>
      </c>
      <c r="E61" s="733">
        <f t="shared" ca="1" si="8"/>
        <v>57251.112828413046</v>
      </c>
      <c r="F61" s="733">
        <f t="shared" si="8"/>
        <v>2630.1343796390147</v>
      </c>
      <c r="G61" s="733">
        <f t="shared" ca="1" si="8"/>
        <v>9588.301353427436</v>
      </c>
      <c r="H61" s="733">
        <f t="shared" si="8"/>
        <v>6472.0294501877624</v>
      </c>
      <c r="I61" s="733">
        <f t="shared" si="8"/>
        <v>1585.0130051786314</v>
      </c>
      <c r="J61" s="733">
        <f t="shared" si="8"/>
        <v>0</v>
      </c>
      <c r="K61" s="733">
        <f t="shared" si="8"/>
        <v>1602.2515934642665</v>
      </c>
      <c r="L61" s="733">
        <f t="shared" si="8"/>
        <v>0</v>
      </c>
      <c r="M61" s="733">
        <f t="shared" ca="1" si="8"/>
        <v>0</v>
      </c>
      <c r="N61" s="733">
        <f t="shared" si="8"/>
        <v>0</v>
      </c>
      <c r="O61" s="733">
        <f t="shared" ca="1" si="8"/>
        <v>0</v>
      </c>
      <c r="P61" s="733">
        <f t="shared" si="8"/>
        <v>0</v>
      </c>
      <c r="Q61" s="733">
        <f t="shared" si="8"/>
        <v>0</v>
      </c>
      <c r="R61" s="733">
        <f ca="1">R46+R52+R56</f>
        <v>103117.02833703728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0.21264723031413993</v>
      </c>
      <c r="D63" s="779">
        <f t="shared" ca="1" si="9"/>
        <v>0</v>
      </c>
      <c r="E63" s="973">
        <f t="shared" ca="1" si="9"/>
        <v>0.20200000000000001</v>
      </c>
      <c r="F63" s="779">
        <f t="shared" si="9"/>
        <v>0.22699999999999998</v>
      </c>
      <c r="G63" s="779">
        <f t="shared" ca="1" si="9"/>
        <v>0.26700000000000007</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4263.5946157932203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4263.5946157932203</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4263.5946157932203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4263.5946157932203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13859.064735464064</v>
      </c>
      <c r="C4" s="455">
        <f>huishoudens!C8</f>
        <v>0</v>
      </c>
      <c r="D4" s="455">
        <f>huishoudens!D8</f>
        <v>22739.986724324273</v>
      </c>
      <c r="E4" s="455">
        <f>huishoudens!E8</f>
        <v>11129.795805832471</v>
      </c>
      <c r="F4" s="455">
        <f>huishoudens!F8</f>
        <v>11915.195454339022</v>
      </c>
      <c r="G4" s="455">
        <f>huishoudens!G8</f>
        <v>0</v>
      </c>
      <c r="H4" s="455">
        <f>huishoudens!H8</f>
        <v>0</v>
      </c>
      <c r="I4" s="455">
        <f>huishoudens!I8</f>
        <v>0</v>
      </c>
      <c r="J4" s="455">
        <f>huishoudens!J8</f>
        <v>2829.7819835592386</v>
      </c>
      <c r="K4" s="455">
        <f>huishoudens!K8</f>
        <v>0</v>
      </c>
      <c r="L4" s="455">
        <f>huishoudens!L8</f>
        <v>0</v>
      </c>
      <c r="M4" s="455">
        <f>huishoudens!M8</f>
        <v>0</v>
      </c>
      <c r="N4" s="455">
        <f>huishoudens!N8</f>
        <v>14045.123987302526</v>
      </c>
      <c r="O4" s="455">
        <f>huishoudens!O8</f>
        <v>307.51352400498996</v>
      </c>
      <c r="P4" s="456">
        <f>huishoudens!P8</f>
        <v>284.41690130749561</v>
      </c>
      <c r="Q4" s="457">
        <f>SUM(B4:P4)</f>
        <v>77110.879116134078</v>
      </c>
    </row>
    <row r="5" spans="1:17">
      <c r="A5" s="454" t="s">
        <v>155</v>
      </c>
      <c r="B5" s="455">
        <f ca="1">tertiair!B16</f>
        <v>7919.6673146059466</v>
      </c>
      <c r="C5" s="455">
        <f ca="1">tertiair!C16</f>
        <v>0</v>
      </c>
      <c r="D5" s="455">
        <f ca="1">tertiair!D16</f>
        <v>8339.1242839200113</v>
      </c>
      <c r="E5" s="455">
        <f>tertiair!E16</f>
        <v>26.409757876697675</v>
      </c>
      <c r="F5" s="455">
        <f ca="1">tertiair!F16</f>
        <v>1356.0252687835264</v>
      </c>
      <c r="G5" s="455">
        <f>tertiair!G16</f>
        <v>0</v>
      </c>
      <c r="H5" s="455">
        <f>tertiair!H16</f>
        <v>0</v>
      </c>
      <c r="I5" s="455">
        <f>tertiair!I16</f>
        <v>0</v>
      </c>
      <c r="J5" s="455">
        <f>tertiair!J16</f>
        <v>1.2614531735501268E-2</v>
      </c>
      <c r="K5" s="455">
        <f>tertiair!K16</f>
        <v>0</v>
      </c>
      <c r="L5" s="455">
        <f ca="1">tertiair!L16</f>
        <v>0</v>
      </c>
      <c r="M5" s="455">
        <f>tertiair!M16</f>
        <v>0</v>
      </c>
      <c r="N5" s="455">
        <f ca="1">tertiair!N16</f>
        <v>460.28973352908054</v>
      </c>
      <c r="O5" s="455">
        <f>tertiair!O16</f>
        <v>29.383564595046927</v>
      </c>
      <c r="P5" s="456">
        <f>tertiair!P16</f>
        <v>105.07827661299004</v>
      </c>
      <c r="Q5" s="454">
        <f t="shared" ref="Q5:Q14" ca="1" si="0">SUM(B5:P5)</f>
        <v>18235.990814455032</v>
      </c>
    </row>
    <row r="6" spans="1:17">
      <c r="A6" s="454" t="s">
        <v>193</v>
      </c>
      <c r="B6" s="455">
        <f>'openbare verlichting'!B8</f>
        <v>662.04300000000001</v>
      </c>
      <c r="C6" s="455"/>
      <c r="D6" s="455"/>
      <c r="E6" s="455"/>
      <c r="F6" s="455"/>
      <c r="G6" s="455"/>
      <c r="H6" s="455"/>
      <c r="I6" s="455"/>
      <c r="J6" s="455"/>
      <c r="K6" s="455"/>
      <c r="L6" s="455"/>
      <c r="M6" s="455"/>
      <c r="N6" s="455"/>
      <c r="O6" s="455"/>
      <c r="P6" s="456"/>
      <c r="Q6" s="454">
        <f t="shared" si="0"/>
        <v>662.04300000000001</v>
      </c>
    </row>
    <row r="7" spans="1:17">
      <c r="A7" s="454" t="s">
        <v>111</v>
      </c>
      <c r="B7" s="455">
        <f>landbouw!B8</f>
        <v>6461.5034573617104</v>
      </c>
      <c r="C7" s="455">
        <f>landbouw!C8</f>
        <v>0</v>
      </c>
      <c r="D7" s="455">
        <f>landbouw!D8</f>
        <v>315.92343210460933</v>
      </c>
      <c r="E7" s="455">
        <f>landbouw!E8</f>
        <v>240.96922825419045</v>
      </c>
      <c r="F7" s="455">
        <f>landbouw!F8</f>
        <v>20963.614038899923</v>
      </c>
      <c r="G7" s="455">
        <f>landbouw!G8</f>
        <v>0</v>
      </c>
      <c r="H7" s="455">
        <f>landbouw!H8</f>
        <v>0</v>
      </c>
      <c r="I7" s="455">
        <f>landbouw!I8</f>
        <v>0</v>
      </c>
      <c r="J7" s="455">
        <f>landbouw!J8</f>
        <v>1696.1765573999614</v>
      </c>
      <c r="K7" s="455">
        <f>landbouw!K8</f>
        <v>0</v>
      </c>
      <c r="L7" s="455">
        <f>landbouw!L8</f>
        <v>0</v>
      </c>
      <c r="M7" s="455">
        <f>landbouw!M8</f>
        <v>0</v>
      </c>
      <c r="N7" s="455">
        <f>landbouw!N8</f>
        <v>0</v>
      </c>
      <c r="O7" s="455">
        <f>landbouw!O8</f>
        <v>0</v>
      </c>
      <c r="P7" s="456">
        <f>landbouw!P8</f>
        <v>0</v>
      </c>
      <c r="Q7" s="454">
        <f t="shared" si="0"/>
        <v>29678.186714020394</v>
      </c>
    </row>
    <row r="8" spans="1:17">
      <c r="A8" s="454" t="s">
        <v>626</v>
      </c>
      <c r="B8" s="455">
        <f>industrie!B18</f>
        <v>83414.863840282022</v>
      </c>
      <c r="C8" s="455">
        <f>industrie!C18</f>
        <v>0</v>
      </c>
      <c r="D8" s="455">
        <f>industrie!D18</f>
        <v>251193.85814333998</v>
      </c>
      <c r="E8" s="455">
        <f>industrie!E18</f>
        <v>135.79796613983785</v>
      </c>
      <c r="F8" s="455">
        <f>industrie!F18</f>
        <v>1676.4062620503146</v>
      </c>
      <c r="G8" s="455">
        <f>industrie!G18</f>
        <v>0</v>
      </c>
      <c r="H8" s="455">
        <f>industrie!H18</f>
        <v>0</v>
      </c>
      <c r="I8" s="455">
        <f>industrie!I18</f>
        <v>0</v>
      </c>
      <c r="J8" s="455">
        <f>industrie!J18</f>
        <v>0.16328932337739366</v>
      </c>
      <c r="K8" s="455">
        <f>industrie!K18</f>
        <v>0</v>
      </c>
      <c r="L8" s="455">
        <f>industrie!L18</f>
        <v>0</v>
      </c>
      <c r="M8" s="455">
        <f>industrie!M18</f>
        <v>0</v>
      </c>
      <c r="N8" s="455">
        <f>industrie!N18</f>
        <v>2702.8301554803902</v>
      </c>
      <c r="O8" s="455">
        <f>industrie!O18</f>
        <v>0</v>
      </c>
      <c r="P8" s="456">
        <f>industrie!P18</f>
        <v>0</v>
      </c>
      <c r="Q8" s="454">
        <f t="shared" si="0"/>
        <v>339123.91965661594</v>
      </c>
    </row>
    <row r="9" spans="1:17" s="460" customFormat="1">
      <c r="A9" s="458" t="s">
        <v>552</v>
      </c>
      <c r="B9" s="459">
        <f>transport!B14</f>
        <v>24.472781975834305</v>
      </c>
      <c r="C9" s="459">
        <f>transport!C14</f>
        <v>0</v>
      </c>
      <c r="D9" s="459">
        <f>transport!D14</f>
        <v>99.874908357264701</v>
      </c>
      <c r="E9" s="459">
        <f>transport!E14</f>
        <v>53.522306385853035</v>
      </c>
      <c r="F9" s="459">
        <f>transport!F14</f>
        <v>0</v>
      </c>
      <c r="G9" s="459">
        <f>transport!G14</f>
        <v>23990.29564917885</v>
      </c>
      <c r="H9" s="459">
        <f>transport!H14</f>
        <v>6365.5140770226162</v>
      </c>
      <c r="I9" s="459">
        <f>transport!I14</f>
        <v>0</v>
      </c>
      <c r="J9" s="459">
        <f>transport!J14</f>
        <v>0</v>
      </c>
      <c r="K9" s="459">
        <f>transport!K14</f>
        <v>0</v>
      </c>
      <c r="L9" s="459">
        <f>transport!L14</f>
        <v>0</v>
      </c>
      <c r="M9" s="459">
        <f>transport!M14</f>
        <v>1793.1960334054043</v>
      </c>
      <c r="N9" s="459">
        <f>transport!N14</f>
        <v>0</v>
      </c>
      <c r="O9" s="459">
        <f>transport!O14</f>
        <v>0</v>
      </c>
      <c r="P9" s="459">
        <f>transport!P14</f>
        <v>0</v>
      </c>
      <c r="Q9" s="458">
        <f>SUM(B9:P9)</f>
        <v>32326.875756325826</v>
      </c>
    </row>
    <row r="10" spans="1:17">
      <c r="A10" s="454" t="s">
        <v>542</v>
      </c>
      <c r="B10" s="455">
        <f>transport!B54</f>
        <v>0</v>
      </c>
      <c r="C10" s="455">
        <f>transport!C54</f>
        <v>0</v>
      </c>
      <c r="D10" s="455">
        <f>transport!D54</f>
        <v>0</v>
      </c>
      <c r="E10" s="455">
        <f>transport!E54</f>
        <v>0</v>
      </c>
      <c r="F10" s="455">
        <f>transport!F54</f>
        <v>0</v>
      </c>
      <c r="G10" s="455">
        <f>transport!G54</f>
        <v>249.51502568168127</v>
      </c>
      <c r="H10" s="455">
        <f>transport!H54</f>
        <v>0</v>
      </c>
      <c r="I10" s="455">
        <f>transport!I54</f>
        <v>0</v>
      </c>
      <c r="J10" s="455">
        <f>transport!J54</f>
        <v>0</v>
      </c>
      <c r="K10" s="455">
        <f>transport!K54</f>
        <v>0</v>
      </c>
      <c r="L10" s="455">
        <f>transport!L54</f>
        <v>0</v>
      </c>
      <c r="M10" s="455">
        <f>transport!M54</f>
        <v>13.540106428361566</v>
      </c>
      <c r="N10" s="455">
        <f>transport!N54</f>
        <v>0</v>
      </c>
      <c r="O10" s="455">
        <f>transport!O54</f>
        <v>0</v>
      </c>
      <c r="P10" s="456">
        <f>transport!P54</f>
        <v>0</v>
      </c>
      <c r="Q10" s="454">
        <f t="shared" si="0"/>
        <v>263.05513211004285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465.80630387342097</v>
      </c>
      <c r="C14" s="462"/>
      <c r="D14" s="462">
        <f>'SEAP template'!E25</f>
        <v>732.58314366202103</v>
      </c>
      <c r="E14" s="462"/>
      <c r="F14" s="462"/>
      <c r="G14" s="462"/>
      <c r="H14" s="462"/>
      <c r="I14" s="462"/>
      <c r="J14" s="462"/>
      <c r="K14" s="462"/>
      <c r="L14" s="462"/>
      <c r="M14" s="462"/>
      <c r="N14" s="462"/>
      <c r="O14" s="462"/>
      <c r="P14" s="463"/>
      <c r="Q14" s="454">
        <f t="shared" si="0"/>
        <v>1198.3894475354421</v>
      </c>
    </row>
    <row r="15" spans="1:17" s="466" customFormat="1">
      <c r="A15" s="464" t="s">
        <v>546</v>
      </c>
      <c r="B15" s="465">
        <f ca="1">SUM(B4:B14)</f>
        <v>112807.42143356301</v>
      </c>
      <c r="C15" s="465">
        <f t="shared" ref="C15:Q15" ca="1" si="1">SUM(C4:C14)</f>
        <v>0</v>
      </c>
      <c r="D15" s="465">
        <f t="shared" ca="1" si="1"/>
        <v>283421.35063570819</v>
      </c>
      <c r="E15" s="465">
        <f t="shared" si="1"/>
        <v>11586.495064489052</v>
      </c>
      <c r="F15" s="465">
        <f t="shared" ca="1" si="1"/>
        <v>35911.241024072784</v>
      </c>
      <c r="G15" s="465">
        <f t="shared" si="1"/>
        <v>24239.810674860531</v>
      </c>
      <c r="H15" s="465">
        <f t="shared" si="1"/>
        <v>6365.5140770226162</v>
      </c>
      <c r="I15" s="465">
        <f t="shared" si="1"/>
        <v>0</v>
      </c>
      <c r="J15" s="465">
        <f t="shared" si="1"/>
        <v>4526.1344448143127</v>
      </c>
      <c r="K15" s="465">
        <f t="shared" si="1"/>
        <v>0</v>
      </c>
      <c r="L15" s="465">
        <f t="shared" ca="1" si="1"/>
        <v>0</v>
      </c>
      <c r="M15" s="465">
        <f t="shared" si="1"/>
        <v>1806.7361398337657</v>
      </c>
      <c r="N15" s="465">
        <f t="shared" ca="1" si="1"/>
        <v>17208.243876311997</v>
      </c>
      <c r="O15" s="465">
        <f t="shared" si="1"/>
        <v>336.89708860003691</v>
      </c>
      <c r="P15" s="465">
        <f t="shared" si="1"/>
        <v>389.49517792048562</v>
      </c>
      <c r="Q15" s="465">
        <f t="shared" ca="1" si="1"/>
        <v>498599.33963719674</v>
      </c>
    </row>
    <row r="17" spans="1:17">
      <c r="A17" s="467" t="s">
        <v>547</v>
      </c>
      <c r="B17" s="784">
        <f ca="1">huishoudens!B10</f>
        <v>0.21264723031413996</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2947.0917307408022</v>
      </c>
      <c r="C22" s="455">
        <f t="shared" ref="C22:C32" ca="1" si="3">C4*$C$17</f>
        <v>0</v>
      </c>
      <c r="D22" s="455">
        <f t="shared" ref="D22:D32" si="4">D4*$D$17</f>
        <v>4593.4773183135039</v>
      </c>
      <c r="E22" s="455">
        <f t="shared" ref="E22:E32" si="5">E4*$E$17</f>
        <v>2526.4636479239712</v>
      </c>
      <c r="F22" s="455">
        <f t="shared" ref="F22:F32" si="6">F4*$F$17</f>
        <v>3181.357186308519</v>
      </c>
      <c r="G22" s="455">
        <f t="shared" ref="G22:G32" si="7">G4*$G$17</f>
        <v>0</v>
      </c>
      <c r="H22" s="455">
        <f t="shared" ref="H22:H32" si="8">H4*$H$17</f>
        <v>0</v>
      </c>
      <c r="I22" s="455">
        <f t="shared" ref="I22:I32" si="9">I4*$I$17</f>
        <v>0</v>
      </c>
      <c r="J22" s="455">
        <f t="shared" ref="J22:J32" si="10">J4*$J$17</f>
        <v>1001.7428221799704</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14250.132705466767</v>
      </c>
    </row>
    <row r="23" spans="1:17">
      <c r="A23" s="454" t="s">
        <v>155</v>
      </c>
      <c r="B23" s="455">
        <f t="shared" ca="1" si="2"/>
        <v>1684.0953194603769</v>
      </c>
      <c r="C23" s="455">
        <f t="shared" ca="1" si="3"/>
        <v>0</v>
      </c>
      <c r="D23" s="455">
        <f t="shared" ca="1" si="4"/>
        <v>1684.5031053518424</v>
      </c>
      <c r="E23" s="455">
        <f t="shared" si="5"/>
        <v>5.9950150380103722</v>
      </c>
      <c r="F23" s="455">
        <f t="shared" ca="1" si="6"/>
        <v>362.05874676520153</v>
      </c>
      <c r="G23" s="455">
        <f t="shared" si="7"/>
        <v>0</v>
      </c>
      <c r="H23" s="455">
        <f t="shared" si="8"/>
        <v>0</v>
      </c>
      <c r="I23" s="455">
        <f t="shared" si="9"/>
        <v>0</v>
      </c>
      <c r="J23" s="455">
        <f t="shared" si="10"/>
        <v>4.4655442343674483E-3</v>
      </c>
      <c r="K23" s="455">
        <f t="shared" si="11"/>
        <v>0</v>
      </c>
      <c r="L23" s="455">
        <f t="shared" ca="1" si="12"/>
        <v>0</v>
      </c>
      <c r="M23" s="455">
        <f t="shared" si="13"/>
        <v>0</v>
      </c>
      <c r="N23" s="455">
        <f t="shared" ca="1" si="14"/>
        <v>0</v>
      </c>
      <c r="O23" s="455">
        <f t="shared" si="15"/>
        <v>0</v>
      </c>
      <c r="P23" s="456">
        <f t="shared" si="16"/>
        <v>0</v>
      </c>
      <c r="Q23" s="454">
        <f t="shared" ref="Q23:Q31" ca="1" si="17">SUM(B23:P23)</f>
        <v>3736.656652159666</v>
      </c>
    </row>
    <row r="24" spans="1:17">
      <c r="A24" s="454" t="s">
        <v>193</v>
      </c>
      <c r="B24" s="455">
        <f t="shared" ca="1" si="2"/>
        <v>140.78161029886417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140.78161029886417</v>
      </c>
    </row>
    <row r="25" spans="1:17">
      <c r="A25" s="454" t="s">
        <v>111</v>
      </c>
      <c r="B25" s="455">
        <f t="shared" ca="1" si="2"/>
        <v>1374.0208138732073</v>
      </c>
      <c r="C25" s="455">
        <f t="shared" ca="1" si="3"/>
        <v>0</v>
      </c>
      <c r="D25" s="455">
        <f t="shared" si="4"/>
        <v>63.816533285131086</v>
      </c>
      <c r="E25" s="455">
        <f t="shared" si="5"/>
        <v>54.700014813701237</v>
      </c>
      <c r="F25" s="455">
        <f t="shared" si="6"/>
        <v>5597.2849483862801</v>
      </c>
      <c r="G25" s="455">
        <f t="shared" si="7"/>
        <v>0</v>
      </c>
      <c r="H25" s="455">
        <f t="shared" si="8"/>
        <v>0</v>
      </c>
      <c r="I25" s="455">
        <f t="shared" si="9"/>
        <v>0</v>
      </c>
      <c r="J25" s="455">
        <f t="shared" si="10"/>
        <v>600.44650131958633</v>
      </c>
      <c r="K25" s="455">
        <f t="shared" si="11"/>
        <v>0</v>
      </c>
      <c r="L25" s="455">
        <f t="shared" si="12"/>
        <v>0</v>
      </c>
      <c r="M25" s="455">
        <f t="shared" si="13"/>
        <v>0</v>
      </c>
      <c r="N25" s="455">
        <f t="shared" si="14"/>
        <v>0</v>
      </c>
      <c r="O25" s="455">
        <f t="shared" si="15"/>
        <v>0</v>
      </c>
      <c r="P25" s="456">
        <f t="shared" si="16"/>
        <v>0</v>
      </c>
      <c r="Q25" s="454">
        <f t="shared" ca="1" si="17"/>
        <v>7690.2688116779063</v>
      </c>
    </row>
    <row r="26" spans="1:17">
      <c r="A26" s="454" t="s">
        <v>626</v>
      </c>
      <c r="B26" s="455">
        <f t="shared" ca="1" si="2"/>
        <v>17737.939762667076</v>
      </c>
      <c r="C26" s="455">
        <f t="shared" ca="1" si="3"/>
        <v>0</v>
      </c>
      <c r="D26" s="455">
        <f t="shared" si="4"/>
        <v>50741.159344954678</v>
      </c>
      <c r="E26" s="455">
        <f t="shared" si="5"/>
        <v>30.826138313743193</v>
      </c>
      <c r="F26" s="455">
        <f t="shared" si="6"/>
        <v>447.60047196743403</v>
      </c>
      <c r="G26" s="455">
        <f t="shared" si="7"/>
        <v>0</v>
      </c>
      <c r="H26" s="455">
        <f t="shared" si="8"/>
        <v>0</v>
      </c>
      <c r="I26" s="455">
        <f t="shared" si="9"/>
        <v>0</v>
      </c>
      <c r="J26" s="455">
        <f t="shared" si="10"/>
        <v>5.7804420475597355E-2</v>
      </c>
      <c r="K26" s="455">
        <f t="shared" si="11"/>
        <v>0</v>
      </c>
      <c r="L26" s="455">
        <f t="shared" si="12"/>
        <v>0</v>
      </c>
      <c r="M26" s="455">
        <f t="shared" si="13"/>
        <v>0</v>
      </c>
      <c r="N26" s="455">
        <f t="shared" si="14"/>
        <v>0</v>
      </c>
      <c r="O26" s="455">
        <f t="shared" si="15"/>
        <v>0</v>
      </c>
      <c r="P26" s="456">
        <f t="shared" si="16"/>
        <v>0</v>
      </c>
      <c r="Q26" s="454">
        <f t="shared" ca="1" si="17"/>
        <v>68957.583522323417</v>
      </c>
    </row>
    <row r="27" spans="1:17" s="460" customFormat="1">
      <c r="A27" s="458" t="s">
        <v>552</v>
      </c>
      <c r="B27" s="778">
        <f t="shared" ca="1" si="2"/>
        <v>5.204069305242971</v>
      </c>
      <c r="C27" s="459">
        <f t="shared" ca="1" si="3"/>
        <v>0</v>
      </c>
      <c r="D27" s="459">
        <f t="shared" si="4"/>
        <v>20.17473148816747</v>
      </c>
      <c r="E27" s="459">
        <f t="shared" si="5"/>
        <v>12.14956354958864</v>
      </c>
      <c r="F27" s="459">
        <f t="shared" si="6"/>
        <v>0</v>
      </c>
      <c r="G27" s="459">
        <f t="shared" si="7"/>
        <v>6405.4089383307537</v>
      </c>
      <c r="H27" s="459">
        <f t="shared" si="8"/>
        <v>1585.0130051786314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8027.9503078523849</v>
      </c>
    </row>
    <row r="28" spans="1:17" ht="16.5" customHeight="1">
      <c r="A28" s="454" t="s">
        <v>542</v>
      </c>
      <c r="B28" s="455">
        <f t="shared" ca="1" si="2"/>
        <v>0</v>
      </c>
      <c r="C28" s="455">
        <f t="shared" ca="1" si="3"/>
        <v>0</v>
      </c>
      <c r="D28" s="455">
        <f t="shared" si="4"/>
        <v>0</v>
      </c>
      <c r="E28" s="455">
        <f t="shared" si="5"/>
        <v>0</v>
      </c>
      <c r="F28" s="455">
        <f t="shared" si="6"/>
        <v>0</v>
      </c>
      <c r="G28" s="455">
        <f t="shared" si="7"/>
        <v>66.620511857008907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66.620511857008907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99.052420381549609</v>
      </c>
      <c r="C32" s="455">
        <f t="shared" ca="1" si="3"/>
        <v>0</v>
      </c>
      <c r="D32" s="455">
        <f t="shared" si="4"/>
        <v>147.98179501972825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247.03421540127786</v>
      </c>
    </row>
    <row r="33" spans="1:17" s="466" customFormat="1">
      <c r="A33" s="464" t="s">
        <v>546</v>
      </c>
      <c r="B33" s="465">
        <f ca="1">SUM(B22:B32)</f>
        <v>23988.185726727123</v>
      </c>
      <c r="C33" s="465">
        <f t="shared" ref="C33:Q33" ca="1" si="19">SUM(C22:C32)</f>
        <v>0</v>
      </c>
      <c r="D33" s="465">
        <f t="shared" ca="1" si="19"/>
        <v>57251.112828413046</v>
      </c>
      <c r="E33" s="465">
        <f t="shared" si="19"/>
        <v>2630.1343796390147</v>
      </c>
      <c r="F33" s="465">
        <f t="shared" ca="1" si="19"/>
        <v>9588.301353427436</v>
      </c>
      <c r="G33" s="465">
        <f t="shared" si="19"/>
        <v>6472.0294501877624</v>
      </c>
      <c r="H33" s="465">
        <f t="shared" si="19"/>
        <v>1585.0130051786314</v>
      </c>
      <c r="I33" s="465">
        <f t="shared" si="19"/>
        <v>0</v>
      </c>
      <c r="J33" s="465">
        <f t="shared" si="19"/>
        <v>1602.2515934642668</v>
      </c>
      <c r="K33" s="465">
        <f t="shared" si="19"/>
        <v>0</v>
      </c>
      <c r="L33" s="465">
        <f t="shared" ca="1" si="19"/>
        <v>0</v>
      </c>
      <c r="M33" s="465">
        <f t="shared" si="19"/>
        <v>0</v>
      </c>
      <c r="N33" s="465">
        <f t="shared" ca="1" si="19"/>
        <v>0</v>
      </c>
      <c r="O33" s="465">
        <f t="shared" si="19"/>
        <v>0</v>
      </c>
      <c r="P33" s="465">
        <f t="shared" si="19"/>
        <v>0</v>
      </c>
      <c r="Q33" s="465">
        <f t="shared" ca="1" si="19"/>
        <v>103117.02833703729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4263.5946157932203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4263.5946157932203</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0.21264723031413996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0.21264723031413996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2020-06-20T15:22:05Z</dcterms:modified>
</cp:coreProperties>
</file>