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6"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5" i="18" l="1"/>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M77" i="14" s="1"/>
  <c r="M9" i="59" s="1"/>
  <c r="V42" i="18"/>
  <c r="U42" i="18"/>
  <c r="T42" i="18"/>
  <c r="S42" i="18"/>
  <c r="E9" i="18" s="1"/>
  <c r="F77" i="14" s="1"/>
  <c r="F9" i="59" s="1"/>
  <c r="R42" i="18"/>
  <c r="Q42" i="18"/>
  <c r="P42" i="18"/>
  <c r="O42" i="18"/>
  <c r="N42" i="18"/>
  <c r="B9" i="18" s="1"/>
  <c r="M42" i="18"/>
  <c r="W38" i="18"/>
  <c r="V38" i="18"/>
  <c r="U38" i="18"/>
  <c r="T38" i="18"/>
  <c r="L6" i="17" s="1"/>
  <c r="L5" i="17" s="1"/>
  <c r="S38" i="18"/>
  <c r="R38" i="18"/>
  <c r="Q38" i="18"/>
  <c r="P38" i="18"/>
  <c r="O38" i="18"/>
  <c r="C6" i="17" s="1"/>
  <c r="N38" i="18"/>
  <c r="M38" i="18"/>
  <c r="W37" i="18"/>
  <c r="V37" i="18"/>
  <c r="U37" i="18"/>
  <c r="T37" i="18"/>
  <c r="S37" i="18"/>
  <c r="R37" i="18"/>
  <c r="Q37" i="18"/>
  <c r="P37" i="18"/>
  <c r="O37" i="18"/>
  <c r="C13" i="15" s="1"/>
  <c r="N37" i="18"/>
  <c r="M37" i="18"/>
  <c r="W36" i="18"/>
  <c r="V36" i="18"/>
  <c r="U36" i="18"/>
  <c r="T36" i="18"/>
  <c r="S36" i="18"/>
  <c r="F16" i="16" s="1"/>
  <c r="R36" i="18"/>
  <c r="Q36" i="18"/>
  <c r="P36" i="18"/>
  <c r="O36" i="18"/>
  <c r="N36" i="18"/>
  <c r="W35" i="18"/>
  <c r="V35" i="18"/>
  <c r="U35" i="18"/>
  <c r="T35" i="18"/>
  <c r="S35" i="18"/>
  <c r="R35" i="18"/>
  <c r="Q35" i="18"/>
  <c r="P35" i="18"/>
  <c r="O35" i="18"/>
  <c r="B17" i="18" s="1"/>
  <c r="N35" i="18"/>
  <c r="B8" i="18" s="1"/>
  <c r="M3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1" i="18"/>
  <c r="B55" i="18" s="1"/>
  <c r="B16" i="16"/>
  <c r="K9" i="14"/>
  <c r="H77" i="14"/>
  <c r="J11" i="48"/>
  <c r="J29" i="48" s="1"/>
  <c r="M9" i="14"/>
  <c r="L11" i="48"/>
  <c r="O19" i="14"/>
  <c r="O22" i="14" s="1"/>
  <c r="N10" i="48"/>
  <c r="N28" i="48" s="1"/>
  <c r="J19" i="14"/>
  <c r="J22" i="14" s="1"/>
  <c r="J27" i="14" s="1"/>
  <c r="I10" i="48"/>
  <c r="I28" i="48" s="1"/>
  <c r="J19" i="19"/>
  <c r="K39" i="14" s="1"/>
  <c r="N19" i="19"/>
  <c r="O39" i="14" s="1"/>
  <c r="C51" i="18"/>
  <c r="I5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4" i="18"/>
  <c r="E8" i="18" s="1"/>
  <c r="F76" i="14" s="1"/>
  <c r="F7" i="48"/>
  <c r="F25" i="48" s="1"/>
  <c r="D54" i="18"/>
  <c r="O9" i="18"/>
  <c r="M29" i="48"/>
  <c r="F12" i="17"/>
  <c r="G54" i="14" s="1"/>
  <c r="G56" i="14" s="1"/>
  <c r="C55" i="18"/>
  <c r="C54" i="18"/>
  <c r="B10" i="18"/>
  <c r="E55" i="18"/>
  <c r="E17" i="18" s="1"/>
  <c r="F87" i="14" s="1"/>
  <c r="G55" i="18"/>
  <c r="D7" i="48"/>
  <c r="D25" i="48" s="1"/>
  <c r="H54" i="18"/>
  <c r="G54" i="18"/>
  <c r="D55" i="18"/>
  <c r="L28" i="48"/>
  <c r="H55" i="18"/>
  <c r="I55" i="18"/>
  <c r="H17" i="18" s="1"/>
  <c r="F55" i="18"/>
  <c r="F54" i="18"/>
  <c r="H10" i="18"/>
  <c r="M78" i="14"/>
  <c r="B54"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8" i="15"/>
  <c r="C20" i="15" s="1"/>
  <c r="D40" i="14" s="1"/>
  <c r="C10" i="13"/>
  <c r="C12" i="13" s="1"/>
  <c r="D41" i="14" s="1"/>
  <c r="D46" i="14" s="1"/>
  <c r="D61" i="14" s="1"/>
  <c r="D63" i="14" s="1"/>
  <c r="C56" i="22"/>
  <c r="C58" i="22" s="1"/>
  <c r="D49" i="14" s="1"/>
  <c r="D52" i="14" s="1"/>
  <c r="C10" i="17"/>
  <c r="C12" i="17" s="1"/>
  <c r="D54" i="14" s="1"/>
  <c r="D56" i="14" s="1"/>
  <c r="C17" i="49"/>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<sst xmlns="http://schemas.openxmlformats.org/spreadsheetml/2006/main" count="2436" uniqueCount="900">
  <si>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</si>
  <si>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</si>
  <si>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</si>
  <si>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</si>
  <si>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</si>
  <si>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</si>
  <si>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</si>
  <si>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</si>
  <si>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</si>
  <si>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</si>
  <si>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</si>
  <si>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</si>
  <si>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</si>
  <si>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</si>
  <si>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</si>
  <si>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</si>
  <si>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</si>
  <si>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</si>
  <si>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</si>
  <si>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</si>
  <si>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</si>
  <si>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</si>
  <si>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</si>
  <si>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</si>
  <si>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</si>
  <si>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</si>
  <si>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</si>
  <si>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</si>
  <si>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</si>
  <si>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</si>
  <si>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</si>
  <si>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</si>
  <si>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</si>
  <si>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</si>
  <si>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</si>
  <si>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</si>
  <si>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</si>
  <si>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</si>
  <si>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</si>
  <si>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</si>
  <si>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</si>
  <si>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</si>
  <si>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</si>
  <si>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</si>
  <si>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</si>
  <si>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</si>
  <si>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</si>
  <si>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</si>
  <si>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</si>
  <si>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</si>
  <si>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</si>
  <si>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</si>
  <si>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</si>
  <si>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</si>
  <si>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</si>
  <si>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</si>
  <si>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</si>
  <si>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</si>
  <si>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</si>
  <si>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</si>
  <si>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</si>
  <si>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</si>
  <si>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</si>
  <si>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</si>
  <si>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</si>
  <si>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</si>
  <si>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</si>
  <si>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</si>
  <si>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</si>
  <si>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</si>
  <si>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</si>
  <si>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</si>
  <si>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</si>
  <si>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</si>
  <si>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</si>
  <si>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</si>
  <si>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</si>
  <si>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</si>
  <si>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</si>
  <si>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</si>
  <si>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</si>
  <si>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</si>
  <si>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</si>
  <si>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</si>
  <si>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</si>
  <si>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</si>
  <si>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</si>
  <si>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</si>
  <si>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</si>
  <si>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</si>
  <si>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</si>
  <si>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</si>
  <si>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</si>
  <si>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</si>
  <si>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</si>
  <si>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</si>
  <si>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</si>
  <si>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</si>
  <si>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</si>
  <si>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</si>
  <si>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</si>
  <si>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</si>
  <si>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</si>
  <si>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</si>
  <si>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</si>
  <si>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</si>
  <si>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</si>
  <si>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</si>
  <si>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</si>
  <si>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</si>
  <si>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</si>
  <si>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</si>
  <si>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</si>
  <si>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</si>
  <si>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</si>
  <si>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</si>
  <si>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</si>
  <si>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</si>
  <si>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</si>
  <si>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</si>
  <si>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</si>
  <si>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</si>
  <si>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</si>
  <si>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</si>
  <si>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</si>
  <si>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</si>
  <si>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</si>
  <si>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</si>
  <si>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</si>
  <si>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</si>
  <si>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</si>
  <si>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</si>
  <si>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</si>
  <si>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</si>
  <si>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</si>
  <si>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</si>
  <si>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</si>
  <si>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</si>
  <si>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</si>
  <si>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</si>
  <si>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</si>
  <si>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</si>
  <si>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</si>
  <si>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</si>
  <si>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</si>
  <si>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</si>
  <si>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</si>
  <si>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</si>
  <si>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</si>
  <si>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</si>
  <si>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</si>
  <si>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</si>
  <si>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</si>
  <si>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</si>
  <si>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</si>
  <si>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</si>
  <si>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</si>
  <si>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</si>
  <si>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</si>
  <si>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</si>
  <si>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</si>
  <si>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</si>
  <si>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</si>
  <si>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</si>
  <si>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</si>
  <si>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</si>
  <si>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</si>
  <si>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</si>
  <si>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</si>
  <si>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</si>
  <si>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</si>
  <si>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</si>
  <si>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</si>
  <si>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</si>
  <si>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</si>
  <si>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</si>
  <si>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</si>
  <si>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</si>
  <si>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</si>
  <si>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</si>
  <si>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</si>
  <si>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</si>
  <si>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</si>
  <si>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</si>
  <si>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</si>
  <si>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</si>
  <si>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</si>
  <si>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</si>
  <si>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</si>
  <si>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</si>
  <si>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</si>
  <si>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</si>
  <si>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</si>
  <si>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</si>
  <si>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</si>
  <si>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</si>
  <si>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</si>
  <si>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</si>
  <si>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</si>
  <si>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</si>
  <si>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</si>
  <si>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</si>
  <si>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</si>
  <si>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</si>
  <si>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</si>
  <si>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</si>
  <si>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</si>
  <si>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</si>
  <si>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</si>
  <si>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</si>
  <si>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</si>
  <si>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</si>
  <si>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</si>
  <si>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</si>
  <si>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</si>
  <si>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</si>
  <si>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</si>
  <si>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</si>
  <si>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</si>
  <si>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</si>
  <si>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</si>
  <si>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</si>
  <si>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</si>
  <si>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</si>
  <si>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</si>
  <si>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</si>
  <si>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</si>
  <si>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</si>
  <si>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</si>
  <si>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</si>
  <si>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</si>
  <si>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</si>
  <si>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</si>
  <si>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</si>
  <si>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</si>
  <si>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</si>
  <si>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</si>
  <si>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</si>
  <si>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</si>
  <si>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</si>
  <si>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</si>
  <si>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</si>
  <si>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</si>
  <si>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</si>
  <si>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</si>
  <si>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</si>
  <si>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</si>
  <si>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</si>
  <si>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</si>
  <si>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</si>
  <si>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</si>
  <si>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</si>
  <si>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</si>
  <si>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</si>
  <si>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</si>
  <si>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</si>
  <si>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</si>
  <si>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</si>
  <si>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</si>
  <si>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</si>
  <si>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</si>
  <si>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</si>
  <si>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</si>
  <si>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</si>
  <si>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</si>
  <si>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</si>
  <si>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</si>
  <si>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</si>
  <si>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</si>
  <si>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</si>
  <si>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</si>
  <si>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</si>
  <si>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</si>
  <si>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</si>
  <si>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</si>
  <si>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</si>
  <si>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</si>
  <si>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</si>
  <si>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</si>
  <si>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</si>
  <si>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</si>
  <si>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</si>
  <si>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</si>
  <si>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</si>
  <si>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</si>
  <si>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</si>
  <si>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</si>
  <si>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</si>
  <si>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</si>
  <si>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</si>
  <si>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</si>
  <si>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</si>
  <si>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</si>
  <si>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</si>
  <si>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</si>
  <si>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</si>
  <si>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</si>
  <si>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</si>
  <si>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</si>
  <si>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</si>
  <si>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</si>
  <si>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</si>
  <si>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</si>
  <si>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</si>
  <si>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</si>
  <si>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</si>
  <si>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</si>
  <si>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</si>
  <si>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</si>
  <si>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</si>
  <si>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</si>
  <si>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</si>
  <si>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</si>
  <si>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</si>
  <si>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</si>
  <si>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</si>
  <si>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</si>
  <si>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</si>
  <si>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</si>
  <si>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</si>
  <si>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</si>
  <si>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</si>
  <si>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</si>
  <si>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</si>
  <si>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</si>
  <si>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</si>
  <si>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</si>
  <si>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</si>
  <si>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</si>
  <si>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</si>
  <si>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</si>
  <si>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</si>
  <si>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</si>
  <si>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</si>
  <si>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</si>
  <si>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</si>
  <si>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</si>
  <si>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</si>
  <si>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</si>
  <si>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</si>
  <si>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</si>
  <si>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</si>
  <si>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</si>
  <si>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</si>
  <si>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</si>
  <si>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</si>
  <si>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</si>
  <si>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</si>
  <si>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</si>
  <si>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</si>
  <si>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</si>
  <si>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</si>
  <si>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</si>
  <si>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</si>
  <si>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</si>
  <si>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</si>
  <si>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</si>
  <si>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</si>
  <si>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</si>
  <si>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</si>
  <si>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</si>
  <si>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</si>
  <si>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</si>
  <si>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</si>
  <si>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</si>
  <si>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</si>
  <si>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</si>
  <si>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</si>
  <si>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</si>
  <si>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</si>
  <si>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</si>
  <si>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</si>
  <si>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</si>
  <si>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</si>
  <si>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</si>
  <si>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</si>
  <si>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</si>
  <si>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</si>
  <si>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</si>
  <si>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</si>
  <si>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</si>
  <si>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</si>
  <si>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</si>
  <si>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</si>
  <si>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</si>
  <si>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</si>
  <si>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</si>
  <si>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</si>
  <si>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</si>
  <si>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</si>
  <si>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</si>
  <si>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</si>
  <si>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</si>
  <si>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</si>
  <si>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</si>
  <si>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</si>
  <si>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</si>
  <si>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</si>
  <si>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</si>
  <si>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</si>
  <si>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</si>
  <si>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</si>
  <si>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</si>
  <si>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</si>
  <si>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</si>
  <si>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</si>
  <si>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</si>
  <si>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</si>
  <si>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</si>
  <si>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</si>
  <si>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</si>
  <si>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</si>
  <si>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</si>
  <si>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</si>
  <si>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</si>
  <si>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</si>
  <si>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</si>
  <si>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</si>
  <si>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</si>
  <si>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</si>
  <si>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</si>
  <si>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</si>
  <si>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</si>
  <si>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</si>
  <si>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</si>
  <si>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</si>
  <si>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</si>
  <si>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</si>
  <si>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</si>
  <si>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</si>
  <si>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</si>
  <si>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</si>
  <si>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</si>
  <si>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</si>
  <si>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</si>
  <si>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</si>
  <si>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</si>
  <si>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</si>
  <si>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</si>
  <si>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</si>
  <si>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</si>
  <si>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</si>
  <si>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</si>
  <si>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</si>
  <si>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</si>
  <si>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</si>
  <si>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</si>
  <si>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</si>
  <si>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</si>
  <si>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</si>
  <si>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</si>
  <si>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</si>
  <si>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</si>
  <si>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</si>
  <si>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</si>
  <si>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</si>
  <si>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</si>
  <si>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</si>
  <si>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</si>
  <si>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</si>
  <si>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</si>
  <si>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</si>
  <si>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</si>
  <si>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</si>
  <si>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</si>
  <si>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</si>
  <si>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</si>
  <si>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</si>
  <si>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</si>
  <si>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</si>
  <si>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</si>
  <si>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</si>
  <si>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</si>
  <si>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</si>
  <si>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</si>
  <si>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</si>
  <si>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</si>
  <si>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</si>
  <si>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</si>
  <si>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</si>
  <si>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</si>
  <si>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</si>
  <si>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</si>
  <si>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</si>
  <si>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</si>
  <si>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</si>
  <si>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</si>
  <si>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</si>
  <si>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</si>
  <si>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</si>
  <si>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</si>
  <si>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</si>
  <si>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</si>
  <si>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</si>
  <si>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</si>
  <si>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</si>
  <si>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</si>
  <si>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</si>
  <si>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</si>
  <si>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</si>
  <si>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</si>
  <si>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</si>
  <si>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</si>
  <si>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</si>
  <si>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</si>
  <si>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</si>
  <si>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</si>
  <si>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</si>
  <si>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</si>
  <si>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</si>
  <si>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</si>
  <si>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</si>
  <si>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</si>
  <si>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</si>
  <si>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</si>
  <si>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</si>
  <si>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</si>
  <si>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</si>
  <si>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</si>
  <si>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</si>
  <si>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</si>
  <si>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</si>
  <si>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</si>
  <si>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</si>
  <si>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</si>
  <si>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</si>
  <si>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</si>
  <si>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</si>
  <si>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</si>
  <si>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</si>
  <si>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</si>
  <si>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</si>
  <si>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</si>
  <si>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</si>
  <si>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</si>
  <si>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</si>
  <si>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</si>
  <si>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</si>
  <si>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</si>
  <si>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</si>
  <si>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</si>
  <si>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</si>
  <si>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</si>
  <si>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</si>
  <si>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</si>
  <si>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</si>
  <si>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</si>
  <si>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</si>
  <si>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</si>
  <si>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</si>
  <si>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</si>
  <si>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</si>
  <si>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</si>
  <si>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</si>
  <si>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</si>
  <si>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</si>
  <si>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</si>
  <si>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</si>
  <si>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</si>
  <si>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</si>
  <si>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</si>
  <si>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</si>
  <si>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</si>
  <si>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</si>
  <si>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</si>
  <si>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</si>
  <si>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</si>
  <si>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</si>
  <si>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</si>
  <si>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</si>
  <si>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</si>
  <si>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</si>
  <si>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</si>
  <si>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</si>
  <si>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</si>
  <si>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</si>
  <si>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</si>
  <si>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</si>
  <si>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</si>
  <si>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</si>
  <si>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</si>
  <si>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</si>
  <si>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</si>
  <si>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</si>
  <si>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</si>
  <si>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</si>
  <si>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</si>
  <si>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</si>
  <si>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</si>
  <si>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</si>
  <si>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</si>
  <si>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</si>
  <si>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</si>
  <si>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</si>
  <si>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</si>
  <si>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</si>
  <si>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</si>
  <si>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</si>
  <si>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</si>
  <si>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</si>
  <si>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</si>
  <si>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</si>
  <si>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</si>
  <si>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</si>
  <si>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</si>
  <si>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</si>
  <si>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</si>
  <si>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</si>
  <si>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</si>
  <si>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</si>
  <si>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</si>
  <si>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</si>
  <si>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</si>
  <si>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</si>
  <si>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</si>
  <si>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</si>
  <si>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</si>
  <si>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</si>
  <si>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</si>
  <si>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</si>
  <si>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</si>
  <si>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</si>
  <si>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</si>
  <si>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</si>
  <si>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</si>
  <si>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</si>
  <si>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</si>
  <si>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</si>
  <si>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</si>
  <si>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</si>
  <si>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</si>
  <si>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</si>
  <si>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</si>
  <si>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</si>
  <si>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</si>
  <si>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</si>
  <si>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</si>
  <si>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</si>
  <si>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</si>
  <si>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</si>
  <si>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</si>
  <si>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</si>
  <si>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</si>
  <si>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</si>
  <si>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</si>
  <si>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</si>
  <si>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</si>
  <si>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</si>
  <si>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</si>
  <si>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</si>
  <si>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</si>
  <si>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</si>
  <si>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</si>
  <si>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</si>
  <si>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</si>
  <si>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</si>
  <si>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</si>
  <si>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</si>
  <si>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</si>
  <si>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</si>
  <si>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</si>
  <si>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</si>
  <si>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</si>
  <si>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</si>
  <si>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</si>
  <si>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</si>
  <si>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</si>
  <si>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</si>
  <si>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</si>
  <si>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</si>
  <si>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</si>
  <si>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</si>
  <si>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</si>
  <si>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</si>
  <si>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</si>
  <si>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</si>
  <si>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</si>
  <si>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</si>
  <si>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</si>
  <si>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</si>
  <si>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</si>
  <si>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</si>
  <si>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</si>
  <si>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</si>
  <si>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</si>
  <si>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</si>
  <si>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</si>
  <si>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</si>
  <si>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</si>
  <si>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</si>
  <si>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</si>
  <si>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</si>
  <si>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</si>
  <si>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</si>
  <si>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</si>
  <si>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</si>
  <si>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</si>
  <si>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</si>
  <si>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</si>
  <si>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</si>
  <si>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</si>
  <si>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</si>
  <si>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</si>
  <si>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</si>
  <si>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</si>
  <si>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</si>
  <si>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</si>
  <si>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</si>
  <si>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</si>
  <si>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</si>
  <si>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</si>
  <si>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</si>
  <si>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</si>
  <si>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</si>
  <si>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</si>
  <si>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</si>
  <si>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</si>
  <si>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</si>
  <si>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</si>
  <si>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</si>
  <si>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</si>
  <si>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</si>
  <si>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</si>
  <si>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</si>
  <si>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</si>
  <si>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</si>
  <si>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</si>
  <si>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</si>
  <si>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</si>
  <si>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</si>
  <si>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</si>
  <si>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</si>
  <si>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</si>
  <si>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</si>
  <si>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</si>
  <si>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</si>
  <si>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</si>
  <si>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</si>
  <si>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</si>
  <si>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</si>
  <si>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</si>
  <si>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</si>
  <si>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</si>
  <si>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</si>
  <si>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</si>
  <si>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</si>
  <si>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</si>
  <si>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</si>
  <si>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</si>
  <si>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</si>
  <si>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</si>
  <si>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</si>
  <si>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</si>
  <si>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</si>
  <si>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</si>
  <si>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</si>
  <si>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</si>
  <si>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</si>
  <si>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</si>
  <si>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</si>
  <si>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</si>
  <si>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</si>
  <si>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</si>
  <si>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</si>
  <si>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</si>
  <si>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</si>
  <si>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</si>
  <si>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</si>
  <si>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</si>
  <si>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</si>
  <si>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</si>
  <si>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</si>
  <si>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</si>
  <si>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</si>
  <si>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</si>
  <si>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</si>
  <si>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</si>
  <si>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</si>
  <si>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</si>
  <si>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</si>
  <si>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</si>
  <si>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</si>
  <si>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</si>
  <si>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</si>
  <si>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</si>
  <si>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</si>
  <si>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</si>
  <si>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</si>
  <si>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</si>
  <si>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</si>
  <si>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</si>
  <si>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</si>
  <si>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</si>
  <si>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</si>
  <si>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</si>
  <si>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</si>
  <si>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</si>
  <si>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</si>
  <si>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</si>
  <si>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</si>
  <si>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</si>
  <si>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</si>
  <si>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</si>
  <si>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</si>
  <si>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</si>
  <si>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</si>
  <si>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</si>
  <si>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</si>
  <si>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</si>
  <si>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</si>
  <si>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</si>
  <si>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</si>
  <si>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</si>
  <si>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</si>
  <si>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</si>
  <si>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</si>
  <si>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</si>
  <si>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</si>
  <si>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</si>
  <si>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</si>
  <si>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</si>
  <si>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</si>
  <si>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</si>
  <si>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</si>
  <si>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</si>
  <si>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</si>
  <si>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</si>
  <si>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</si>
  <si>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</si>
  <si>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</si>
  <si>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</si>
  <si>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</si>
  <si>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</si>
  <si>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</si>
  <si>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</si>
  <si>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</si>
  <si>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</si>
  <si>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</si>
  <si>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</si>
  <si>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</si>
  <si>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</si>
  <si>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</si>
  <si>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</si>
  <si>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</si>
  <si>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</si>
  <si>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</si>
  <si>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</si>
  <si>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</si>
  <si>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</si>
  <si>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</si>
  <si>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</si>
  <si>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</si>
  <si>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</si>
  <si>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</si>
  <si>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</si>
  <si>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</si>
  <si>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</si>
  <si>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</si>
  <si>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</si>
  <si>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</si>
  <si>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</si>
  <si>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</si>
  <si>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33011</t>
  </si>
  <si>
    <t>IEPER</t>
  </si>
  <si>
    <t>referentietaak LNE (2017); Jaarverslag De Lijn</t>
  </si>
  <si>
    <t>Biomass Center Ieper bvba</t>
  </si>
  <si>
    <t>Bargiestraat 1, 8900 Ieper</t>
  </si>
  <si>
    <t>WKK-0102 Biomass Center Ieper</t>
  </si>
  <si>
    <t>interne verbrandingsmotor</t>
  </si>
  <si>
    <t>WKK interne verbrandinsgmotor (gas)</t>
  </si>
  <si>
    <t>GASELWEST</t>
  </si>
  <si>
    <t>Jan Yperman Ziekenhuis VZW</t>
  </si>
  <si>
    <t>Briekestraat 12 , 8900 Ieper</t>
  </si>
  <si>
    <t>WKK-0571 Jan Yperman Ziekenhuis</t>
  </si>
  <si>
    <t>Waterleau Newenergy Ieper nv</t>
  </si>
  <si>
    <t>Nieuwstraat 26 , 3150 Wespelaar</t>
  </si>
  <si>
    <t>WKK-0507 Waterleau Newenergy Ieper</t>
  </si>
  <si>
    <t>Bargiestraat 4 , 8900 Ieper</t>
  </si>
  <si>
    <t>Jurgen Debaene</t>
  </si>
  <si>
    <t>WKK-0786</t>
  </si>
  <si>
    <t>Biogas - hoofdzakelijk agrarische stromen</t>
  </si>
  <si>
    <t>Poperingseweg 48, 8908 Vlamertinge, BE</t>
  </si>
  <si>
    <t>GASELWEST (via EANDIS)</t>
  </si>
  <si>
    <t>IVVO</t>
  </si>
  <si>
    <t>WKK-0267</t>
  </si>
  <si>
    <t>Interne verbrandingsmotor</t>
  </si>
  <si>
    <t>Bargiestraat 6, 8900 Ieper, BE</t>
  </si>
  <si>
    <t>Solae</t>
  </si>
  <si>
    <t>Ieper</t>
  </si>
  <si>
    <t>WKK-0049</t>
  </si>
  <si>
    <t>Zwaanhofweg 1</t>
  </si>
  <si>
    <t>Gaselwest (via EANDIS)</t>
  </si>
  <si>
    <t>PZHH Ieper</t>
  </si>
  <si>
    <t>WKK-0895</t>
  </si>
  <si>
    <t>Poperingseweg 16 16</t>
  </si>
  <si>
    <t>IVVO cvba</t>
  </si>
  <si>
    <t>Bargiestraat 6 , 8900 Ieper</t>
  </si>
  <si>
    <t>BGS-0028</t>
  </si>
  <si>
    <t>biogas - GFT met compostering</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</si>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</sst>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252807.36834237498</c:v>
                </c:pt>
                <c:pt idx="1">
                  <c:v>221568.60491686602</c:v>
                </c:pt>
                <c:pt idx="2">
                  <c:v>2839.857</c:v>
                </c:pt>
                <c:pt idx="3">
                  <c:v>63053.072387764929</c:v>
                </c:pt>
                <c:pt idx="4">
                  <c:v>458416.84617368336</c:v>
                </c:pt>
                <c:pt idx="5">
                  <c:v>233875.74540048948</c:v>
                </c:pt>
                <c:pt idx="6">
                  <c:v>3491.346701057983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252807.36834237498</c:v>
                </c:pt>
                <c:pt idx="1">
                  <c:v>221568.60491686602</c:v>
                </c:pt>
                <c:pt idx="2">
                  <c:v>2839.857</c:v>
                </c:pt>
                <c:pt idx="3">
                  <c:v>63053.072387764929</c:v>
                </c:pt>
                <c:pt idx="4">
                  <c:v>458416.84617368336</c:v>
                </c:pt>
                <c:pt idx="5">
                  <c:v>233875.74540048948</c:v>
                </c:pt>
                <c:pt idx="6">
                  <c:v>3491.346701057983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42397.065261707816</c:v>
                </c:pt>
                <c:pt idx="1">
                  <c:v>37953.547448078745</c:v>
                </c:pt>
                <c:pt idx="2">
                  <c:v>473.4928584590545</c:v>
                </c:pt>
                <c:pt idx="3">
                  <c:v>13144.457671299499</c:v>
                </c:pt>
                <c:pt idx="4">
                  <c:v>86106.939516164217</c:v>
                </c:pt>
                <c:pt idx="5">
                  <c:v>58202.800776190765</c:v>
                </c:pt>
                <c:pt idx="6">
                  <c:v>884.20743753998147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42397.065261707816</c:v>
                </c:pt>
                <c:pt idx="1">
                  <c:v>37953.547448078745</c:v>
                </c:pt>
                <c:pt idx="2">
                  <c:v>473.4928584590545</c:v>
                </c:pt>
                <c:pt idx="3">
                  <c:v>13144.457671299499</c:v>
                </c:pt>
                <c:pt idx="4">
                  <c:v>86106.939516164217</c:v>
                </c:pt>
                <c:pt idx="5">
                  <c:v>58202.800776190765</c:v>
                </c:pt>
                <c:pt idx="6">
                  <c:v>884.20743753998147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33011</v>
      </c>
      <c r="B6" s="392"/>
      <c r="C6" s="393"/>
    </row>
    <row r="7" spans="1:7" s="390" customFormat="1" ht="15.75" customHeight="1">
      <c r="A7" s="394" t="str">
        <f>txtMunicipality</f>
        <v>IEPER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104486.56178330156</v>
      </c>
      <c r="D10" s="689">
        <f ca="1">tertiair!C16</f>
        <v>27077.142857142859</v>
      </c>
      <c r="E10" s="689">
        <f ca="1">tertiair!D16</f>
        <v>80926.492622596619</v>
      </c>
      <c r="F10" s="689">
        <f>tertiair!E16</f>
        <v>181.12553005913696</v>
      </c>
      <c r="G10" s="689">
        <f ca="1">tertiair!F16</f>
        <v>11367.963598780294</v>
      </c>
      <c r="H10" s="689">
        <f>tertiair!G16</f>
        <v>0</v>
      </c>
      <c r="I10" s="689">
        <f>tertiair!H16</f>
        <v>0</v>
      </c>
      <c r="J10" s="689">
        <f>tertiair!I16</f>
        <v>0</v>
      </c>
      <c r="K10" s="689">
        <f>tertiair!J16</f>
        <v>7.0826722337533579E-2</v>
      </c>
      <c r="L10" s="689">
        <f>tertiair!K16</f>
        <v>0</v>
      </c>
      <c r="M10" s="689">
        <f ca="1">tertiair!L16</f>
        <v>0</v>
      </c>
      <c r="N10" s="689">
        <f>tertiair!M16</f>
        <v>0</v>
      </c>
      <c r="O10" s="689">
        <f ca="1">tertiair!N16</f>
        <v>0</v>
      </c>
      <c r="P10" s="689">
        <f>tertiair!O16</f>
        <v>53.869868424252701</v>
      </c>
      <c r="Q10" s="690">
        <f>tertiair!P16</f>
        <v>315.23482983897009</v>
      </c>
      <c r="R10" s="692">
        <f ca="1">SUM(C10:Q10)</f>
        <v>224408.46191686604</v>
      </c>
      <c r="S10" s="67"/>
    </row>
    <row r="11" spans="1:19" s="451" customFormat="1">
      <c r="A11" s="811" t="s">
        <v>224</v>
      </c>
      <c r="B11" s="816"/>
      <c r="C11" s="689">
        <f>huishoudens!B8</f>
        <v>56654.359737860876</v>
      </c>
      <c r="D11" s="689">
        <f>huishoudens!C8</f>
        <v>0</v>
      </c>
      <c r="E11" s="689">
        <f>huishoudens!D8</f>
        <v>134360.83810743672</v>
      </c>
      <c r="F11" s="689">
        <f>huishoudens!E8</f>
        <v>22518.233630118837</v>
      </c>
      <c r="G11" s="689">
        <f>huishoudens!F8</f>
        <v>0</v>
      </c>
      <c r="H11" s="689">
        <f>huishoudens!G8</f>
        <v>0</v>
      </c>
      <c r="I11" s="689">
        <f>huishoudens!H8</f>
        <v>0</v>
      </c>
      <c r="J11" s="689">
        <f>huishoudens!I8</f>
        <v>0</v>
      </c>
      <c r="K11" s="689">
        <f>huishoudens!J8</f>
        <v>1973.1234178167394</v>
      </c>
      <c r="L11" s="689">
        <f>huishoudens!K8</f>
        <v>0</v>
      </c>
      <c r="M11" s="689">
        <f>huishoudens!L8</f>
        <v>0</v>
      </c>
      <c r="N11" s="689">
        <f>huishoudens!M8</f>
        <v>0</v>
      </c>
      <c r="O11" s="689">
        <f>huishoudens!N8</f>
        <v>35339.475529829193</v>
      </c>
      <c r="P11" s="689">
        <f>huishoudens!O8</f>
        <v>1192.3588898516061</v>
      </c>
      <c r="Q11" s="690">
        <f>huishoudens!P8</f>
        <v>768.9790294610068</v>
      </c>
      <c r="R11" s="692">
        <f>SUM(C11:Q11)</f>
        <v>252807.36834237498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179542.16751058138</v>
      </c>
      <c r="D13" s="689">
        <f>industrie!C18</f>
        <v>9642.8571428571431</v>
      </c>
      <c r="E13" s="689">
        <f>industrie!D18</f>
        <v>232408.885152909</v>
      </c>
      <c r="F13" s="689">
        <f>industrie!E18</f>
        <v>1658.9231987203459</v>
      </c>
      <c r="G13" s="689">
        <f>industrie!F18</f>
        <v>30954.239459422919</v>
      </c>
      <c r="H13" s="689">
        <f>industrie!G18</f>
        <v>0</v>
      </c>
      <c r="I13" s="689">
        <f>industrie!H18</f>
        <v>0</v>
      </c>
      <c r="J13" s="689">
        <f>industrie!I18</f>
        <v>0</v>
      </c>
      <c r="K13" s="689">
        <f>industrie!J18</f>
        <v>57.042154587755505</v>
      </c>
      <c r="L13" s="689">
        <f>industrie!K18</f>
        <v>0</v>
      </c>
      <c r="M13" s="689">
        <f>industrie!L18</f>
        <v>0</v>
      </c>
      <c r="N13" s="689">
        <f>industrie!M18</f>
        <v>0</v>
      </c>
      <c r="O13" s="689">
        <f>industrie!N18</f>
        <v>4152.7315546048421</v>
      </c>
      <c r="P13" s="689">
        <f>industrie!O18</f>
        <v>0</v>
      </c>
      <c r="Q13" s="690">
        <f>industrie!P18</f>
        <v>0</v>
      </c>
      <c r="R13" s="692">
        <f>SUM(C13:Q13)</f>
        <v>458416.84617368336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340683.08903174382</v>
      </c>
      <c r="D16" s="725">
        <f t="shared" ref="D16:R16" ca="1" si="0">SUM(D9:D15)</f>
        <v>36720</v>
      </c>
      <c r="E16" s="725">
        <f t="shared" ca="1" si="0"/>
        <v>447696.21588294231</v>
      </c>
      <c r="F16" s="725">
        <f t="shared" si="0"/>
        <v>24358.282358898319</v>
      </c>
      <c r="G16" s="725">
        <f t="shared" ca="1" si="0"/>
        <v>42322.203058203217</v>
      </c>
      <c r="H16" s="725">
        <f t="shared" si="0"/>
        <v>0</v>
      </c>
      <c r="I16" s="725">
        <f t="shared" si="0"/>
        <v>0</v>
      </c>
      <c r="J16" s="725">
        <f t="shared" si="0"/>
        <v>0</v>
      </c>
      <c r="K16" s="725">
        <f t="shared" si="0"/>
        <v>2030.2363991268326</v>
      </c>
      <c r="L16" s="725">
        <f t="shared" si="0"/>
        <v>0</v>
      </c>
      <c r="M16" s="725">
        <f t="shared" ca="1" si="0"/>
        <v>0</v>
      </c>
      <c r="N16" s="725">
        <f t="shared" si="0"/>
        <v>0</v>
      </c>
      <c r="O16" s="725">
        <f t="shared" ca="1" si="0"/>
        <v>39492.207084434034</v>
      </c>
      <c r="P16" s="725">
        <f t="shared" si="0"/>
        <v>1246.2287582758588</v>
      </c>
      <c r="Q16" s="725">
        <f t="shared" si="0"/>
        <v>1084.2138592999768</v>
      </c>
      <c r="R16" s="725">
        <f t="shared" ca="1" si="0"/>
        <v>935632.67643292435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3311.6383428463723</v>
      </c>
      <c r="I19" s="689">
        <f>transport!H54</f>
        <v>0</v>
      </c>
      <c r="J19" s="689">
        <f>transport!I54</f>
        <v>0</v>
      </c>
      <c r="K19" s="689">
        <f>transport!J54</f>
        <v>0</v>
      </c>
      <c r="L19" s="689">
        <f>transport!K54</f>
        <v>0</v>
      </c>
      <c r="M19" s="689">
        <f>transport!L54</f>
        <v>0</v>
      </c>
      <c r="N19" s="689">
        <f>transport!M54</f>
        <v>179.70835821161069</v>
      </c>
      <c r="O19" s="689">
        <f>transport!N54</f>
        <v>0</v>
      </c>
      <c r="P19" s="689">
        <f>transport!O54</f>
        <v>0</v>
      </c>
      <c r="Q19" s="690">
        <f>transport!P54</f>
        <v>0</v>
      </c>
      <c r="R19" s="692">
        <f>SUM(C19:Q19)</f>
        <v>3491.346701057983</v>
      </c>
      <c r="S19" s="67"/>
    </row>
    <row r="20" spans="1:19" s="451" customFormat="1">
      <c r="A20" s="811" t="s">
        <v>306</v>
      </c>
      <c r="B20" s="816"/>
      <c r="C20" s="689">
        <f>transport!B14</f>
        <v>156.0737421740437</v>
      </c>
      <c r="D20" s="689">
        <f>transport!C14</f>
        <v>0</v>
      </c>
      <c r="E20" s="689">
        <f>transport!D14</f>
        <v>630.80247063971876</v>
      </c>
      <c r="F20" s="689">
        <f>transport!E14</f>
        <v>341.08852888886167</v>
      </c>
      <c r="G20" s="689">
        <f>transport!F14</f>
        <v>0</v>
      </c>
      <c r="H20" s="689">
        <f>transport!G14</f>
        <v>179565.25973371632</v>
      </c>
      <c r="I20" s="689">
        <f>transport!H14</f>
        <v>40273.111906538485</v>
      </c>
      <c r="J20" s="689">
        <f>transport!I14</f>
        <v>0</v>
      </c>
      <c r="K20" s="689">
        <f>transport!J14</f>
        <v>0</v>
      </c>
      <c r="L20" s="689">
        <f>transport!K14</f>
        <v>0</v>
      </c>
      <c r="M20" s="689">
        <f>transport!L14</f>
        <v>0</v>
      </c>
      <c r="N20" s="689">
        <f>transport!M14</f>
        <v>12909.409018532053</v>
      </c>
      <c r="O20" s="689">
        <f>transport!N14</f>
        <v>0</v>
      </c>
      <c r="P20" s="689">
        <f>transport!O14</f>
        <v>0</v>
      </c>
      <c r="Q20" s="690">
        <f>transport!P14</f>
        <v>0</v>
      </c>
      <c r="R20" s="692">
        <f>SUM(C20:Q20)</f>
        <v>233875.74540048948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156.0737421740437</v>
      </c>
      <c r="D22" s="814">
        <f t="shared" ref="D22:R22" si="1">SUM(D18:D21)</f>
        <v>0</v>
      </c>
      <c r="E22" s="814">
        <f t="shared" si="1"/>
        <v>630.80247063971876</v>
      </c>
      <c r="F22" s="814">
        <f t="shared" si="1"/>
        <v>341.08852888886167</v>
      </c>
      <c r="G22" s="814">
        <f t="shared" si="1"/>
        <v>0</v>
      </c>
      <c r="H22" s="814">
        <f t="shared" si="1"/>
        <v>182876.89807656268</v>
      </c>
      <c r="I22" s="814">
        <f t="shared" si="1"/>
        <v>40273.111906538485</v>
      </c>
      <c r="J22" s="814">
        <f t="shared" si="1"/>
        <v>0</v>
      </c>
      <c r="K22" s="814">
        <f t="shared" si="1"/>
        <v>0</v>
      </c>
      <c r="L22" s="814">
        <f t="shared" si="1"/>
        <v>0</v>
      </c>
      <c r="M22" s="814">
        <f t="shared" si="1"/>
        <v>0</v>
      </c>
      <c r="N22" s="814">
        <f t="shared" si="1"/>
        <v>13089.117376743663</v>
      </c>
      <c r="O22" s="814">
        <f t="shared" si="1"/>
        <v>0</v>
      </c>
      <c r="P22" s="814">
        <f t="shared" si="1"/>
        <v>0</v>
      </c>
      <c r="Q22" s="814">
        <f t="shared" si="1"/>
        <v>0</v>
      </c>
      <c r="R22" s="814">
        <f t="shared" si="1"/>
        <v>237367.09210154746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10820.7037915852</v>
      </c>
      <c r="D24" s="689">
        <f>+landbouw!C8</f>
        <v>13474.285714285716</v>
      </c>
      <c r="E24" s="689">
        <f>+landbouw!D8</f>
        <v>407.51318879752029</v>
      </c>
      <c r="F24" s="689">
        <f>+landbouw!E8</f>
        <v>403.53714256002661</v>
      </c>
      <c r="G24" s="689">
        <f>+landbouw!F8</f>
        <v>35106.544384435612</v>
      </c>
      <c r="H24" s="689">
        <f>+landbouw!G8</f>
        <v>0</v>
      </c>
      <c r="I24" s="689">
        <f>+landbouw!H8</f>
        <v>0</v>
      </c>
      <c r="J24" s="689">
        <f>+landbouw!I8</f>
        <v>0</v>
      </c>
      <c r="K24" s="689">
        <f>+landbouw!J8</f>
        <v>2840.4881661008535</v>
      </c>
      <c r="L24" s="689">
        <f>+landbouw!K8</f>
        <v>0</v>
      </c>
      <c r="M24" s="689">
        <f>+landbouw!L8</f>
        <v>0</v>
      </c>
      <c r="N24" s="689">
        <f>+landbouw!M8</f>
        <v>0</v>
      </c>
      <c r="O24" s="689">
        <f>+landbouw!N8</f>
        <v>0</v>
      </c>
      <c r="P24" s="689">
        <f>+landbouw!O8</f>
        <v>0</v>
      </c>
      <c r="Q24" s="690">
        <f>+landbouw!P8</f>
        <v>0</v>
      </c>
      <c r="R24" s="692">
        <f>SUM(C24:Q24)</f>
        <v>63053.072387764929</v>
      </c>
      <c r="S24" s="67"/>
    </row>
    <row r="25" spans="1:19" s="451" customFormat="1" ht="15" thickBot="1">
      <c r="A25" s="833" t="s">
        <v>714</v>
      </c>
      <c r="B25" s="947"/>
      <c r="C25" s="948">
        <f>IF(Onbekend_ele_kWh="---",0,Onbekend_ele_kWh)/1000+IF(REST_rest_ele_kWh="---",0,REST_rest_ele_kWh)/1000</f>
        <v>2188.0307544019397</v>
      </c>
      <c r="D25" s="948"/>
      <c r="E25" s="948">
        <f>IF(onbekend_gas_kWh="---",0,onbekend_gas_kWh)/1000+IF(REST_rest_gas_kWh="---",0,REST_rest_gas_kWh)/1000</f>
        <v>7495.7994679409603</v>
      </c>
      <c r="F25" s="948"/>
      <c r="G25" s="948"/>
      <c r="H25" s="948"/>
      <c r="I25" s="948"/>
      <c r="J25" s="948"/>
      <c r="K25" s="948"/>
      <c r="L25" s="948"/>
      <c r="M25" s="948"/>
      <c r="N25" s="948"/>
      <c r="O25" s="948"/>
      <c r="P25" s="948"/>
      <c r="Q25" s="949"/>
      <c r="R25" s="692">
        <f>SUM(C25:Q25)</f>
        <v>9683.8302223429</v>
      </c>
      <c r="S25" s="67"/>
    </row>
    <row r="26" spans="1:19" s="451" customFormat="1" ht="15.75" thickBot="1">
      <c r="A26" s="697" t="s">
        <v>715</v>
      </c>
      <c r="B26" s="819"/>
      <c r="C26" s="814">
        <f>SUM(C24:C25)</f>
        <v>13008.734545987139</v>
      </c>
      <c r="D26" s="814">
        <f t="shared" ref="D26:R26" si="2">SUM(D24:D25)</f>
        <v>13474.285714285716</v>
      </c>
      <c r="E26" s="814">
        <f t="shared" si="2"/>
        <v>7903.3126567384807</v>
      </c>
      <c r="F26" s="814">
        <f t="shared" si="2"/>
        <v>403.53714256002661</v>
      </c>
      <c r="G26" s="814">
        <f t="shared" si="2"/>
        <v>35106.544384435612</v>
      </c>
      <c r="H26" s="814">
        <f t="shared" si="2"/>
        <v>0</v>
      </c>
      <c r="I26" s="814">
        <f t="shared" si="2"/>
        <v>0</v>
      </c>
      <c r="J26" s="814">
        <f t="shared" si="2"/>
        <v>0</v>
      </c>
      <c r="K26" s="814">
        <f t="shared" si="2"/>
        <v>2840.4881661008535</v>
      </c>
      <c r="L26" s="814">
        <f t="shared" si="2"/>
        <v>0</v>
      </c>
      <c r="M26" s="814">
        <f t="shared" si="2"/>
        <v>0</v>
      </c>
      <c r="N26" s="814">
        <f t="shared" si="2"/>
        <v>0</v>
      </c>
      <c r="O26" s="814">
        <f t="shared" si="2"/>
        <v>0</v>
      </c>
      <c r="P26" s="814">
        <f t="shared" si="2"/>
        <v>0</v>
      </c>
      <c r="Q26" s="814">
        <f t="shared" si="2"/>
        <v>0</v>
      </c>
      <c r="R26" s="814">
        <f t="shared" si="2"/>
        <v>72736.902610107834</v>
      </c>
      <c r="S26" s="67"/>
    </row>
    <row r="27" spans="1:19" s="451" customFormat="1" ht="17.25" thickTop="1" thickBot="1">
      <c r="A27" s="698" t="s">
        <v>115</v>
      </c>
      <c r="B27" s="806"/>
      <c r="C27" s="699">
        <f ca="1">C22+C16+C26</f>
        <v>353847.89731990499</v>
      </c>
      <c r="D27" s="699">
        <f t="shared" ref="D27:R27" ca="1" si="3">D22+D16+D26</f>
        <v>50194.285714285717</v>
      </c>
      <c r="E27" s="699">
        <f t="shared" ca="1" si="3"/>
        <v>456230.33101032051</v>
      </c>
      <c r="F27" s="699">
        <f t="shared" si="3"/>
        <v>25102.908030347207</v>
      </c>
      <c r="G27" s="699">
        <f t="shared" ca="1" si="3"/>
        <v>77428.747442638822</v>
      </c>
      <c r="H27" s="699">
        <f t="shared" si="3"/>
        <v>182876.89807656268</v>
      </c>
      <c r="I27" s="699">
        <f t="shared" si="3"/>
        <v>40273.111906538485</v>
      </c>
      <c r="J27" s="699">
        <f t="shared" si="3"/>
        <v>0</v>
      </c>
      <c r="K27" s="699">
        <f t="shared" si="3"/>
        <v>4870.7245652276861</v>
      </c>
      <c r="L27" s="699">
        <f t="shared" si="3"/>
        <v>0</v>
      </c>
      <c r="M27" s="699">
        <f t="shared" ca="1" si="3"/>
        <v>0</v>
      </c>
      <c r="N27" s="699">
        <f t="shared" si="3"/>
        <v>13089.117376743663</v>
      </c>
      <c r="O27" s="699">
        <f t="shared" ca="1" si="3"/>
        <v>39492.207084434034</v>
      </c>
      <c r="P27" s="699">
        <f t="shared" si="3"/>
        <v>1246.2287582758588</v>
      </c>
      <c r="Q27" s="699">
        <f t="shared" si="3"/>
        <v>1084.2138592999768</v>
      </c>
      <c r="R27" s="699">
        <f t="shared" ca="1" si="3"/>
        <v>1245736.6711445795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17421.173252503228</v>
      </c>
      <c r="D40" s="689">
        <f ca="1">tertiair!C20</f>
        <v>1582.3286954125915</v>
      </c>
      <c r="E40" s="689">
        <f ca="1">tertiair!D20</f>
        <v>16347.151509764519</v>
      </c>
      <c r="F40" s="689">
        <f>tertiair!E20</f>
        <v>41.115495323424092</v>
      </c>
      <c r="G40" s="689">
        <f ca="1">tertiair!F20</f>
        <v>3035.2462808743385</v>
      </c>
      <c r="H40" s="689">
        <f>tertiair!G20</f>
        <v>0</v>
      </c>
      <c r="I40" s="689">
        <f>tertiair!H20</f>
        <v>0</v>
      </c>
      <c r="J40" s="689">
        <f>tertiair!I20</f>
        <v>0</v>
      </c>
      <c r="K40" s="689">
        <f>tertiair!J20</f>
        <v>2.5072659707486886E-2</v>
      </c>
      <c r="L40" s="689">
        <f>tertiair!K20</f>
        <v>0</v>
      </c>
      <c r="M40" s="689">
        <f ca="1">tertiair!L20</f>
        <v>0</v>
      </c>
      <c r="N40" s="689">
        <f>tertiair!M20</f>
        <v>0</v>
      </c>
      <c r="O40" s="689">
        <f ca="1">tertiair!N20</f>
        <v>0</v>
      </c>
      <c r="P40" s="689">
        <f>tertiair!O20</f>
        <v>0</v>
      </c>
      <c r="Q40" s="772">
        <f>tertiair!P20</f>
        <v>0</v>
      </c>
      <c r="R40" s="852">
        <f t="shared" ca="1" si="4"/>
        <v>38427.040306537805</v>
      </c>
    </row>
    <row r="41" spans="1:18">
      <c r="A41" s="824" t="s">
        <v>224</v>
      </c>
      <c r="B41" s="831"/>
      <c r="C41" s="689">
        <f ca="1">huishoudens!B12</f>
        <v>9446.0512400614953</v>
      </c>
      <c r="D41" s="689">
        <f ca="1">huishoudens!C12</f>
        <v>0</v>
      </c>
      <c r="E41" s="689">
        <f>huishoudens!D12</f>
        <v>27140.889297702219</v>
      </c>
      <c r="F41" s="689">
        <f>huishoudens!E12</f>
        <v>5111.6390340369762</v>
      </c>
      <c r="G41" s="689">
        <f>huishoudens!F12</f>
        <v>0</v>
      </c>
      <c r="H41" s="689">
        <f>huishoudens!G12</f>
        <v>0</v>
      </c>
      <c r="I41" s="689">
        <f>huishoudens!H12</f>
        <v>0</v>
      </c>
      <c r="J41" s="689">
        <f>huishoudens!I12</f>
        <v>0</v>
      </c>
      <c r="K41" s="689">
        <f>huishoudens!J12</f>
        <v>698.48568990712567</v>
      </c>
      <c r="L41" s="689">
        <f>huishoudens!K12</f>
        <v>0</v>
      </c>
      <c r="M41" s="689">
        <f>huishoudens!L12</f>
        <v>0</v>
      </c>
      <c r="N41" s="689">
        <f>huishoudens!M12</f>
        <v>0</v>
      </c>
      <c r="O41" s="689">
        <f>huishoudens!N12</f>
        <v>0</v>
      </c>
      <c r="P41" s="689">
        <f>huishoudens!O12</f>
        <v>0</v>
      </c>
      <c r="Q41" s="772">
        <f>huishoudens!P12</f>
        <v>0</v>
      </c>
      <c r="R41" s="852">
        <f t="shared" ca="1" si="4"/>
        <v>42397.065261707816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29935.286920615919</v>
      </c>
      <c r="D43" s="689">
        <f ca="1">industrie!C22</f>
        <v>563.50737016117932</v>
      </c>
      <c r="E43" s="689">
        <f>industrie!D22</f>
        <v>46946.594800887622</v>
      </c>
      <c r="F43" s="689">
        <f>industrie!E22</f>
        <v>376.57556610951855</v>
      </c>
      <c r="G43" s="689">
        <f>industrie!F22</f>
        <v>8264.7819356659202</v>
      </c>
      <c r="H43" s="689">
        <f>industrie!G22</f>
        <v>0</v>
      </c>
      <c r="I43" s="689">
        <f>industrie!H22</f>
        <v>0</v>
      </c>
      <c r="J43" s="689">
        <f>industrie!I22</f>
        <v>0</v>
      </c>
      <c r="K43" s="689">
        <f>industrie!J22</f>
        <v>20.192922724065447</v>
      </c>
      <c r="L43" s="689">
        <f>industrie!K22</f>
        <v>0</v>
      </c>
      <c r="M43" s="689">
        <f>industrie!L22</f>
        <v>0</v>
      </c>
      <c r="N43" s="689">
        <f>industrie!M22</f>
        <v>0</v>
      </c>
      <c r="O43" s="689">
        <f>industrie!N22</f>
        <v>0</v>
      </c>
      <c r="P43" s="689">
        <f>industrie!O22</f>
        <v>0</v>
      </c>
      <c r="Q43" s="772">
        <f>industrie!P22</f>
        <v>0</v>
      </c>
      <c r="R43" s="851">
        <f t="shared" ca="1" si="4"/>
        <v>86106.939516164217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56802.511413180648</v>
      </c>
      <c r="D46" s="725">
        <f t="shared" ref="D46:Q46" ca="1" si="5">SUM(D39:D45)</f>
        <v>2145.8360655737706</v>
      </c>
      <c r="E46" s="725">
        <f t="shared" ca="1" si="5"/>
        <v>90434.635608354351</v>
      </c>
      <c r="F46" s="725">
        <f t="shared" si="5"/>
        <v>5529.3300954699189</v>
      </c>
      <c r="G46" s="725">
        <f t="shared" ca="1" si="5"/>
        <v>11300.028216540259</v>
      </c>
      <c r="H46" s="725">
        <f t="shared" si="5"/>
        <v>0</v>
      </c>
      <c r="I46" s="725">
        <f t="shared" si="5"/>
        <v>0</v>
      </c>
      <c r="J46" s="725">
        <f t="shared" si="5"/>
        <v>0</v>
      </c>
      <c r="K46" s="725">
        <f t="shared" si="5"/>
        <v>718.70368529089853</v>
      </c>
      <c r="L46" s="725">
        <f t="shared" si="5"/>
        <v>0</v>
      </c>
      <c r="M46" s="725">
        <f t="shared" ca="1" si="5"/>
        <v>0</v>
      </c>
      <c r="N46" s="725">
        <f t="shared" si="5"/>
        <v>0</v>
      </c>
      <c r="O46" s="725">
        <f t="shared" ca="1" si="5"/>
        <v>0</v>
      </c>
      <c r="P46" s="725">
        <f t="shared" si="5"/>
        <v>0</v>
      </c>
      <c r="Q46" s="725">
        <f t="shared" si="5"/>
        <v>0</v>
      </c>
      <c r="R46" s="725">
        <f ca="1">SUM(R39:R45)</f>
        <v>166931.04508440982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884.20743753998147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884.20743753998147</v>
      </c>
    </row>
    <row r="50" spans="1:18">
      <c r="A50" s="827" t="s">
        <v>306</v>
      </c>
      <c r="B50" s="837"/>
      <c r="C50" s="695">
        <f ca="1">transport!B18</f>
        <v>26.022367433426908</v>
      </c>
      <c r="D50" s="695">
        <f>transport!C18</f>
        <v>0</v>
      </c>
      <c r="E50" s="695">
        <f>transport!D18</f>
        <v>127.42209906922319</v>
      </c>
      <c r="F50" s="695">
        <f>transport!E18</f>
        <v>77.427096057771607</v>
      </c>
      <c r="G50" s="695">
        <f>transport!F18</f>
        <v>0</v>
      </c>
      <c r="H50" s="695">
        <f>transport!G18</f>
        <v>47943.924348902263</v>
      </c>
      <c r="I50" s="695">
        <f>transport!H18</f>
        <v>10028.004864728082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58202.800776190765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26.022367433426908</v>
      </c>
      <c r="D52" s="725">
        <f t="shared" ref="D52:Q52" ca="1" si="6">SUM(D48:D51)</f>
        <v>0</v>
      </c>
      <c r="E52" s="725">
        <f t="shared" si="6"/>
        <v>127.42209906922319</v>
      </c>
      <c r="F52" s="725">
        <f t="shared" si="6"/>
        <v>77.427096057771607</v>
      </c>
      <c r="G52" s="725">
        <f t="shared" si="6"/>
        <v>0</v>
      </c>
      <c r="H52" s="725">
        <f t="shared" si="6"/>
        <v>48828.131786442245</v>
      </c>
      <c r="I52" s="725">
        <f t="shared" si="6"/>
        <v>10028.004864728082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59087.008213730747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1804.1492824520408</v>
      </c>
      <c r="D54" s="695">
        <f ca="1">+landbouw!C12</f>
        <v>787.40763190522125</v>
      </c>
      <c r="E54" s="695">
        <f>+landbouw!D12</f>
        <v>82.317664137099101</v>
      </c>
      <c r="F54" s="695">
        <f>+landbouw!E12</f>
        <v>91.602931361126039</v>
      </c>
      <c r="G54" s="695">
        <f>+landbouw!F12</f>
        <v>9373.4473506443082</v>
      </c>
      <c r="H54" s="695">
        <f>+landbouw!G12</f>
        <v>0</v>
      </c>
      <c r="I54" s="695">
        <f>+landbouw!H12</f>
        <v>0</v>
      </c>
      <c r="J54" s="695">
        <f>+landbouw!I12</f>
        <v>0</v>
      </c>
      <c r="K54" s="695">
        <f>+landbouw!J12</f>
        <v>1005.5328107997021</v>
      </c>
      <c r="L54" s="695">
        <f>+landbouw!K12</f>
        <v>0</v>
      </c>
      <c r="M54" s="695">
        <f>+landbouw!L12</f>
        <v>0</v>
      </c>
      <c r="N54" s="695">
        <f>+landbouw!M12</f>
        <v>0</v>
      </c>
      <c r="O54" s="695">
        <f>+landbouw!N12</f>
        <v>0</v>
      </c>
      <c r="P54" s="695">
        <f>+landbouw!O12</f>
        <v>0</v>
      </c>
      <c r="Q54" s="696">
        <f>+landbouw!P12</f>
        <v>0</v>
      </c>
      <c r="R54" s="724">
        <f ca="1">SUM(C54:Q54)</f>
        <v>13144.457671299499</v>
      </c>
    </row>
    <row r="55" spans="1:18" ht="15" thickBot="1">
      <c r="A55" s="827" t="s">
        <v>714</v>
      </c>
      <c r="B55" s="837"/>
      <c r="C55" s="695">
        <f ca="1">C25*'EF ele_warmte'!B12</f>
        <v>364.81306498816519</v>
      </c>
      <c r="D55" s="695"/>
      <c r="E55" s="695">
        <f>E25*EF_CO2_aardgas</f>
        <v>1514.151492524074</v>
      </c>
      <c r="F55" s="695"/>
      <c r="G55" s="695"/>
      <c r="H55" s="695"/>
      <c r="I55" s="695"/>
      <c r="J55" s="695"/>
      <c r="K55" s="695"/>
      <c r="L55" s="695"/>
      <c r="M55" s="695"/>
      <c r="N55" s="695"/>
      <c r="O55" s="695"/>
      <c r="P55" s="695"/>
      <c r="Q55" s="696"/>
      <c r="R55" s="724">
        <f ca="1">SUM(C55:Q55)</f>
        <v>1878.9645575122393</v>
      </c>
    </row>
    <row r="56" spans="1:18" ht="15.75" thickBot="1">
      <c r="A56" s="825" t="s">
        <v>715</v>
      </c>
      <c r="B56" s="838"/>
      <c r="C56" s="725">
        <f ca="1">SUM(C54:C55)</f>
        <v>2168.962347440206</v>
      </c>
      <c r="D56" s="725">
        <f t="shared" ref="D56:Q56" ca="1" si="7">SUM(D54:D55)</f>
        <v>787.40763190522125</v>
      </c>
      <c r="E56" s="725">
        <f t="shared" si="7"/>
        <v>1596.4691566611732</v>
      </c>
      <c r="F56" s="725">
        <f t="shared" si="7"/>
        <v>91.602931361126039</v>
      </c>
      <c r="G56" s="725">
        <f t="shared" si="7"/>
        <v>9373.4473506443082</v>
      </c>
      <c r="H56" s="725">
        <f t="shared" si="7"/>
        <v>0</v>
      </c>
      <c r="I56" s="725">
        <f t="shared" si="7"/>
        <v>0</v>
      </c>
      <c r="J56" s="725">
        <f t="shared" si="7"/>
        <v>0</v>
      </c>
      <c r="K56" s="725">
        <f t="shared" si="7"/>
        <v>1005.5328107997021</v>
      </c>
      <c r="L56" s="725">
        <f t="shared" si="7"/>
        <v>0</v>
      </c>
      <c r="M56" s="725">
        <f t="shared" si="7"/>
        <v>0</v>
      </c>
      <c r="N56" s="725">
        <f t="shared" si="7"/>
        <v>0</v>
      </c>
      <c r="O56" s="725">
        <f t="shared" si="7"/>
        <v>0</v>
      </c>
      <c r="P56" s="725">
        <f t="shared" si="7"/>
        <v>0</v>
      </c>
      <c r="Q56" s="726">
        <f t="shared" si="7"/>
        <v>0</v>
      </c>
      <c r="R56" s="727">
        <f ca="1">SUM(R54:R55)</f>
        <v>15023.422228811738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58997.496128054278</v>
      </c>
      <c r="D61" s="733">
        <f t="shared" ref="D61:Q61" ca="1" si="8">D46+D52+D56</f>
        <v>2933.2436974789916</v>
      </c>
      <c r="E61" s="733">
        <f t="shared" ca="1" si="8"/>
        <v>92158.52686408475</v>
      </c>
      <c r="F61" s="733">
        <f t="shared" si="8"/>
        <v>5698.3601228888165</v>
      </c>
      <c r="G61" s="733">
        <f t="shared" ca="1" si="8"/>
        <v>20673.475567184567</v>
      </c>
      <c r="H61" s="733">
        <f t="shared" si="8"/>
        <v>48828.131786442245</v>
      </c>
      <c r="I61" s="733">
        <f t="shared" si="8"/>
        <v>10028.004864728082</v>
      </c>
      <c r="J61" s="733">
        <f t="shared" si="8"/>
        <v>0</v>
      </c>
      <c r="K61" s="733">
        <f t="shared" si="8"/>
        <v>1724.2364960906007</v>
      </c>
      <c r="L61" s="733">
        <f t="shared" si="8"/>
        <v>0</v>
      </c>
      <c r="M61" s="733">
        <f t="shared" ca="1" si="8"/>
        <v>0</v>
      </c>
      <c r="N61" s="733">
        <f t="shared" si="8"/>
        <v>0</v>
      </c>
      <c r="O61" s="733">
        <f t="shared" ca="1" si="8"/>
        <v>0</v>
      </c>
      <c r="P61" s="733">
        <f t="shared" si="8"/>
        <v>0</v>
      </c>
      <c r="Q61" s="733">
        <f t="shared" si="8"/>
        <v>0</v>
      </c>
      <c r="R61" s="733">
        <f ca="1">R46+R52+R56</f>
        <v>241041.47552695233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0.16673123275540089</v>
      </c>
      <c r="D63" s="779">
        <f t="shared" ca="1" si="9"/>
        <v>5.843780135004821E-2</v>
      </c>
      <c r="E63" s="973">
        <f t="shared" ca="1" si="9"/>
        <v>0.20200000000000001</v>
      </c>
      <c r="F63" s="779">
        <f t="shared" si="9"/>
        <v>0.22700000000000001</v>
      </c>
      <c r="G63" s="779">
        <f t="shared" ca="1" si="9"/>
        <v>0.26700000000000002</v>
      </c>
      <c r="H63" s="779">
        <f t="shared" si="9"/>
        <v>0.26700000000000007</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38607.003091792758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18838.715314904213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26496</v>
      </c>
      <c r="C76" s="746">
        <f>'lokale energieproductie'!B8*IFERROR(SUM(D76:H76)/SUM(D76:O76),0)</f>
        <v>8640</v>
      </c>
      <c r="D76" s="956">
        <f>'lokale energieproductie'!C8</f>
        <v>10164.705882352942</v>
      </c>
      <c r="E76" s="957">
        <f>'lokale energieproductie'!D8</f>
        <v>0</v>
      </c>
      <c r="F76" s="957">
        <f>'lokale energieproductie'!E8</f>
        <v>0</v>
      </c>
      <c r="G76" s="957">
        <f>'lokale energieproductie'!F8</f>
        <v>0</v>
      </c>
      <c r="H76" s="957">
        <f>'lokale energieproductie'!G8</f>
        <v>0</v>
      </c>
      <c r="I76" s="957">
        <f>'lokale energieproductie'!I8</f>
        <v>0</v>
      </c>
      <c r="J76" s="957">
        <f>'lokale energieproductie'!J8</f>
        <v>31171.76470588235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2053.2705882352943</v>
      </c>
      <c r="R76" s="854">
        <v>0</v>
      </c>
    </row>
    <row r="77" spans="1:18" ht="15.75" thickBot="1">
      <c r="A77" s="749" t="s">
        <v>760</v>
      </c>
      <c r="B77" s="746">
        <f>'lokale energieproductie'!B9*IFERROR(SUM(I77:O77)/SUM(D77:O77),0)</f>
        <v>3600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10285.714285714286</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87541.718406696978</v>
      </c>
      <c r="C78" s="751">
        <f>SUM(C72:C77)</f>
        <v>8640</v>
      </c>
      <c r="D78" s="752">
        <f t="shared" ref="D78:H78" si="10">SUM(D76:D77)</f>
        <v>10164.705882352942</v>
      </c>
      <c r="E78" s="752">
        <f t="shared" si="10"/>
        <v>0</v>
      </c>
      <c r="F78" s="752">
        <f t="shared" si="10"/>
        <v>0</v>
      </c>
      <c r="G78" s="752">
        <f t="shared" si="10"/>
        <v>0</v>
      </c>
      <c r="H78" s="752">
        <f t="shared" si="10"/>
        <v>0</v>
      </c>
      <c r="I78" s="752">
        <f>SUM(I76:I77)</f>
        <v>0</v>
      </c>
      <c r="J78" s="752">
        <f>SUM(J76:J77)</f>
        <v>41457.478991596639</v>
      </c>
      <c r="K78" s="752">
        <f t="shared" ref="K78:L78" si="11">SUM(K76:K77)</f>
        <v>0</v>
      </c>
      <c r="L78" s="752">
        <f t="shared" si="11"/>
        <v>0</v>
      </c>
      <c r="M78" s="752">
        <f>SUM(M76:M77)</f>
        <v>0</v>
      </c>
      <c r="N78" s="752">
        <f>SUM(N76:N77)</f>
        <v>0</v>
      </c>
      <c r="O78" s="862">
        <f>SUM(O76:O77)</f>
        <v>0</v>
      </c>
      <c r="P78" s="753">
        <v>0</v>
      </c>
      <c r="Q78" s="753">
        <f>SUM(Q76:Q77)</f>
        <v>2053.2705882352943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37851.428571428565</v>
      </c>
      <c r="C87" s="764">
        <f>'lokale energieproductie'!B17*IFERROR(SUM(D87:H87)/SUM(D87:O87),0)</f>
        <v>12342.857142857145</v>
      </c>
      <c r="D87" s="775">
        <f>'lokale energieproductie'!C17</f>
        <v>14521.008403361346</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44531.092436974781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2933.2436974789921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37851.428571428565</v>
      </c>
      <c r="C90" s="751">
        <f>SUM(C87:C89)</f>
        <v>12342.857142857145</v>
      </c>
      <c r="D90" s="751">
        <f t="shared" ref="D90:H90" si="12">SUM(D87:D89)</f>
        <v>14521.008403361346</v>
      </c>
      <c r="E90" s="751">
        <f t="shared" si="12"/>
        <v>0</v>
      </c>
      <c r="F90" s="751">
        <f t="shared" si="12"/>
        <v>0</v>
      </c>
      <c r="G90" s="751">
        <f t="shared" si="12"/>
        <v>0</v>
      </c>
      <c r="H90" s="751">
        <f t="shared" si="12"/>
        <v>0</v>
      </c>
      <c r="I90" s="751">
        <f>SUM(I87:I89)</f>
        <v>0</v>
      </c>
      <c r="J90" s="751">
        <f>SUM(J87:J89)</f>
        <v>44531.092436974781</v>
      </c>
      <c r="K90" s="751">
        <f t="shared" ref="K90:L90" si="13">SUM(K87:K89)</f>
        <v>0</v>
      </c>
      <c r="L90" s="751">
        <f t="shared" si="13"/>
        <v>0</v>
      </c>
      <c r="M90" s="751">
        <f>SUM(M87:M89)</f>
        <v>0</v>
      </c>
      <c r="N90" s="751">
        <f>SUM(N87:N89)</f>
        <v>0</v>
      </c>
      <c r="O90" s="751">
        <f>SUM(O87:O89)</f>
        <v>0</v>
      </c>
      <c r="P90" s="751">
        <v>0</v>
      </c>
      <c r="Q90" s="751">
        <f>SUM(Q87:Q89)</f>
        <v>2933.2436974789921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56654.359737860876</v>
      </c>
      <c r="C4" s="455">
        <f>huishoudens!C8</f>
        <v>0</v>
      </c>
      <c r="D4" s="455">
        <f>huishoudens!D8</f>
        <v>134360.83810743672</v>
      </c>
      <c r="E4" s="455">
        <f>huishoudens!E8</f>
        <v>22518.233630118837</v>
      </c>
      <c r="F4" s="455">
        <f>huishoudens!F8</f>
        <v>0</v>
      </c>
      <c r="G4" s="455">
        <f>huishoudens!G8</f>
        <v>0</v>
      </c>
      <c r="H4" s="455">
        <f>huishoudens!H8</f>
        <v>0</v>
      </c>
      <c r="I4" s="455">
        <f>huishoudens!I8</f>
        <v>0</v>
      </c>
      <c r="J4" s="455">
        <f>huishoudens!J8</f>
        <v>1973.1234178167394</v>
      </c>
      <c r="K4" s="455">
        <f>huishoudens!K8</f>
        <v>0</v>
      </c>
      <c r="L4" s="455">
        <f>huishoudens!L8</f>
        <v>0</v>
      </c>
      <c r="M4" s="455">
        <f>huishoudens!M8</f>
        <v>0</v>
      </c>
      <c r="N4" s="455">
        <f>huishoudens!N8</f>
        <v>35339.475529829193</v>
      </c>
      <c r="O4" s="455">
        <f>huishoudens!O8</f>
        <v>1192.3588898516061</v>
      </c>
      <c r="P4" s="456">
        <f>huishoudens!P8</f>
        <v>768.9790294610068</v>
      </c>
      <c r="Q4" s="457">
        <f>SUM(B4:P4)</f>
        <v>252807.36834237498</v>
      </c>
    </row>
    <row r="5" spans="1:17">
      <c r="A5" s="454" t="s">
        <v>155</v>
      </c>
      <c r="B5" s="455">
        <f ca="1">tertiair!B16</f>
        <v>101646.70478330155</v>
      </c>
      <c r="C5" s="455">
        <f ca="1">tertiair!C16</f>
        <v>27077.142857142859</v>
      </c>
      <c r="D5" s="455">
        <f ca="1">tertiair!D16</f>
        <v>80926.492622596619</v>
      </c>
      <c r="E5" s="455">
        <f>tertiair!E16</f>
        <v>181.12553005913696</v>
      </c>
      <c r="F5" s="455">
        <f ca="1">tertiair!F16</f>
        <v>11367.963598780294</v>
      </c>
      <c r="G5" s="455">
        <f>tertiair!G16</f>
        <v>0</v>
      </c>
      <c r="H5" s="455">
        <f>tertiair!H16</f>
        <v>0</v>
      </c>
      <c r="I5" s="455">
        <f>tertiair!I16</f>
        <v>0</v>
      </c>
      <c r="J5" s="455">
        <f>tertiair!J16</f>
        <v>7.0826722337533579E-2</v>
      </c>
      <c r="K5" s="455">
        <f>tertiair!K16</f>
        <v>0</v>
      </c>
      <c r="L5" s="455">
        <f ca="1">tertiair!L16</f>
        <v>0</v>
      </c>
      <c r="M5" s="455">
        <f>tertiair!M16</f>
        <v>0</v>
      </c>
      <c r="N5" s="455">
        <f ca="1">tertiair!N16</f>
        <v>0</v>
      </c>
      <c r="O5" s="455">
        <f>tertiair!O16</f>
        <v>53.869868424252701</v>
      </c>
      <c r="P5" s="456">
        <f>tertiair!P16</f>
        <v>315.23482983897009</v>
      </c>
      <c r="Q5" s="454">
        <f t="shared" ref="Q5:Q14" ca="1" si="0">SUM(B5:P5)</f>
        <v>221568.60491686602</v>
      </c>
    </row>
    <row r="6" spans="1:17">
      <c r="A6" s="454" t="s">
        <v>193</v>
      </c>
      <c r="B6" s="455">
        <f>'openbare verlichting'!B8</f>
        <v>2839.857</v>
      </c>
      <c r="C6" s="455"/>
      <c r="D6" s="455"/>
      <c r="E6" s="455"/>
      <c r="F6" s="455"/>
      <c r="G6" s="455"/>
      <c r="H6" s="455"/>
      <c r="I6" s="455"/>
      <c r="J6" s="455"/>
      <c r="K6" s="455"/>
      <c r="L6" s="455"/>
      <c r="M6" s="455"/>
      <c r="N6" s="455"/>
      <c r="O6" s="455"/>
      <c r="P6" s="456"/>
      <c r="Q6" s="454">
        <f t="shared" si="0"/>
        <v>2839.857</v>
      </c>
    </row>
    <row r="7" spans="1:17">
      <c r="A7" s="454" t="s">
        <v>111</v>
      </c>
      <c r="B7" s="455">
        <f>landbouw!B8</f>
        <v>10820.7037915852</v>
      </c>
      <c r="C7" s="455">
        <f>landbouw!C8</f>
        <v>13474.285714285716</v>
      </c>
      <c r="D7" s="455">
        <f>landbouw!D8</f>
        <v>407.51318879752029</v>
      </c>
      <c r="E7" s="455">
        <f>landbouw!E8</f>
        <v>403.53714256002661</v>
      </c>
      <c r="F7" s="455">
        <f>landbouw!F8</f>
        <v>35106.544384435612</v>
      </c>
      <c r="G7" s="455">
        <f>landbouw!G8</f>
        <v>0</v>
      </c>
      <c r="H7" s="455">
        <f>landbouw!H8</f>
        <v>0</v>
      </c>
      <c r="I7" s="455">
        <f>landbouw!I8</f>
        <v>0</v>
      </c>
      <c r="J7" s="455">
        <f>landbouw!J8</f>
        <v>2840.4881661008535</v>
      </c>
      <c r="K7" s="455">
        <f>landbouw!K8</f>
        <v>0</v>
      </c>
      <c r="L7" s="455">
        <f>landbouw!L8</f>
        <v>0</v>
      </c>
      <c r="M7" s="455">
        <f>landbouw!M8</f>
        <v>0</v>
      </c>
      <c r="N7" s="455">
        <f>landbouw!N8</f>
        <v>0</v>
      </c>
      <c r="O7" s="455">
        <f>landbouw!O8</f>
        <v>0</v>
      </c>
      <c r="P7" s="456">
        <f>landbouw!P8</f>
        <v>0</v>
      </c>
      <c r="Q7" s="454">
        <f t="shared" si="0"/>
        <v>63053.072387764929</v>
      </c>
    </row>
    <row r="8" spans="1:17">
      <c r="A8" s="454" t="s">
        <v>626</v>
      </c>
      <c r="B8" s="455">
        <f>industrie!B18</f>
        <v>179542.16751058138</v>
      </c>
      <c r="C8" s="455">
        <f>industrie!C18</f>
        <v>9642.8571428571431</v>
      </c>
      <c r="D8" s="455">
        <f>industrie!D18</f>
        <v>232408.885152909</v>
      </c>
      <c r="E8" s="455">
        <f>industrie!E18</f>
        <v>1658.9231987203459</v>
      </c>
      <c r="F8" s="455">
        <f>industrie!F18</f>
        <v>30954.239459422919</v>
      </c>
      <c r="G8" s="455">
        <f>industrie!G18</f>
        <v>0</v>
      </c>
      <c r="H8" s="455">
        <f>industrie!H18</f>
        <v>0</v>
      </c>
      <c r="I8" s="455">
        <f>industrie!I18</f>
        <v>0</v>
      </c>
      <c r="J8" s="455">
        <f>industrie!J18</f>
        <v>57.042154587755505</v>
      </c>
      <c r="K8" s="455">
        <f>industrie!K18</f>
        <v>0</v>
      </c>
      <c r="L8" s="455">
        <f>industrie!L18</f>
        <v>0</v>
      </c>
      <c r="M8" s="455">
        <f>industrie!M18</f>
        <v>0</v>
      </c>
      <c r="N8" s="455">
        <f>industrie!N18</f>
        <v>4152.7315546048421</v>
      </c>
      <c r="O8" s="455">
        <f>industrie!O18</f>
        <v>0</v>
      </c>
      <c r="P8" s="456">
        <f>industrie!P18</f>
        <v>0</v>
      </c>
      <c r="Q8" s="454">
        <f t="shared" si="0"/>
        <v>458416.84617368336</v>
      </c>
    </row>
    <row r="9" spans="1:17" s="460" customFormat="1">
      <c r="A9" s="458" t="s">
        <v>552</v>
      </c>
      <c r="B9" s="459">
        <f>transport!B14</f>
        <v>156.0737421740437</v>
      </c>
      <c r="C9" s="459">
        <f>transport!C14</f>
        <v>0</v>
      </c>
      <c r="D9" s="459">
        <f>transport!D14</f>
        <v>630.80247063971876</v>
      </c>
      <c r="E9" s="459">
        <f>transport!E14</f>
        <v>341.08852888886167</v>
      </c>
      <c r="F9" s="459">
        <f>transport!F14</f>
        <v>0</v>
      </c>
      <c r="G9" s="459">
        <f>transport!G14</f>
        <v>179565.25973371632</v>
      </c>
      <c r="H9" s="459">
        <f>transport!H14</f>
        <v>40273.111906538485</v>
      </c>
      <c r="I9" s="459">
        <f>transport!I14</f>
        <v>0</v>
      </c>
      <c r="J9" s="459">
        <f>transport!J14</f>
        <v>0</v>
      </c>
      <c r="K9" s="459">
        <f>transport!K14</f>
        <v>0</v>
      </c>
      <c r="L9" s="459">
        <f>transport!L14</f>
        <v>0</v>
      </c>
      <c r="M9" s="459">
        <f>transport!M14</f>
        <v>12909.409018532053</v>
      </c>
      <c r="N9" s="459">
        <f>transport!N14</f>
        <v>0</v>
      </c>
      <c r="O9" s="459">
        <f>transport!O14</f>
        <v>0</v>
      </c>
      <c r="P9" s="459">
        <f>transport!P14</f>
        <v>0</v>
      </c>
      <c r="Q9" s="458">
        <f>SUM(B9:P9)</f>
        <v>233875.74540048948</v>
      </c>
    </row>
    <row r="10" spans="1:17">
      <c r="A10" s="454" t="s">
        <v>542</v>
      </c>
      <c r="B10" s="455">
        <f>transport!B54</f>
        <v>0</v>
      </c>
      <c r="C10" s="455">
        <f>transport!C54</f>
        <v>0</v>
      </c>
      <c r="D10" s="455">
        <f>transport!D54</f>
        <v>0</v>
      </c>
      <c r="E10" s="455">
        <f>transport!E54</f>
        <v>0</v>
      </c>
      <c r="F10" s="455">
        <f>transport!F54</f>
        <v>0</v>
      </c>
      <c r="G10" s="455">
        <f>transport!G54</f>
        <v>3311.6383428463723</v>
      </c>
      <c r="H10" s="455">
        <f>transport!H54</f>
        <v>0</v>
      </c>
      <c r="I10" s="455">
        <f>transport!I54</f>
        <v>0</v>
      </c>
      <c r="J10" s="455">
        <f>transport!J54</f>
        <v>0</v>
      </c>
      <c r="K10" s="455">
        <f>transport!K54</f>
        <v>0</v>
      </c>
      <c r="L10" s="455">
        <f>transport!L54</f>
        <v>0</v>
      </c>
      <c r="M10" s="455">
        <f>transport!M54</f>
        <v>179.70835821161069</v>
      </c>
      <c r="N10" s="455">
        <f>transport!N54</f>
        <v>0</v>
      </c>
      <c r="O10" s="455">
        <f>transport!O54</f>
        <v>0</v>
      </c>
      <c r="P10" s="456">
        <f>transport!P54</f>
        <v>0</v>
      </c>
      <c r="Q10" s="454">
        <f t="shared" si="0"/>
        <v>3491.346701057983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2188.0307544019397</v>
      </c>
      <c r="C14" s="462"/>
      <c r="D14" s="462">
        <f>'SEAP template'!E25</f>
        <v>7495.7994679409603</v>
      </c>
      <c r="E14" s="462"/>
      <c r="F14" s="462"/>
      <c r="G14" s="462"/>
      <c r="H14" s="462"/>
      <c r="I14" s="462"/>
      <c r="J14" s="462"/>
      <c r="K14" s="462"/>
      <c r="L14" s="462"/>
      <c r="M14" s="462"/>
      <c r="N14" s="462"/>
      <c r="O14" s="462"/>
      <c r="P14" s="463"/>
      <c r="Q14" s="454">
        <f t="shared" si="0"/>
        <v>9683.8302223429</v>
      </c>
    </row>
    <row r="15" spans="1:17" s="466" customFormat="1">
      <c r="A15" s="464" t="s">
        <v>546</v>
      </c>
      <c r="B15" s="465">
        <f ca="1">SUM(B4:B14)</f>
        <v>353847.89731990494</v>
      </c>
      <c r="C15" s="465">
        <f t="shared" ref="C15:Q15" ca="1" si="1">SUM(C4:C14)</f>
        <v>50194.285714285717</v>
      </c>
      <c r="D15" s="465">
        <f t="shared" ca="1" si="1"/>
        <v>456230.33101032046</v>
      </c>
      <c r="E15" s="465">
        <f t="shared" si="1"/>
        <v>25102.908030347207</v>
      </c>
      <c r="F15" s="465">
        <f t="shared" ca="1" si="1"/>
        <v>77428.747442638822</v>
      </c>
      <c r="G15" s="465">
        <f t="shared" si="1"/>
        <v>182876.89807656268</v>
      </c>
      <c r="H15" s="465">
        <f t="shared" si="1"/>
        <v>40273.111906538485</v>
      </c>
      <c r="I15" s="465">
        <f t="shared" si="1"/>
        <v>0</v>
      </c>
      <c r="J15" s="465">
        <f t="shared" si="1"/>
        <v>4870.7245652276861</v>
      </c>
      <c r="K15" s="465">
        <f t="shared" si="1"/>
        <v>0</v>
      </c>
      <c r="L15" s="465">
        <f t="shared" ca="1" si="1"/>
        <v>0</v>
      </c>
      <c r="M15" s="465">
        <f t="shared" si="1"/>
        <v>13089.117376743663</v>
      </c>
      <c r="N15" s="465">
        <f t="shared" ca="1" si="1"/>
        <v>39492.207084434034</v>
      </c>
      <c r="O15" s="465">
        <f t="shared" si="1"/>
        <v>1246.2287582758588</v>
      </c>
      <c r="P15" s="465">
        <f t="shared" si="1"/>
        <v>1084.2138592999768</v>
      </c>
      <c r="Q15" s="465">
        <f t="shared" ca="1" si="1"/>
        <v>1245736.6711445798</v>
      </c>
    </row>
    <row r="17" spans="1:17">
      <c r="A17" s="467" t="s">
        <v>547</v>
      </c>
      <c r="B17" s="784">
        <f ca="1">huishoudens!B10</f>
        <v>0.16673123275540089</v>
      </c>
      <c r="C17" s="784">
        <f ca="1">huishoudens!C10</f>
        <v>5.8437801350048224E-2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9446.0512400614953</v>
      </c>
      <c r="C22" s="455">
        <f t="shared" ref="C22:C32" ca="1" si="3">C4*$C$17</f>
        <v>0</v>
      </c>
      <c r="D22" s="455">
        <f t="shared" ref="D22:D32" si="4">D4*$D$17</f>
        <v>27140.889297702219</v>
      </c>
      <c r="E22" s="455">
        <f t="shared" ref="E22:E32" si="5">E4*$E$17</f>
        <v>5111.6390340369762</v>
      </c>
      <c r="F22" s="455">
        <f t="shared" ref="F22:F32" si="6">F4*$F$17</f>
        <v>0</v>
      </c>
      <c r="G22" s="455">
        <f t="shared" ref="G22:G32" si="7">G4*$G$17</f>
        <v>0</v>
      </c>
      <c r="H22" s="455">
        <f t="shared" ref="H22:H32" si="8">H4*$H$17</f>
        <v>0</v>
      </c>
      <c r="I22" s="455">
        <f t="shared" ref="I22:I32" si="9">I4*$I$17</f>
        <v>0</v>
      </c>
      <c r="J22" s="455">
        <f t="shared" ref="J22:J32" si="10">J4*$J$17</f>
        <v>698.48568990712567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42397.065261707816</v>
      </c>
    </row>
    <row r="23" spans="1:17">
      <c r="A23" s="454" t="s">
        <v>155</v>
      </c>
      <c r="B23" s="455">
        <f t="shared" ca="1" si="2"/>
        <v>16947.680394044171</v>
      </c>
      <c r="C23" s="455">
        <f t="shared" ca="1" si="3"/>
        <v>1582.3286954125915</v>
      </c>
      <c r="D23" s="455">
        <f t="shared" ca="1" si="4"/>
        <v>16347.151509764519</v>
      </c>
      <c r="E23" s="455">
        <f t="shared" si="5"/>
        <v>41.115495323424092</v>
      </c>
      <c r="F23" s="455">
        <f t="shared" ca="1" si="6"/>
        <v>3035.2462808743385</v>
      </c>
      <c r="G23" s="455">
        <f t="shared" si="7"/>
        <v>0</v>
      </c>
      <c r="H23" s="455">
        <f t="shared" si="8"/>
        <v>0</v>
      </c>
      <c r="I23" s="455">
        <f t="shared" si="9"/>
        <v>0</v>
      </c>
      <c r="J23" s="455">
        <f t="shared" si="10"/>
        <v>2.5072659707486886E-2</v>
      </c>
      <c r="K23" s="455">
        <f t="shared" si="11"/>
        <v>0</v>
      </c>
      <c r="L23" s="455">
        <f t="shared" ca="1" si="12"/>
        <v>0</v>
      </c>
      <c r="M23" s="455">
        <f t="shared" si="13"/>
        <v>0</v>
      </c>
      <c r="N23" s="455">
        <f t="shared" ca="1" si="14"/>
        <v>0</v>
      </c>
      <c r="O23" s="455">
        <f t="shared" si="15"/>
        <v>0</v>
      </c>
      <c r="P23" s="456">
        <f t="shared" si="16"/>
        <v>0</v>
      </c>
      <c r="Q23" s="454">
        <f t="shared" ref="Q23:Q31" ca="1" si="17">SUM(B23:P23)</f>
        <v>37953.547448078745</v>
      </c>
    </row>
    <row r="24" spans="1:17">
      <c r="A24" s="454" t="s">
        <v>193</v>
      </c>
      <c r="B24" s="455">
        <f t="shared" ca="1" si="2"/>
        <v>473.4928584590545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473.4928584590545</v>
      </c>
    </row>
    <row r="25" spans="1:17">
      <c r="A25" s="454" t="s">
        <v>111</v>
      </c>
      <c r="B25" s="455">
        <f t="shared" ca="1" si="2"/>
        <v>1804.1492824520408</v>
      </c>
      <c r="C25" s="455">
        <f t="shared" ca="1" si="3"/>
        <v>787.40763190522125</v>
      </c>
      <c r="D25" s="455">
        <f t="shared" si="4"/>
        <v>82.317664137099101</v>
      </c>
      <c r="E25" s="455">
        <f t="shared" si="5"/>
        <v>91.602931361126039</v>
      </c>
      <c r="F25" s="455">
        <f t="shared" si="6"/>
        <v>9373.4473506443082</v>
      </c>
      <c r="G25" s="455">
        <f t="shared" si="7"/>
        <v>0</v>
      </c>
      <c r="H25" s="455">
        <f t="shared" si="8"/>
        <v>0</v>
      </c>
      <c r="I25" s="455">
        <f t="shared" si="9"/>
        <v>0</v>
      </c>
      <c r="J25" s="455">
        <f t="shared" si="10"/>
        <v>1005.5328107997021</v>
      </c>
      <c r="K25" s="455">
        <f t="shared" si="11"/>
        <v>0</v>
      </c>
      <c r="L25" s="455">
        <f t="shared" si="12"/>
        <v>0</v>
      </c>
      <c r="M25" s="455">
        <f t="shared" si="13"/>
        <v>0</v>
      </c>
      <c r="N25" s="455">
        <f t="shared" si="14"/>
        <v>0</v>
      </c>
      <c r="O25" s="455">
        <f t="shared" si="15"/>
        <v>0</v>
      </c>
      <c r="P25" s="456">
        <f t="shared" si="16"/>
        <v>0</v>
      </c>
      <c r="Q25" s="454">
        <f t="shared" ca="1" si="17"/>
        <v>13144.457671299499</v>
      </c>
    </row>
    <row r="26" spans="1:17">
      <c r="A26" s="454" t="s">
        <v>626</v>
      </c>
      <c r="B26" s="455">
        <f t="shared" ca="1" si="2"/>
        <v>29935.286920615919</v>
      </c>
      <c r="C26" s="455">
        <f t="shared" ca="1" si="3"/>
        <v>563.50737016117932</v>
      </c>
      <c r="D26" s="455">
        <f t="shared" si="4"/>
        <v>46946.594800887622</v>
      </c>
      <c r="E26" s="455">
        <f t="shared" si="5"/>
        <v>376.57556610951855</v>
      </c>
      <c r="F26" s="455">
        <f t="shared" si="6"/>
        <v>8264.7819356659202</v>
      </c>
      <c r="G26" s="455">
        <f t="shared" si="7"/>
        <v>0</v>
      </c>
      <c r="H26" s="455">
        <f t="shared" si="8"/>
        <v>0</v>
      </c>
      <c r="I26" s="455">
        <f t="shared" si="9"/>
        <v>0</v>
      </c>
      <c r="J26" s="455">
        <f t="shared" si="10"/>
        <v>20.192922724065447</v>
      </c>
      <c r="K26" s="455">
        <f t="shared" si="11"/>
        <v>0</v>
      </c>
      <c r="L26" s="455">
        <f t="shared" si="12"/>
        <v>0</v>
      </c>
      <c r="M26" s="455">
        <f t="shared" si="13"/>
        <v>0</v>
      </c>
      <c r="N26" s="455">
        <f t="shared" si="14"/>
        <v>0</v>
      </c>
      <c r="O26" s="455">
        <f t="shared" si="15"/>
        <v>0</v>
      </c>
      <c r="P26" s="456">
        <f t="shared" si="16"/>
        <v>0</v>
      </c>
      <c r="Q26" s="454">
        <f t="shared" ca="1" si="17"/>
        <v>86106.939516164217</v>
      </c>
    </row>
    <row r="27" spans="1:17" s="460" customFormat="1">
      <c r="A27" s="458" t="s">
        <v>552</v>
      </c>
      <c r="B27" s="778">
        <f t="shared" ca="1" si="2"/>
        <v>26.022367433426908</v>
      </c>
      <c r="C27" s="459">
        <f t="shared" ca="1" si="3"/>
        <v>0</v>
      </c>
      <c r="D27" s="459">
        <f t="shared" si="4"/>
        <v>127.42209906922319</v>
      </c>
      <c r="E27" s="459">
        <f t="shared" si="5"/>
        <v>77.427096057771607</v>
      </c>
      <c r="F27" s="459">
        <f t="shared" si="6"/>
        <v>0</v>
      </c>
      <c r="G27" s="459">
        <f t="shared" si="7"/>
        <v>47943.924348902263</v>
      </c>
      <c r="H27" s="459">
        <f t="shared" si="8"/>
        <v>10028.004864728082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58202.800776190765</v>
      </c>
    </row>
    <row r="28" spans="1:17" ht="16.5" customHeight="1">
      <c r="A28" s="454" t="s">
        <v>542</v>
      </c>
      <c r="B28" s="455">
        <f t="shared" ca="1" si="2"/>
        <v>0</v>
      </c>
      <c r="C28" s="455">
        <f t="shared" ca="1" si="3"/>
        <v>0</v>
      </c>
      <c r="D28" s="455">
        <f t="shared" si="4"/>
        <v>0</v>
      </c>
      <c r="E28" s="455">
        <f t="shared" si="5"/>
        <v>0</v>
      </c>
      <c r="F28" s="455">
        <f t="shared" si="6"/>
        <v>0</v>
      </c>
      <c r="G28" s="455">
        <f t="shared" si="7"/>
        <v>884.20743753998147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884.20743753998147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364.81306498816519</v>
      </c>
      <c r="C32" s="455">
        <f t="shared" ca="1" si="3"/>
        <v>0</v>
      </c>
      <c r="D32" s="455">
        <f t="shared" si="4"/>
        <v>1514.151492524074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1878.9645575122393</v>
      </c>
    </row>
    <row r="33" spans="1:17" s="466" customFormat="1">
      <c r="A33" s="464" t="s">
        <v>546</v>
      </c>
      <c r="B33" s="465">
        <f ca="1">SUM(B22:B32)</f>
        <v>58997.49612805427</v>
      </c>
      <c r="C33" s="465">
        <f t="shared" ref="C33:Q33" ca="1" si="19">SUM(C22:C32)</f>
        <v>2933.2436974789916</v>
      </c>
      <c r="D33" s="465">
        <f t="shared" ca="1" si="19"/>
        <v>92158.526864084764</v>
      </c>
      <c r="E33" s="465">
        <f t="shared" si="19"/>
        <v>5698.3601228888165</v>
      </c>
      <c r="F33" s="465">
        <f t="shared" ca="1" si="19"/>
        <v>20673.475567184567</v>
      </c>
      <c r="G33" s="465">
        <f t="shared" si="19"/>
        <v>48828.131786442245</v>
      </c>
      <c r="H33" s="465">
        <f t="shared" si="19"/>
        <v>10028.004864728082</v>
      </c>
      <c r="I33" s="465">
        <f t="shared" si="19"/>
        <v>0</v>
      </c>
      <c r="J33" s="465">
        <f t="shared" si="19"/>
        <v>1724.2364960906009</v>
      </c>
      <c r="K33" s="465">
        <f t="shared" si="19"/>
        <v>0</v>
      </c>
      <c r="L33" s="465">
        <f t="shared" ca="1" si="19"/>
        <v>0</v>
      </c>
      <c r="M33" s="465">
        <f t="shared" si="19"/>
        <v>0</v>
      </c>
      <c r="N33" s="465">
        <f t="shared" ca="1" si="19"/>
        <v>0</v>
      </c>
      <c r="O33" s="465">
        <f t="shared" si="19"/>
        <v>0</v>
      </c>
      <c r="P33" s="465">
        <f t="shared" si="19"/>
        <v>0</v>
      </c>
      <c r="Q33" s="465">
        <f t="shared" ca="1" si="19"/>
        <v>241041.4755269523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38607.003091792758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18838.715314904213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26496</v>
      </c>
      <c r="C8" s="1026">
        <f>'SEAP template'!C76</f>
        <v>8640</v>
      </c>
      <c r="D8" s="1026">
        <f>'SEAP template'!D76</f>
        <v>10164.705882352942</v>
      </c>
      <c r="E8" s="1026">
        <f>'SEAP template'!E76</f>
        <v>0</v>
      </c>
      <c r="F8" s="1026">
        <f>'SEAP template'!F76</f>
        <v>0</v>
      </c>
      <c r="G8" s="1026">
        <f>'SEAP template'!G76</f>
        <v>0</v>
      </c>
      <c r="H8" s="1026">
        <f>'SEAP template'!H76</f>
        <v>0</v>
      </c>
      <c r="I8" s="1026">
        <f>'SEAP template'!I76</f>
        <v>0</v>
      </c>
      <c r="J8" s="1026">
        <f>'SEAP template'!J76</f>
        <v>31171.76470588235</v>
      </c>
      <c r="K8" s="1026">
        <f>'SEAP template'!K76</f>
        <v>0</v>
      </c>
      <c r="L8" s="1026">
        <f>'SEAP template'!L76</f>
        <v>0</v>
      </c>
      <c r="M8" s="1026">
        <f>'SEAP template'!M76</f>
        <v>0</v>
      </c>
      <c r="N8" s="1026">
        <f>'SEAP template'!N76</f>
        <v>0</v>
      </c>
      <c r="O8" s="1026">
        <f>'SEAP template'!O76</f>
        <v>0</v>
      </c>
      <c r="P8" s="1027">
        <f>'SEAP template'!Q76</f>
        <v>2053.2705882352943</v>
      </c>
    </row>
    <row r="9" spans="1:16">
      <c r="A9" s="1032" t="s">
        <v>761</v>
      </c>
      <c r="B9" s="1026">
        <f>'SEAP template'!B77</f>
        <v>3600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10285.714285714286</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87541.718406696978</v>
      </c>
      <c r="C10" s="1028">
        <f>SUM(C4:C9)</f>
        <v>8640</v>
      </c>
      <c r="D10" s="1028">
        <f t="shared" ref="D10:H10" si="0">SUM(D8:D9)</f>
        <v>10164.705882352942</v>
      </c>
      <c r="E10" s="1028">
        <f t="shared" si="0"/>
        <v>0</v>
      </c>
      <c r="F10" s="1028">
        <f t="shared" si="0"/>
        <v>0</v>
      </c>
      <c r="G10" s="1028">
        <f t="shared" si="0"/>
        <v>0</v>
      </c>
      <c r="H10" s="1028">
        <f t="shared" si="0"/>
        <v>0</v>
      </c>
      <c r="I10" s="1028">
        <f>SUM(I8:I9)</f>
        <v>0</v>
      </c>
      <c r="J10" s="1028">
        <f>SUM(J8:J9)</f>
        <v>41457.478991596639</v>
      </c>
      <c r="K10" s="1028">
        <f t="shared" ref="K10:L10" si="1">SUM(K8:K9)</f>
        <v>0</v>
      </c>
      <c r="L10" s="1028">
        <f t="shared" si="1"/>
        <v>0</v>
      </c>
      <c r="M10" s="1028">
        <f>SUM(M8:M9)</f>
        <v>0</v>
      </c>
      <c r="N10" s="1028">
        <f>SUM(N8:N9)</f>
        <v>0</v>
      </c>
      <c r="O10" s="1028">
        <f>SUM(O8:O9)</f>
        <v>0</v>
      </c>
      <c r="P10" s="1028">
        <f>SUM(P8:P9)</f>
        <v>2053.2705882352943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0.16673123275540089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37851.428571428565</v>
      </c>
      <c r="C17" s="1029">
        <f>'SEAP template'!C87</f>
        <v>12342.857142857145</v>
      </c>
      <c r="D17" s="1027">
        <f>'SEAP template'!D87</f>
        <v>14521.008403361346</v>
      </c>
      <c r="E17" s="1027">
        <f>'SEAP template'!E87</f>
        <v>0</v>
      </c>
      <c r="F17" s="1027">
        <f>'SEAP template'!F87</f>
        <v>0</v>
      </c>
      <c r="G17" s="1027">
        <f>'SEAP template'!G87</f>
        <v>0</v>
      </c>
      <c r="H17" s="1027">
        <f>'SEAP template'!H87</f>
        <v>0</v>
      </c>
      <c r="I17" s="1027">
        <f>'SEAP template'!I87</f>
        <v>0</v>
      </c>
      <c r="J17" s="1027">
        <f>'SEAP template'!J87</f>
        <v>44531.092436974781</v>
      </c>
      <c r="K17" s="1027">
        <f>'SEAP template'!K87</f>
        <v>0</v>
      </c>
      <c r="L17" s="1027">
        <f>'SEAP template'!L87</f>
        <v>0</v>
      </c>
      <c r="M17" s="1027">
        <f>'SEAP template'!M87</f>
        <v>0</v>
      </c>
      <c r="N17" s="1027">
        <f>'SEAP template'!N87</f>
        <v>0</v>
      </c>
      <c r="O17" s="1027">
        <f>'SEAP template'!O87</f>
        <v>0</v>
      </c>
      <c r="P17" s="1027">
        <f>'SEAP template'!Q87</f>
        <v>2933.2436974789921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37851.428571428565</v>
      </c>
      <c r="C20" s="1028">
        <f>SUM(C17:C19)</f>
        <v>12342.857142857145</v>
      </c>
      <c r="D20" s="1028">
        <f t="shared" ref="D20:H20" si="2">SUM(D17:D19)</f>
        <v>14521.008403361346</v>
      </c>
      <c r="E20" s="1028">
        <f t="shared" si="2"/>
        <v>0</v>
      </c>
      <c r="F20" s="1028">
        <f t="shared" si="2"/>
        <v>0</v>
      </c>
      <c r="G20" s="1028">
        <f t="shared" si="2"/>
        <v>0</v>
      </c>
      <c r="H20" s="1028">
        <f t="shared" si="2"/>
        <v>0</v>
      </c>
      <c r="I20" s="1028">
        <f>SUM(I17:I19)</f>
        <v>0</v>
      </c>
      <c r="J20" s="1028">
        <f>SUM(J17:J19)</f>
        <v>44531.092436974781</v>
      </c>
      <c r="K20" s="1028">
        <f t="shared" ref="K20:L20" si="3">SUM(K17:K19)</f>
        <v>0</v>
      </c>
      <c r="L20" s="1028">
        <f t="shared" si="3"/>
        <v>0</v>
      </c>
      <c r="M20" s="1028">
        <f>SUM(M17:M19)</f>
        <v>0</v>
      </c>
      <c r="N20" s="1028">
        <f>SUM(N17:N19)</f>
        <v>0</v>
      </c>
      <c r="O20" s="1028">
        <f>SUM(O17:O19)</f>
        <v>0</v>
      </c>
      <c r="P20" s="1028">
        <f>SUM(P17:P19)</f>
        <v>2933.2436974789921</v>
      </c>
    </row>
    <row r="21" spans="1:16">
      <c r="B21" s="890"/>
    </row>
    <row r="22" spans="1:16">
      <c r="A22" s="467" t="s">
        <v>773</v>
      </c>
      <c r="B22" s="784" t="s">
        <v>771</v>
      </c>
      <c r="C22" s="784">
        <f ca="1">'EF ele_warmte'!B22</f>
        <v>5.8437801350048224E-2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0.16673123275540089</v>
      </c>
      <c r="C17" s="504">
        <f ca="1">'EF ele_warmte'!B22</f>
        <v>5.8437801350048224E-2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0.16673123275540089</v>
      </c>
      <c r="C17" s="504">
        <f ca="1">'EF ele_warmte'!B22</f>
        <v>5.8437801350048224E-2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0.16673123275540089</v>
      </c>
      <c r="C29" s="505">
        <f ca="1">'EF ele_warmte'!B22</f>
        <v>5.8437801350048224E-2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15430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9134.82</v>
      </c>
      <c r="C14" s="332"/>
      <c r="D14" s="332"/>
      <c r="E14" s="332"/>
      <c r="F14" s="332"/>
    </row>
    <row r="15" spans="1:6">
      <c r="A15" s="1310" t="s">
        <v>183</v>
      </c>
      <c r="B15" s="1311">
        <v>140</v>
      </c>
      <c r="C15" s="332"/>
      <c r="D15" s="332"/>
      <c r="E15" s="332"/>
      <c r="F15" s="332"/>
    </row>
    <row r="16" spans="1:6">
      <c r="A16" s="1310" t="s">
        <v>6</v>
      </c>
      <c r="B16" s="1311">
        <v>4730</v>
      </c>
      <c r="C16" s="332"/>
      <c r="D16" s="332"/>
      <c r="E16" s="332"/>
      <c r="F16" s="332"/>
    </row>
    <row r="17" spans="1:6">
      <c r="A17" s="1310" t="s">
        <v>7</v>
      </c>
      <c r="B17" s="1311">
        <v>2162</v>
      </c>
      <c r="C17" s="332"/>
      <c r="D17" s="332"/>
      <c r="E17" s="332"/>
      <c r="F17" s="332"/>
    </row>
    <row r="18" spans="1:6">
      <c r="A18" s="1310" t="s">
        <v>8</v>
      </c>
      <c r="B18" s="1311">
        <v>3675</v>
      </c>
      <c r="C18" s="332"/>
      <c r="D18" s="332"/>
      <c r="E18" s="332"/>
      <c r="F18" s="332"/>
    </row>
    <row r="19" spans="1:6">
      <c r="A19" s="1310" t="s">
        <v>9</v>
      </c>
      <c r="B19" s="1311">
        <v>3455</v>
      </c>
      <c r="C19" s="332"/>
      <c r="D19" s="332"/>
      <c r="E19" s="332"/>
      <c r="F19" s="332"/>
    </row>
    <row r="20" spans="1:6">
      <c r="A20" s="1310" t="s">
        <v>10</v>
      </c>
      <c r="B20" s="1311">
        <v>2297</v>
      </c>
      <c r="C20" s="332"/>
      <c r="D20" s="332"/>
      <c r="E20" s="332"/>
      <c r="F20" s="332"/>
    </row>
    <row r="21" spans="1:6">
      <c r="A21" s="1310" t="s">
        <v>11</v>
      </c>
      <c r="B21" s="1311">
        <v>46659</v>
      </c>
      <c r="C21" s="332"/>
      <c r="D21" s="332"/>
      <c r="E21" s="332"/>
      <c r="F21" s="332"/>
    </row>
    <row r="22" spans="1:6">
      <c r="A22" s="1310" t="s">
        <v>12</v>
      </c>
      <c r="B22" s="1311">
        <v>97389</v>
      </c>
      <c r="C22" s="332"/>
      <c r="D22" s="332"/>
      <c r="E22" s="332"/>
      <c r="F22" s="332"/>
    </row>
    <row r="23" spans="1:6">
      <c r="A23" s="1310" t="s">
        <v>13</v>
      </c>
      <c r="B23" s="1311">
        <v>1945</v>
      </c>
      <c r="C23" s="332"/>
      <c r="D23" s="332"/>
      <c r="E23" s="332"/>
      <c r="F23" s="332"/>
    </row>
    <row r="24" spans="1:6">
      <c r="A24" s="1310" t="s">
        <v>14</v>
      </c>
      <c r="B24" s="1311">
        <v>97</v>
      </c>
      <c r="C24" s="332"/>
      <c r="D24" s="332"/>
      <c r="E24" s="332"/>
      <c r="F24" s="332"/>
    </row>
    <row r="25" spans="1:6">
      <c r="A25" s="1310" t="s">
        <v>15</v>
      </c>
      <c r="B25" s="1311">
        <v>12069</v>
      </c>
      <c r="C25" s="332"/>
      <c r="D25" s="332"/>
      <c r="E25" s="332"/>
      <c r="F25" s="332"/>
    </row>
    <row r="26" spans="1:6">
      <c r="A26" s="1310" t="s">
        <v>16</v>
      </c>
      <c r="B26" s="1311">
        <v>779</v>
      </c>
      <c r="C26" s="332"/>
      <c r="D26" s="332"/>
      <c r="E26" s="332"/>
      <c r="F26" s="332"/>
    </row>
    <row r="27" spans="1:6">
      <c r="A27" s="1310" t="s">
        <v>17</v>
      </c>
      <c r="B27" s="1311">
        <v>31</v>
      </c>
      <c r="C27" s="332"/>
      <c r="D27" s="332"/>
      <c r="E27" s="332"/>
      <c r="F27" s="332"/>
    </row>
    <row r="28" spans="1:6" s="43" customFormat="1">
      <c r="A28" s="1312" t="s">
        <v>18</v>
      </c>
      <c r="B28" s="1313">
        <v>549867</v>
      </c>
      <c r="C28" s="338"/>
      <c r="D28" s="338"/>
      <c r="E28" s="338"/>
      <c r="F28" s="338"/>
    </row>
    <row r="29" spans="1:6">
      <c r="A29" s="1312" t="s">
        <v>699</v>
      </c>
      <c r="B29" s="1313">
        <v>239</v>
      </c>
      <c r="C29" s="338"/>
      <c r="D29" s="338"/>
      <c r="E29" s="338"/>
      <c r="F29" s="338"/>
    </row>
    <row r="30" spans="1:6">
      <c r="A30" s="1305" t="s">
        <v>700</v>
      </c>
      <c r="B30" s="1314">
        <v>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17</v>
      </c>
      <c r="F36" s="1311">
        <v>159870.66536126399</v>
      </c>
    </row>
    <row r="37" spans="1:6">
      <c r="A37" s="1310" t="s">
        <v>24</v>
      </c>
      <c r="B37" s="1310" t="s">
        <v>27</v>
      </c>
      <c r="C37" s="1311">
        <v>0</v>
      </c>
      <c r="D37" s="1311">
        <v>0</v>
      </c>
      <c r="E37" s="1311">
        <v>0</v>
      </c>
      <c r="F37" s="1311">
        <v>0</v>
      </c>
    </row>
    <row r="38" spans="1:6">
      <c r="A38" s="1310" t="s">
        <v>24</v>
      </c>
      <c r="B38" s="1310" t="s">
        <v>28</v>
      </c>
      <c r="C38" s="1311">
        <v>2</v>
      </c>
      <c r="D38" s="1311">
        <v>426084.26555376902</v>
      </c>
      <c r="E38" s="1311">
        <v>0</v>
      </c>
      <c r="F38" s="1311">
        <v>0</v>
      </c>
    </row>
    <row r="39" spans="1:6">
      <c r="A39" s="1310" t="s">
        <v>29</v>
      </c>
      <c r="B39" s="1310" t="s">
        <v>30</v>
      </c>
      <c r="C39" s="1311">
        <v>11124</v>
      </c>
      <c r="D39" s="1311">
        <v>148793840.65053901</v>
      </c>
      <c r="E39" s="1311">
        <v>14665</v>
      </c>
      <c r="F39" s="1311">
        <v>46895277.090094797</v>
      </c>
    </row>
    <row r="40" spans="1:6">
      <c r="A40" s="1310" t="s">
        <v>29</v>
      </c>
      <c r="B40" s="1310" t="s">
        <v>28</v>
      </c>
      <c r="C40" s="1311">
        <v>0</v>
      </c>
      <c r="D40" s="1311">
        <v>0</v>
      </c>
      <c r="E40" s="1311">
        <v>0</v>
      </c>
      <c r="F40" s="1311">
        <v>0</v>
      </c>
    </row>
    <row r="41" spans="1:6">
      <c r="A41" s="1310" t="s">
        <v>31</v>
      </c>
      <c r="B41" s="1310" t="s">
        <v>32</v>
      </c>
      <c r="C41" s="1311">
        <v>213</v>
      </c>
      <c r="D41" s="1311">
        <v>6607131.1093475698</v>
      </c>
      <c r="E41" s="1311">
        <v>381</v>
      </c>
      <c r="F41" s="1311">
        <v>41939411.267255098</v>
      </c>
    </row>
    <row r="42" spans="1:6">
      <c r="A42" s="1310" t="s">
        <v>31</v>
      </c>
      <c r="B42" s="1310" t="s">
        <v>33</v>
      </c>
      <c r="C42" s="1311">
        <v>8</v>
      </c>
      <c r="D42" s="1311">
        <v>4834216.5213256404</v>
      </c>
      <c r="E42" s="1311">
        <v>12</v>
      </c>
      <c r="F42" s="1311">
        <v>19314737.837707501</v>
      </c>
    </row>
    <row r="43" spans="1:6">
      <c r="A43" s="1310" t="s">
        <v>31</v>
      </c>
      <c r="B43" s="1310" t="s">
        <v>34</v>
      </c>
      <c r="C43" s="1311">
        <v>0</v>
      </c>
      <c r="D43" s="1311">
        <v>0</v>
      </c>
      <c r="E43" s="1311">
        <v>0</v>
      </c>
      <c r="F43" s="1311">
        <v>0</v>
      </c>
    </row>
    <row r="44" spans="1:6">
      <c r="A44" s="1310" t="s">
        <v>31</v>
      </c>
      <c r="B44" s="1310" t="s">
        <v>35</v>
      </c>
      <c r="C44" s="1311">
        <v>34</v>
      </c>
      <c r="D44" s="1311">
        <v>34362651.921437301</v>
      </c>
      <c r="E44" s="1311">
        <v>71</v>
      </c>
      <c r="F44" s="1311">
        <v>64273249.322575301</v>
      </c>
    </row>
    <row r="45" spans="1:6">
      <c r="A45" s="1310" t="s">
        <v>31</v>
      </c>
      <c r="B45" s="1310" t="s">
        <v>36</v>
      </c>
      <c r="C45" s="1311">
        <v>5</v>
      </c>
      <c r="D45" s="1311">
        <v>347413.91442218702</v>
      </c>
      <c r="E45" s="1311">
        <v>9</v>
      </c>
      <c r="F45" s="1311">
        <v>526446.72399132606</v>
      </c>
    </row>
    <row r="46" spans="1:6">
      <c r="A46" s="1310" t="s">
        <v>31</v>
      </c>
      <c r="B46" s="1310" t="s">
        <v>37</v>
      </c>
      <c r="C46" s="1311">
        <v>0</v>
      </c>
      <c r="D46" s="1311">
        <v>0</v>
      </c>
      <c r="E46" s="1311">
        <v>0</v>
      </c>
      <c r="F46" s="1311">
        <v>0</v>
      </c>
    </row>
    <row r="47" spans="1:6">
      <c r="A47" s="1310" t="s">
        <v>31</v>
      </c>
      <c r="B47" s="1310" t="s">
        <v>38</v>
      </c>
      <c r="C47" s="1311">
        <v>13</v>
      </c>
      <c r="D47" s="1311">
        <v>515620.50620749401</v>
      </c>
      <c r="E47" s="1311">
        <v>14</v>
      </c>
      <c r="F47" s="1311">
        <v>2120739.3878111802</v>
      </c>
    </row>
    <row r="48" spans="1:6">
      <c r="A48" s="1310" t="s">
        <v>31</v>
      </c>
      <c r="B48" s="1310" t="s">
        <v>28</v>
      </c>
      <c r="C48" s="1311">
        <v>0</v>
      </c>
      <c r="D48" s="1311">
        <v>0</v>
      </c>
      <c r="E48" s="1311">
        <v>0</v>
      </c>
      <c r="F48" s="1311">
        <v>0</v>
      </c>
    </row>
    <row r="49" spans="1:6">
      <c r="A49" s="1310" t="s">
        <v>31</v>
      </c>
      <c r="B49" s="1310" t="s">
        <v>39</v>
      </c>
      <c r="C49" s="1311">
        <v>8</v>
      </c>
      <c r="D49" s="1311">
        <v>10054311.2521122</v>
      </c>
      <c r="E49" s="1311">
        <v>12</v>
      </c>
      <c r="F49" s="1311">
        <v>2312265.3016691199</v>
      </c>
    </row>
    <row r="50" spans="1:6">
      <c r="A50" s="1310" t="s">
        <v>31</v>
      </c>
      <c r="B50" s="1310" t="s">
        <v>40</v>
      </c>
      <c r="C50" s="1311">
        <v>44</v>
      </c>
      <c r="D50" s="1311">
        <v>222010215.615262</v>
      </c>
      <c r="E50" s="1311">
        <v>55</v>
      </c>
      <c r="F50" s="1311">
        <v>42305317.669571802</v>
      </c>
    </row>
    <row r="51" spans="1:6">
      <c r="A51" s="1310" t="s">
        <v>41</v>
      </c>
      <c r="B51" s="1310" t="s">
        <v>42</v>
      </c>
      <c r="C51" s="1311">
        <v>23</v>
      </c>
      <c r="D51" s="1311">
        <v>451288.138203234</v>
      </c>
      <c r="E51" s="1311">
        <v>316</v>
      </c>
      <c r="F51" s="1311">
        <v>10820703.7915852</v>
      </c>
    </row>
    <row r="52" spans="1:6">
      <c r="A52" s="1310" t="s">
        <v>41</v>
      </c>
      <c r="B52" s="1310" t="s">
        <v>28</v>
      </c>
      <c r="C52" s="1311">
        <v>0</v>
      </c>
      <c r="D52" s="1311">
        <v>0</v>
      </c>
      <c r="E52" s="1311">
        <v>0</v>
      </c>
      <c r="F52" s="1311">
        <v>0</v>
      </c>
    </row>
    <row r="53" spans="1:6">
      <c r="A53" s="1310" t="s">
        <v>43</v>
      </c>
      <c r="B53" s="1310" t="s">
        <v>44</v>
      </c>
      <c r="C53" s="1311">
        <v>311</v>
      </c>
      <c r="D53" s="1311">
        <v>7495799.4679409601</v>
      </c>
      <c r="E53" s="1311">
        <v>556</v>
      </c>
      <c r="F53" s="1311">
        <v>2188030.7544019399</v>
      </c>
    </row>
    <row r="54" spans="1:6">
      <c r="A54" s="1310" t="s">
        <v>45</v>
      </c>
      <c r="B54" s="1310" t="s">
        <v>46</v>
      </c>
      <c r="C54" s="1311">
        <v>0</v>
      </c>
      <c r="D54" s="1311">
        <v>0</v>
      </c>
      <c r="E54" s="1311">
        <v>1</v>
      </c>
      <c r="F54" s="1311">
        <v>2839857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149</v>
      </c>
      <c r="D57" s="1311">
        <v>5468018.3312243298</v>
      </c>
      <c r="E57" s="1311">
        <v>263</v>
      </c>
      <c r="F57" s="1311">
        <v>7171730.7088803304</v>
      </c>
    </row>
    <row r="58" spans="1:6">
      <c r="A58" s="1310" t="s">
        <v>48</v>
      </c>
      <c r="B58" s="1310" t="s">
        <v>50</v>
      </c>
      <c r="C58" s="1311">
        <v>174</v>
      </c>
      <c r="D58" s="1311">
        <v>31205135.633357</v>
      </c>
      <c r="E58" s="1311">
        <v>216</v>
      </c>
      <c r="F58" s="1311">
        <v>15834775.3408364</v>
      </c>
    </row>
    <row r="59" spans="1:6">
      <c r="A59" s="1310" t="s">
        <v>48</v>
      </c>
      <c r="B59" s="1310" t="s">
        <v>51</v>
      </c>
      <c r="C59" s="1311">
        <v>417</v>
      </c>
      <c r="D59" s="1311">
        <v>16769000.8252887</v>
      </c>
      <c r="E59" s="1311">
        <v>697</v>
      </c>
      <c r="F59" s="1311">
        <v>20496437.259073298</v>
      </c>
    </row>
    <row r="60" spans="1:6">
      <c r="A60" s="1310" t="s">
        <v>48</v>
      </c>
      <c r="B60" s="1310" t="s">
        <v>52</v>
      </c>
      <c r="C60" s="1311">
        <v>246</v>
      </c>
      <c r="D60" s="1311">
        <v>15635234.2062096</v>
      </c>
      <c r="E60" s="1311">
        <v>276</v>
      </c>
      <c r="F60" s="1311">
        <v>8338666.5846524099</v>
      </c>
    </row>
    <row r="61" spans="1:6">
      <c r="A61" s="1310" t="s">
        <v>48</v>
      </c>
      <c r="B61" s="1310" t="s">
        <v>53</v>
      </c>
      <c r="C61" s="1311">
        <v>525</v>
      </c>
      <c r="D61" s="1311">
        <v>24645891.118335798</v>
      </c>
      <c r="E61" s="1311">
        <v>1143</v>
      </c>
      <c r="F61" s="1311">
        <v>26616754.437523101</v>
      </c>
    </row>
    <row r="62" spans="1:6">
      <c r="A62" s="1310" t="s">
        <v>48</v>
      </c>
      <c r="B62" s="1310" t="s">
        <v>54</v>
      </c>
      <c r="C62" s="1311">
        <v>37</v>
      </c>
      <c r="D62" s="1311">
        <v>1876379.48978903</v>
      </c>
      <c r="E62" s="1311">
        <v>53</v>
      </c>
      <c r="F62" s="1311">
        <v>634340.45233600505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316271.77849156299</v>
      </c>
      <c r="E65" s="1311">
        <v>1</v>
      </c>
      <c r="F65" s="1311">
        <v>548.23152796720001</v>
      </c>
    </row>
    <row r="66" spans="1:6">
      <c r="A66" s="1310" t="s">
        <v>55</v>
      </c>
      <c r="B66" s="1310" t="s">
        <v>57</v>
      </c>
      <c r="C66" s="1311">
        <v>0</v>
      </c>
      <c r="D66" s="1311">
        <v>0</v>
      </c>
      <c r="E66" s="1311">
        <v>27</v>
      </c>
      <c r="F66" s="1311">
        <v>425767.11868340702</v>
      </c>
    </row>
    <row r="67" spans="1:6">
      <c r="A67" s="1312" t="s">
        <v>55</v>
      </c>
      <c r="B67" s="1312" t="s">
        <v>58</v>
      </c>
      <c r="C67" s="1311">
        <v>0</v>
      </c>
      <c r="D67" s="1311">
        <v>0</v>
      </c>
      <c r="E67" s="1311">
        <v>0</v>
      </c>
      <c r="F67" s="1311">
        <v>0</v>
      </c>
    </row>
    <row r="68" spans="1:6">
      <c r="A68" s="1305" t="s">
        <v>55</v>
      </c>
      <c r="B68" s="1305" t="s">
        <v>59</v>
      </c>
      <c r="C68" s="1314">
        <v>15</v>
      </c>
      <c r="D68" s="1314">
        <v>20024521.2698639</v>
      </c>
      <c r="E68" s="1314">
        <v>35</v>
      </c>
      <c r="F68" s="1314">
        <v>3129806.67545097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183333207</v>
      </c>
      <c r="E73" s="453"/>
      <c r="F73" s="332"/>
    </row>
    <row r="74" spans="1:6">
      <c r="A74" s="1310" t="s">
        <v>63</v>
      </c>
      <c r="B74" s="1310" t="s">
        <v>648</v>
      </c>
      <c r="C74" s="1324" t="s">
        <v>650</v>
      </c>
      <c r="D74" s="1325">
        <v>24128873.61040844</v>
      </c>
      <c r="E74" s="453"/>
      <c r="F74" s="332"/>
    </row>
    <row r="75" spans="1:6">
      <c r="A75" s="1310" t="s">
        <v>64</v>
      </c>
      <c r="B75" s="1310" t="s">
        <v>647</v>
      </c>
      <c r="C75" s="1324" t="s">
        <v>651</v>
      </c>
      <c r="D75" s="1325">
        <v>39527041</v>
      </c>
      <c r="E75" s="453"/>
      <c r="F75" s="332"/>
    </row>
    <row r="76" spans="1:6">
      <c r="A76" s="1310" t="s">
        <v>64</v>
      </c>
      <c r="B76" s="1310" t="s">
        <v>648</v>
      </c>
      <c r="C76" s="1324" t="s">
        <v>652</v>
      </c>
      <c r="D76" s="1325">
        <v>2448358.6104084407</v>
      </c>
      <c r="E76" s="453"/>
      <c r="F76" s="332"/>
    </row>
    <row r="77" spans="1:6">
      <c r="A77" s="1310" t="s">
        <v>65</v>
      </c>
      <c r="B77" s="1310" t="s">
        <v>647</v>
      </c>
      <c r="C77" s="1324" t="s">
        <v>653</v>
      </c>
      <c r="D77" s="1325">
        <v>8184455</v>
      </c>
      <c r="E77" s="453"/>
      <c r="F77" s="332"/>
    </row>
    <row r="78" spans="1:6">
      <c r="A78" s="1305" t="s">
        <v>65</v>
      </c>
      <c r="B78" s="1305" t="s">
        <v>648</v>
      </c>
      <c r="C78" s="1305" t="s">
        <v>654</v>
      </c>
      <c r="D78" s="1326">
        <v>1525563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968414.77918311895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38607.003091792758</v>
      </c>
      <c r="C90" s="332"/>
      <c r="D90" s="332"/>
      <c r="E90" s="332"/>
      <c r="F90" s="332"/>
    </row>
    <row r="91" spans="1:6">
      <c r="A91" s="1310" t="s">
        <v>67</v>
      </c>
      <c r="B91" s="1311">
        <v>9759.082647766083</v>
      </c>
      <c r="C91" s="332"/>
      <c r="D91" s="332"/>
      <c r="E91" s="332"/>
      <c r="F91" s="332"/>
    </row>
    <row r="92" spans="1:6">
      <c r="A92" s="1305" t="s">
        <v>68</v>
      </c>
      <c r="B92" s="1306">
        <v>9079.6326671381285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7879</v>
      </c>
      <c r="C97" s="332"/>
      <c r="D97" s="332"/>
      <c r="E97" s="332"/>
      <c r="F97" s="332"/>
    </row>
    <row r="98" spans="1:6">
      <c r="A98" s="1310" t="s">
        <v>71</v>
      </c>
      <c r="B98" s="1311">
        <v>2</v>
      </c>
      <c r="C98" s="332"/>
      <c r="D98" s="332"/>
      <c r="E98" s="332"/>
      <c r="F98" s="332"/>
    </row>
    <row r="99" spans="1:6">
      <c r="A99" s="1310" t="s">
        <v>72</v>
      </c>
      <c r="B99" s="1311">
        <v>295</v>
      </c>
      <c r="C99" s="332"/>
      <c r="D99" s="332"/>
      <c r="E99" s="332"/>
      <c r="F99" s="332"/>
    </row>
    <row r="100" spans="1:6">
      <c r="A100" s="1310" t="s">
        <v>73</v>
      </c>
      <c r="B100" s="1311">
        <v>1386</v>
      </c>
      <c r="C100" s="332"/>
      <c r="D100" s="332"/>
      <c r="E100" s="332"/>
      <c r="F100" s="332"/>
    </row>
    <row r="101" spans="1:6">
      <c r="A101" s="1310" t="s">
        <v>74</v>
      </c>
      <c r="B101" s="1311">
        <v>247</v>
      </c>
      <c r="C101" s="332"/>
      <c r="D101" s="332"/>
      <c r="E101" s="332"/>
      <c r="F101" s="332"/>
    </row>
    <row r="102" spans="1:6">
      <c r="A102" s="1310" t="s">
        <v>75</v>
      </c>
      <c r="B102" s="1311">
        <v>262</v>
      </c>
      <c r="C102" s="332"/>
      <c r="D102" s="332"/>
      <c r="E102" s="332"/>
      <c r="F102" s="332"/>
    </row>
    <row r="103" spans="1:6">
      <c r="A103" s="1310" t="s">
        <v>76</v>
      </c>
      <c r="B103" s="1311">
        <v>465</v>
      </c>
      <c r="C103" s="332"/>
      <c r="D103" s="332"/>
      <c r="E103" s="332"/>
      <c r="F103" s="332"/>
    </row>
    <row r="104" spans="1:6">
      <c r="A104" s="1310" t="s">
        <v>77</v>
      </c>
      <c r="B104" s="1311">
        <v>3046</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33</v>
      </c>
      <c r="C123" s="1311">
        <v>73</v>
      </c>
      <c r="D123" s="332"/>
      <c r="E123" s="332"/>
      <c r="F123" s="332"/>
    </row>
    <row r="124" spans="1:6" s="43" customFormat="1">
      <c r="A124" s="1312" t="s">
        <v>88</v>
      </c>
      <c r="B124" s="1333">
        <v>3</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526</v>
      </c>
      <c r="C129" s="332"/>
      <c r="D129" s="332"/>
      <c r="E129" s="332"/>
      <c r="F129" s="332"/>
    </row>
    <row r="130" spans="1:6">
      <c r="A130" s="1310" t="s">
        <v>294</v>
      </c>
      <c r="B130" s="1311">
        <v>11</v>
      </c>
      <c r="C130" s="332"/>
      <c r="D130" s="332"/>
      <c r="E130" s="332"/>
      <c r="F130" s="332"/>
    </row>
    <row r="131" spans="1:6">
      <c r="A131" s="1310" t="s">
        <v>295</v>
      </c>
      <c r="B131" s="1311">
        <v>5</v>
      </c>
      <c r="C131" s="332"/>
      <c r="D131" s="332"/>
      <c r="E131" s="332"/>
      <c r="F131" s="332"/>
    </row>
    <row r="132" spans="1:6">
      <c r="A132" s="1305" t="s">
        <v>296</v>
      </c>
      <c r="B132" s="1306">
        <v>37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353847.89731990499</v>
      </c>
      <c r="C3" s="43" t="s">
        <v>169</v>
      </c>
      <c r="D3" s="43"/>
      <c r="E3" s="154"/>
      <c r="F3" s="43"/>
      <c r="G3" s="43"/>
      <c r="H3" s="43"/>
      <c r="I3" s="43"/>
      <c r="J3" s="43"/>
      <c r="K3" s="96"/>
    </row>
    <row r="4" spans="1:11">
      <c r="A4" s="360" t="s">
        <v>170</v>
      </c>
      <c r="B4" s="49">
        <f>IF(ISERROR('SEAP template'!B78+'SEAP template'!C78),0,'SEAP template'!B78+'SEAP template'!C78)</f>
        <v>96181.718406696978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2053.2705882352943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0.16673123275540089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2933.2436974789921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50194.285714285717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5.8437801350048224E-2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2839.857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2839.857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0.16673123275540089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473.4928584590545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46895.277090094794</v>
      </c>
      <c r="C5" s="17">
        <f>IF(ISERROR('Eigen informatie GS &amp; warmtenet'!B59),0,'Eigen informatie GS &amp; warmtenet'!B59)</f>
        <v>0</v>
      </c>
      <c r="D5" s="30">
        <f>(SUM(HH_hh_gas_kWh,HH_rest_gas_kWh)/1000)*0.903</f>
        <v>134360.83810743672</v>
      </c>
      <c r="E5" s="17">
        <f>B46*B57</f>
        <v>22518.233630118837</v>
      </c>
      <c r="F5" s="17">
        <f>B51*B62</f>
        <v>0</v>
      </c>
      <c r="G5" s="18"/>
      <c r="H5" s="17"/>
      <c r="I5" s="17"/>
      <c r="J5" s="17">
        <f>B50*B61+C50*C61</f>
        <v>1973.1234178167394</v>
      </c>
      <c r="K5" s="17"/>
      <c r="L5" s="17"/>
      <c r="M5" s="17"/>
      <c r="N5" s="17">
        <f>B48*B59+C48*C59</f>
        <v>35339.475529829193</v>
      </c>
      <c r="O5" s="17">
        <f>B69*B70*B71</f>
        <v>1192.3588898516061</v>
      </c>
      <c r="P5" s="17">
        <f>B77*B78*B79/1000-B77*B78*B79/1000/B80</f>
        <v>768.9790294610068</v>
      </c>
    </row>
    <row r="6" spans="1:16">
      <c r="A6" s="16" t="s">
        <v>612</v>
      </c>
      <c r="B6" s="786">
        <f>kWh_PV_kleiner_dan_10kW</f>
        <v>9759.082647766083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56654.359737860876</v>
      </c>
      <c r="C8" s="21">
        <f>C5</f>
        <v>0</v>
      </c>
      <c r="D8" s="21">
        <f>D5</f>
        <v>134360.83810743672</v>
      </c>
      <c r="E8" s="21">
        <f>E5</f>
        <v>22518.233630118837</v>
      </c>
      <c r="F8" s="21">
        <f>F5</f>
        <v>0</v>
      </c>
      <c r="G8" s="21"/>
      <c r="H8" s="21"/>
      <c r="I8" s="21"/>
      <c r="J8" s="21">
        <f>J5</f>
        <v>1973.1234178167394</v>
      </c>
      <c r="K8" s="21"/>
      <c r="L8" s="21">
        <f>L5</f>
        <v>0</v>
      </c>
      <c r="M8" s="21">
        <f>M5</f>
        <v>0</v>
      </c>
      <c r="N8" s="21">
        <f>N5</f>
        <v>35339.475529829193</v>
      </c>
      <c r="O8" s="21">
        <f>O5</f>
        <v>1192.3588898516061</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0.16673123275540089</v>
      </c>
      <c r="C10" s="25">
        <f ca="1">'EF ele_warmte'!B22</f>
        <v>5.8437801350048224E-2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9446.0512400614953</v>
      </c>
      <c r="C12" s="23">
        <f ca="1">C10*C8</f>
        <v>0</v>
      </c>
      <c r="D12" s="23">
        <f>D8*D10</f>
        <v>27140.889297702219</v>
      </c>
      <c r="E12" s="23">
        <f>E10*E8</f>
        <v>5111.6390340369762</v>
      </c>
      <c r="F12" s="23">
        <f>F10*F8</f>
        <v>0</v>
      </c>
      <c r="G12" s="23"/>
      <c r="H12" s="23"/>
      <c r="I12" s="23"/>
      <c r="J12" s="23">
        <f>J10*J8</f>
        <v>698.48568990712567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7879</v>
      </c>
      <c r="C18" s="166" t="s">
        <v>110</v>
      </c>
      <c r="D18" s="228"/>
      <c r="E18" s="15"/>
    </row>
    <row r="19" spans="1:7">
      <c r="A19" s="171" t="s">
        <v>71</v>
      </c>
      <c r="B19" s="37">
        <f>aantalw2001_ander</f>
        <v>2</v>
      </c>
      <c r="C19" s="166" t="s">
        <v>110</v>
      </c>
      <c r="D19" s="229"/>
      <c r="E19" s="15"/>
    </row>
    <row r="20" spans="1:7">
      <c r="A20" s="171" t="s">
        <v>72</v>
      </c>
      <c r="B20" s="37">
        <f>aantalw2001_propaan</f>
        <v>295</v>
      </c>
      <c r="C20" s="167">
        <f>IF(ISERROR(B20/SUM($B$20,$B$21,$B$22)*100),0,B20/SUM($B$20,$B$21,$B$22)*100)</f>
        <v>15.300829875518673</v>
      </c>
      <c r="D20" s="229"/>
      <c r="E20" s="15"/>
    </row>
    <row r="21" spans="1:7">
      <c r="A21" s="171" t="s">
        <v>73</v>
      </c>
      <c r="B21" s="37">
        <f>aantalw2001_elektriciteit</f>
        <v>1386</v>
      </c>
      <c r="C21" s="167">
        <f>IF(ISERROR(B21/SUM($B$20,$B$21,$B$22)*100),0,B21/SUM($B$20,$B$21,$B$22)*100)</f>
        <v>71.887966804979257</v>
      </c>
      <c r="D21" s="229"/>
      <c r="E21" s="15"/>
    </row>
    <row r="22" spans="1:7">
      <c r="A22" s="171" t="s">
        <v>74</v>
      </c>
      <c r="B22" s="37">
        <f>aantalw2001_hout</f>
        <v>247</v>
      </c>
      <c r="C22" s="167">
        <f>IF(ISERROR(B22/SUM($B$20,$B$21,$B$22)*100),0,B22/SUM($B$20,$B$21,$B$22)*100)</f>
        <v>12.811203319502074</v>
      </c>
      <c r="D22" s="229"/>
      <c r="E22" s="15"/>
    </row>
    <row r="23" spans="1:7">
      <c r="A23" s="171" t="s">
        <v>75</v>
      </c>
      <c r="B23" s="37">
        <f>aantalw2001_niet_gespec</f>
        <v>262</v>
      </c>
      <c r="C23" s="166" t="s">
        <v>110</v>
      </c>
      <c r="D23" s="228"/>
      <c r="E23" s="15"/>
    </row>
    <row r="24" spans="1:7">
      <c r="A24" s="171" t="s">
        <v>76</v>
      </c>
      <c r="B24" s="37">
        <f>aantalw2001_steenkool</f>
        <v>465</v>
      </c>
      <c r="C24" s="166" t="s">
        <v>110</v>
      </c>
      <c r="D24" s="229"/>
      <c r="E24" s="15"/>
    </row>
    <row r="25" spans="1:7">
      <c r="A25" s="171" t="s">
        <v>77</v>
      </c>
      <c r="B25" s="37">
        <f>aantalw2001_stookolie</f>
        <v>3046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15430</v>
      </c>
      <c r="C28" s="36"/>
      <c r="D28" s="228"/>
    </row>
    <row r="29" spans="1:7" s="15" customFormat="1">
      <c r="A29" s="230" t="s">
        <v>839</v>
      </c>
      <c r="B29" s="37">
        <f>SUM(HH_hh_gas_aantal,HH_rest_gas_aantal)</f>
        <v>11124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11124</v>
      </c>
      <c r="C32" s="167">
        <f>IF(ISERROR(B32/SUM($B$32,$B$34,$B$35,$B$36,$B$38,$B$39)*100),0,B32/SUM($B$32,$B$34,$B$35,$B$36,$B$38,$B$39)*100)</f>
        <v>72.436022660675917</v>
      </c>
      <c r="D32" s="233"/>
      <c r="G32" s="15"/>
    </row>
    <row r="33" spans="1:7">
      <c r="A33" s="171" t="s">
        <v>71</v>
      </c>
      <c r="B33" s="34" t="s">
        <v>110</v>
      </c>
      <c r="C33" s="167"/>
      <c r="D33" s="233"/>
      <c r="G33" s="15"/>
    </row>
    <row r="34" spans="1:7">
      <c r="A34" s="171" t="s">
        <v>72</v>
      </c>
      <c r="B34" s="33">
        <f>IF((($B$28-$B$32-$B$39-$B$77-$B$38)*C20/100)&lt;0,0,($B$28-$B$32-$B$39-$B$77-$B$38)*C20/100)</f>
        <v>626.18646265560176</v>
      </c>
      <c r="C34" s="167">
        <f>IF(ISERROR(B34/SUM($B$32,$B$34,$B$35,$B$36,$B$38,$B$39)*100),0,B34/SUM($B$32,$B$34,$B$35,$B$36,$B$38,$B$39)*100)</f>
        <v>4.0775311757218322</v>
      </c>
      <c r="D34" s="233"/>
      <c r="G34" s="15"/>
    </row>
    <row r="35" spans="1:7">
      <c r="A35" s="171" t="s">
        <v>73</v>
      </c>
      <c r="B35" s="33">
        <f>IF((($B$28-$B$32-$B$39-$B$77-$B$38)*C21/100)&lt;0,0,($B$28-$B$32-$B$39-$B$77-$B$38)*C21/100)</f>
        <v>2942.0150414937762</v>
      </c>
      <c r="C35" s="167">
        <f>IF(ISERROR(B35/SUM($B$32,$B$34,$B$35,$B$36,$B$38,$B$39)*100),0,B35/SUM($B$32,$B$34,$B$35,$B$36,$B$38,$B$39)*100)</f>
        <v>19.157485456103252</v>
      </c>
      <c r="D35" s="233"/>
      <c r="G35" s="15"/>
    </row>
    <row r="36" spans="1:7">
      <c r="A36" s="171" t="s">
        <v>74</v>
      </c>
      <c r="B36" s="33">
        <f>IF((($B$28-$B$32-$B$39-$B$77-$B$38)*C22/100)&lt;0,0,($B$28-$B$32-$B$39-$B$77-$B$38)*C22/100)</f>
        <v>524.29849585062232</v>
      </c>
      <c r="C36" s="167">
        <f>IF(ISERROR(B36/SUM($B$32,$B$34,$B$35,$B$36,$B$38,$B$39)*100),0,B36/SUM($B$32,$B$34,$B$35,$B$36,$B$38,$B$39)*100)</f>
        <v>3.4140684759433633</v>
      </c>
      <c r="D36" s="233"/>
      <c r="G36" s="15"/>
    </row>
    <row r="37" spans="1:7">
      <c r="A37" s="171" t="s">
        <v>75</v>
      </c>
      <c r="B37" s="34" t="s">
        <v>110</v>
      </c>
      <c r="C37" s="167"/>
      <c r="D37" s="173"/>
      <c r="G37" s="15"/>
    </row>
    <row r="38" spans="1:7">
      <c r="A38" s="171" t="s">
        <v>76</v>
      </c>
      <c r="B38" s="33">
        <f>IF((B24-(B29-B18)*0.1)&lt;0,0,B24-(B29-B18)*0.1)</f>
        <v>140.5</v>
      </c>
      <c r="C38" s="167">
        <f>IF(ISERROR(B38/SUM($B$32,$B$34,$B$35,$B$36,$B$38,$B$39)*100),0,B38/SUM($B$32,$B$34,$B$35,$B$36,$B$38,$B$39)*100)</f>
        <v>0.91489223155564237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11124</v>
      </c>
      <c r="C44" s="34" t="s">
        <v>110</v>
      </c>
      <c r="D44" s="174"/>
    </row>
    <row r="45" spans="1:7">
      <c r="A45" s="171" t="s">
        <v>71</v>
      </c>
      <c r="B45" s="33" t="str">
        <f t="shared" si="0"/>
        <v>-</v>
      </c>
      <c r="C45" s="34" t="s">
        <v>110</v>
      </c>
      <c r="D45" s="174"/>
    </row>
    <row r="46" spans="1:7">
      <c r="A46" s="171" t="s">
        <v>72</v>
      </c>
      <c r="B46" s="33">
        <f t="shared" si="0"/>
        <v>626.18646265560176</v>
      </c>
      <c r="C46" s="34" t="s">
        <v>110</v>
      </c>
      <c r="D46" s="174"/>
    </row>
    <row r="47" spans="1:7">
      <c r="A47" s="171" t="s">
        <v>73</v>
      </c>
      <c r="B47" s="33">
        <f t="shared" si="0"/>
        <v>2942.0150414937762</v>
      </c>
      <c r="C47" s="34" t="s">
        <v>110</v>
      </c>
      <c r="D47" s="174"/>
    </row>
    <row r="48" spans="1:7">
      <c r="A48" s="171" t="s">
        <v>74</v>
      </c>
      <c r="B48" s="33">
        <f t="shared" si="0"/>
        <v>524.29849585062232</v>
      </c>
      <c r="C48" s="33">
        <f>B48*10</f>
        <v>5242.9849585062229</v>
      </c>
      <c r="D48" s="234"/>
    </row>
    <row r="49" spans="1:6">
      <c r="A49" s="171" t="s">
        <v>75</v>
      </c>
      <c r="B49" s="33" t="str">
        <f t="shared" si="0"/>
        <v>-</v>
      </c>
      <c r="C49" s="34" t="s">
        <v>110</v>
      </c>
      <c r="D49" s="234"/>
    </row>
    <row r="50" spans="1:6">
      <c r="A50" s="171" t="s">
        <v>76</v>
      </c>
      <c r="B50" s="33">
        <f t="shared" si="0"/>
        <v>140.5</v>
      </c>
      <c r="C50" s="33">
        <f>B50*2</f>
        <v>281</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601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79092.704783301553</v>
      </c>
      <c r="C5" s="17">
        <f>IF(ISERROR('Eigen informatie GS &amp; warmtenet'!B60),0,'Eigen informatie GS &amp; warmtenet'!B60)</f>
        <v>0</v>
      </c>
      <c r="D5" s="30">
        <f>SUM(D6:D12)</f>
        <v>86326.492622596619</v>
      </c>
      <c r="E5" s="17">
        <f>SUM(E6:E12)</f>
        <v>181.12553005913696</v>
      </c>
      <c r="F5" s="17">
        <f>SUM(F6:F12)</f>
        <v>11367.963598780294</v>
      </c>
      <c r="G5" s="18"/>
      <c r="H5" s="17"/>
      <c r="I5" s="17"/>
      <c r="J5" s="17">
        <f>SUM(J6:J12)</f>
        <v>7.0826722337533579E-2</v>
      </c>
      <c r="K5" s="17"/>
      <c r="L5" s="17"/>
      <c r="M5" s="17"/>
      <c r="N5" s="17">
        <f>SUM(N6:N12)</f>
        <v>2701.6961607811018</v>
      </c>
      <c r="O5" s="17">
        <f>B38*B39*B40</f>
        <v>53.869868424252701</v>
      </c>
      <c r="P5" s="17">
        <f>B46*B47*B48/1000-B46*B47*B48/1000/B49</f>
        <v>315.23482983897009</v>
      </c>
      <c r="R5" s="32"/>
    </row>
    <row r="6" spans="1:18">
      <c r="A6" s="32" t="s">
        <v>53</v>
      </c>
      <c r="B6" s="37">
        <f>B26</f>
        <v>26616.754437523101</v>
      </c>
      <c r="C6" s="33"/>
      <c r="D6" s="37">
        <f>IF(ISERROR(TER_kantoor_gas_kWh/1000),0,TER_kantoor_gas_kWh/1000)*0.903</f>
        <v>22255.239679857226</v>
      </c>
      <c r="E6" s="33">
        <f>$C$26*'E Balans VL '!I12/100/3.6*1000000</f>
        <v>6.3767416931175704</v>
      </c>
      <c r="F6" s="33">
        <f>$C$26*('E Balans VL '!L12+'E Balans VL '!N12)/100/3.6*1000000</f>
        <v>2524.0355610970823</v>
      </c>
      <c r="G6" s="34"/>
      <c r="H6" s="33"/>
      <c r="I6" s="33"/>
      <c r="J6" s="33">
        <f>$C$26*('E Balans VL '!D12+'E Balans VL '!E12)/100/3.6*1000000</f>
        <v>0</v>
      </c>
      <c r="K6" s="33"/>
      <c r="L6" s="33"/>
      <c r="M6" s="33"/>
      <c r="N6" s="33">
        <f>$C$26*'E Balans VL '!Y12/100/3.6*1000000</f>
        <v>13.519934537351352</v>
      </c>
      <c r="O6" s="33"/>
      <c r="P6" s="33"/>
      <c r="R6" s="32"/>
    </row>
    <row r="7" spans="1:18">
      <c r="A7" s="32" t="s">
        <v>52</v>
      </c>
      <c r="B7" s="37">
        <f t="shared" ref="B7:B12" si="0">B27</f>
        <v>8338.6665846524102</v>
      </c>
      <c r="C7" s="33"/>
      <c r="D7" s="37">
        <f>IF(ISERROR(TER_horeca_gas_kWh/1000),0,TER_horeca_gas_kWh/1000)*0.903</f>
        <v>14118.616488207268</v>
      </c>
      <c r="E7" s="33">
        <f>$C$27*'E Balans VL '!I9/100/3.6*1000000</f>
        <v>0</v>
      </c>
      <c r="F7" s="33">
        <f>$C$27*('E Balans VL '!L9+'E Balans VL '!N9)/100/3.6*1000000</f>
        <v>683.7510583271943</v>
      </c>
      <c r="G7" s="34"/>
      <c r="H7" s="33"/>
      <c r="I7" s="33"/>
      <c r="J7" s="33">
        <f>$C$27*('E Balans VL '!D9+'E Balans VL '!E9)/100/3.6*1000000</f>
        <v>0</v>
      </c>
      <c r="K7" s="33"/>
      <c r="L7" s="33"/>
      <c r="M7" s="33"/>
      <c r="N7" s="33">
        <f>$C$27*'E Balans VL '!Y9/100/3.6*1000000</f>
        <v>2.5561363312508614</v>
      </c>
      <c r="O7" s="33"/>
      <c r="P7" s="33"/>
      <c r="R7" s="32"/>
    </row>
    <row r="8" spans="1:18">
      <c r="A8" s="6" t="s">
        <v>51</v>
      </c>
      <c r="B8" s="37">
        <f t="shared" si="0"/>
        <v>20496.4372590733</v>
      </c>
      <c r="C8" s="33"/>
      <c r="D8" s="37">
        <f>IF(ISERROR(TER_handel_gas_kWh/1000),0,TER_handel_gas_kWh/1000)*0.903</f>
        <v>15142.407745235694</v>
      </c>
      <c r="E8" s="33">
        <f>$C$28*'E Balans VL '!I13/100/3.6*1000000</f>
        <v>72.033774574271703</v>
      </c>
      <c r="F8" s="33">
        <f>$C$28*('E Balans VL '!L13+'E Balans VL '!N13)/100/3.6*1000000</f>
        <v>1875.3872010390619</v>
      </c>
      <c r="G8" s="34"/>
      <c r="H8" s="33"/>
      <c r="I8" s="33"/>
      <c r="J8" s="33">
        <f>$C$28*('E Balans VL '!D13+'E Balans VL '!E13)/100/3.6*1000000</f>
        <v>0</v>
      </c>
      <c r="K8" s="33"/>
      <c r="L8" s="33"/>
      <c r="M8" s="33"/>
      <c r="N8" s="33">
        <f>$C$28*'E Balans VL '!Y13/100/3.6*1000000</f>
        <v>7.4229271705886735</v>
      </c>
      <c r="O8" s="33"/>
      <c r="P8" s="33"/>
      <c r="R8" s="32"/>
    </row>
    <row r="9" spans="1:18">
      <c r="A9" s="32" t="s">
        <v>50</v>
      </c>
      <c r="B9" s="37">
        <f t="shared" si="0"/>
        <v>15834.775340836401</v>
      </c>
      <c r="C9" s="33"/>
      <c r="D9" s="37">
        <f>IF(ISERROR(TER_gezond_gas_kWh/1000),0,TER_gezond_gas_kWh/1000)*0.903</f>
        <v>28178.237476921371</v>
      </c>
      <c r="E9" s="33">
        <f>$C$29*'E Balans VL '!I10/100/3.6*1000000</f>
        <v>0</v>
      </c>
      <c r="F9" s="33">
        <f>$C$29*('E Balans VL '!L10+'E Balans VL '!N10)/100/3.6*1000000</f>
        <v>1941.0526836259371</v>
      </c>
      <c r="G9" s="34"/>
      <c r="H9" s="33"/>
      <c r="I9" s="33"/>
      <c r="J9" s="33">
        <f>$C$29*('E Balans VL '!D10+'E Balans VL '!E10)/100/3.6*1000000</f>
        <v>0</v>
      </c>
      <c r="K9" s="33"/>
      <c r="L9" s="33"/>
      <c r="M9" s="33"/>
      <c r="N9" s="33">
        <f>$C$29*'E Balans VL '!Y10/100/3.6*1000000</f>
        <v>116.77043359890584</v>
      </c>
      <c r="O9" s="33"/>
      <c r="P9" s="33"/>
      <c r="R9" s="32"/>
    </row>
    <row r="10" spans="1:18">
      <c r="A10" s="32" t="s">
        <v>49</v>
      </c>
      <c r="B10" s="37">
        <f t="shared" si="0"/>
        <v>7171.73070888033</v>
      </c>
      <c r="C10" s="33"/>
      <c r="D10" s="37">
        <f>IF(ISERROR(TER_ander_gas_kWh/1000),0,TER_ander_gas_kWh/1000)*0.903</f>
        <v>4937.6205530955704</v>
      </c>
      <c r="E10" s="33">
        <f>$C$30*'E Balans VL '!I14/100/3.6*1000000</f>
        <v>102.71501379174768</v>
      </c>
      <c r="F10" s="33">
        <f>$C$30*('E Balans VL '!L14+'E Balans VL '!N14)/100/3.6*1000000</f>
        <v>4269.5751418249847</v>
      </c>
      <c r="G10" s="34"/>
      <c r="H10" s="33"/>
      <c r="I10" s="33"/>
      <c r="J10" s="33">
        <f>$C$30*('E Balans VL '!D14+'E Balans VL '!E14)/100/3.6*1000000</f>
        <v>7.0826722337533579E-2</v>
      </c>
      <c r="K10" s="33"/>
      <c r="L10" s="33"/>
      <c r="M10" s="33"/>
      <c r="N10" s="33">
        <f>$C$30*'E Balans VL '!Y14/100/3.6*1000000</f>
        <v>2559.6404992713133</v>
      </c>
      <c r="O10" s="33"/>
      <c r="P10" s="33"/>
      <c r="R10" s="32"/>
    </row>
    <row r="11" spans="1:18">
      <c r="A11" s="32" t="s">
        <v>54</v>
      </c>
      <c r="B11" s="37">
        <f t="shared" si="0"/>
        <v>634.340452336005</v>
      </c>
      <c r="C11" s="33"/>
      <c r="D11" s="37">
        <f>IF(ISERROR(TER_onderwijs_gas_kWh/1000),0,TER_onderwijs_gas_kWh/1000)*0.903</f>
        <v>1694.3706792794942</v>
      </c>
      <c r="E11" s="33">
        <f>$C$31*'E Balans VL '!I11/100/3.6*1000000</f>
        <v>0</v>
      </c>
      <c r="F11" s="33">
        <f>$C$31*('E Balans VL '!L11+'E Balans VL '!N11)/100/3.6*1000000</f>
        <v>74.161952866033744</v>
      </c>
      <c r="G11" s="34"/>
      <c r="H11" s="33"/>
      <c r="I11" s="33"/>
      <c r="J11" s="33">
        <f>$C$31*('E Balans VL '!D11+'E Balans VL '!E11)/100/3.6*1000000</f>
        <v>0</v>
      </c>
      <c r="K11" s="33"/>
      <c r="L11" s="33"/>
      <c r="M11" s="33"/>
      <c r="N11" s="33">
        <f>$C$31*'E Balans VL '!Y11/100/3.6*1000000</f>
        <v>1.7862298716918716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energieproductie'!N44+'lokale energieproductie'!N37</f>
        <v>22554</v>
      </c>
      <c r="C13" s="247">
        <f ca="1">'lokale energieproductie'!O44+'lokale energieproductie'!O37</f>
        <v>27077.142857142859</v>
      </c>
      <c r="D13" s="310">
        <f ca="1">('lokale energieproductie'!P37+'lokale energieproductie'!P44)*(-1)</f>
        <v>-5400.0000000000018</v>
      </c>
      <c r="E13" s="248"/>
      <c r="F13" s="310">
        <f ca="1">('lokale energieproductie'!S37+'lokale energieproductie'!S44)*(-1)</f>
        <v>0</v>
      </c>
      <c r="G13" s="249"/>
      <c r="H13" s="248"/>
      <c r="I13" s="248"/>
      <c r="J13" s="248"/>
      <c r="K13" s="248"/>
      <c r="L13" s="310">
        <f ca="1">('lokale energieproductie'!U37+'lokale energieproductie'!T37+'lokale energieproductie'!U44+'lokale energieproductie'!T44)*(-1)</f>
        <v>0</v>
      </c>
      <c r="M13" s="248"/>
      <c r="N13" s="310">
        <f ca="1">('lokale energieproductie'!Q37+'lokale energieproductie'!R37+'lokale energieproductie'!V37+'lokale energieproductie'!Q44+'lokale energieproductie'!R44+'lokale energieproductie'!V44)*(-1)</f>
        <v>-59040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101646.70478330155</v>
      </c>
      <c r="C16" s="21">
        <f t="shared" ca="1" si="1"/>
        <v>27077.142857142859</v>
      </c>
      <c r="D16" s="21">
        <f t="shared" ca="1" si="1"/>
        <v>80926.492622596619</v>
      </c>
      <c r="E16" s="21">
        <f t="shared" si="1"/>
        <v>181.12553005913696</v>
      </c>
      <c r="F16" s="21">
        <f t="shared" ca="1" si="1"/>
        <v>11367.963598780294</v>
      </c>
      <c r="G16" s="21">
        <f t="shared" si="1"/>
        <v>0</v>
      </c>
      <c r="H16" s="21">
        <f t="shared" si="1"/>
        <v>0</v>
      </c>
      <c r="I16" s="21">
        <f t="shared" si="1"/>
        <v>0</v>
      </c>
      <c r="J16" s="21">
        <f t="shared" si="1"/>
        <v>7.0826722337533579E-2</v>
      </c>
      <c r="K16" s="21">
        <f t="shared" si="1"/>
        <v>0</v>
      </c>
      <c r="L16" s="21">
        <f t="shared" ca="1" si="1"/>
        <v>0</v>
      </c>
      <c r="M16" s="21">
        <f t="shared" si="1"/>
        <v>0</v>
      </c>
      <c r="N16" s="21">
        <f t="shared" ca="1" si="1"/>
        <v>0</v>
      </c>
      <c r="O16" s="21">
        <f>O5</f>
        <v>53.869868424252701</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0.16673123275540089</v>
      </c>
      <c r="C18" s="25">
        <f ca="1">'EF ele_warmte'!B22</f>
        <v>5.8437801350048224E-2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16947.680394044171</v>
      </c>
      <c r="C20" s="23">
        <f t="shared" ref="C20:P20" ca="1" si="2">C16*C18</f>
        <v>1582.3286954125915</v>
      </c>
      <c r="D20" s="23">
        <f t="shared" ca="1" si="2"/>
        <v>16347.151509764519</v>
      </c>
      <c r="E20" s="23">
        <f t="shared" si="2"/>
        <v>41.115495323424092</v>
      </c>
      <c r="F20" s="23">
        <f t="shared" ca="1" si="2"/>
        <v>3035.2462808743385</v>
      </c>
      <c r="G20" s="23">
        <f t="shared" si="2"/>
        <v>0</v>
      </c>
      <c r="H20" s="23">
        <f t="shared" si="2"/>
        <v>0</v>
      </c>
      <c r="I20" s="23">
        <f t="shared" si="2"/>
        <v>0</v>
      </c>
      <c r="J20" s="23">
        <f t="shared" si="2"/>
        <v>2.5072659707486886E-2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26616.754437523101</v>
      </c>
      <c r="C26" s="39">
        <f>IF(ISERROR(B26*3.6/1000000/'E Balans VL '!Z12*100),0,B26*3.6/1000000/'E Balans VL '!Z12*100)</f>
        <v>0.75066295987255671</v>
      </c>
      <c r="D26" s="237" t="s">
        <v>702</v>
      </c>
      <c r="F26" s="6"/>
    </row>
    <row r="27" spans="1:18">
      <c r="A27" s="231" t="s">
        <v>52</v>
      </c>
      <c r="B27" s="33">
        <f>IF(ISERROR(TER_horeca_ele_kWh/1000),0,TER_horeca_ele_kWh/1000)</f>
        <v>8338.6665846524102</v>
      </c>
      <c r="C27" s="39">
        <f>IF(ISERROR(B27*3.6/1000000/'E Balans VL '!Z9*100),0,B27*3.6/1000000/'E Balans VL '!Z9*100)</f>
        <v>0.61820968942445254</v>
      </c>
      <c r="D27" s="237" t="s">
        <v>702</v>
      </c>
      <c r="F27" s="6"/>
    </row>
    <row r="28" spans="1:18">
      <c r="A28" s="171" t="s">
        <v>51</v>
      </c>
      <c r="B28" s="33">
        <f>IF(ISERROR(TER_handel_ele_kWh/1000),0,TER_handel_ele_kWh/1000)</f>
        <v>20496.4372590733</v>
      </c>
      <c r="C28" s="39">
        <f>IF(ISERROR(B28*3.6/1000000/'E Balans VL '!Z13*100),0,B28*3.6/1000000/'E Balans VL '!Z13*100)</f>
        <v>0.61402452818280073</v>
      </c>
      <c r="D28" s="237" t="s">
        <v>702</v>
      </c>
      <c r="F28" s="6"/>
    </row>
    <row r="29" spans="1:18">
      <c r="A29" s="231" t="s">
        <v>50</v>
      </c>
      <c r="B29" s="33">
        <f>IF(ISERROR(TER_gezond_ele_kWh/1000),0,TER_gezond_ele_kWh/1000)</f>
        <v>15834.775340836401</v>
      </c>
      <c r="C29" s="39">
        <f>IF(ISERROR(B29*3.6/1000000/'E Balans VL '!Z10*100),0,B29*3.6/1000000/'E Balans VL '!Z10*100)</f>
        <v>1.5657487921122002</v>
      </c>
      <c r="D29" s="237" t="s">
        <v>702</v>
      </c>
      <c r="F29" s="6"/>
    </row>
    <row r="30" spans="1:18">
      <c r="A30" s="231" t="s">
        <v>49</v>
      </c>
      <c r="B30" s="33">
        <f>IF(ISERROR(TER_ander_ele_kWh/1000),0,TER_ander_ele_kWh/1000)</f>
        <v>7171.73070888033</v>
      </c>
      <c r="C30" s="39">
        <f>IF(ISERROR(B30*3.6/1000000/'E Balans VL '!Z14*100),0,B30*3.6/1000000/'E Balans VL '!Z14*100)</f>
        <v>0.29007531332778258</v>
      </c>
      <c r="D30" s="237" t="s">
        <v>702</v>
      </c>
      <c r="F30" s="6"/>
    </row>
    <row r="31" spans="1:18">
      <c r="A31" s="231" t="s">
        <v>54</v>
      </c>
      <c r="B31" s="33">
        <f>IF(ISERROR(TER_onderwijs_ele_kWh/1000),0,TER_onderwijs_ele_kWh/1000)</f>
        <v>634.340452336005</v>
      </c>
      <c r="C31" s="39">
        <f>IF(ISERROR(B31*3.6/1000000/'E Balans VL '!Z11*100),0,B31*3.6/1000000/'E Balans VL '!Z11*100)</f>
        <v>0.17428106490550793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172792.16751058138</v>
      </c>
      <c r="C5" s="17">
        <f>IF(ISERROR('Eigen informatie GS &amp; warmtenet'!B61),0,'Eigen informatie GS &amp; warmtenet'!B61)</f>
        <v>0</v>
      </c>
      <c r="D5" s="30">
        <f>SUM(D6:D15)</f>
        <v>251694.59943862329</v>
      </c>
      <c r="E5" s="17">
        <f>SUM(E6:E15)</f>
        <v>1658.9231987203459</v>
      </c>
      <c r="F5" s="17">
        <f>SUM(F6:F15)</f>
        <v>30954.239459422919</v>
      </c>
      <c r="G5" s="18"/>
      <c r="H5" s="17"/>
      <c r="I5" s="17"/>
      <c r="J5" s="17">
        <f>SUM(J6:J15)</f>
        <v>57.042154587755505</v>
      </c>
      <c r="K5" s="17"/>
      <c r="L5" s="17"/>
      <c r="M5" s="17"/>
      <c r="N5" s="17">
        <f>SUM(N6:N15)</f>
        <v>4152.7315546048421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64273.249322575299</v>
      </c>
      <c r="C8" s="33"/>
      <c r="D8" s="37">
        <f>IF( ISERROR(IND_metaal_Gas_kWH/1000),0,IND_metaal_Gas_kWH/1000)*0.903</f>
        <v>31029.474685057885</v>
      </c>
      <c r="E8" s="33">
        <f>C30*'E Balans VL '!I18/100/3.6*1000000</f>
        <v>324.07693743763406</v>
      </c>
      <c r="F8" s="33">
        <f>C30*'E Balans VL '!L18/100/3.6*1000000+C30*'E Balans VL '!N18/100/3.6*1000000</f>
        <v>4391.2797329556961</v>
      </c>
      <c r="G8" s="34"/>
      <c r="H8" s="33"/>
      <c r="I8" s="33"/>
      <c r="J8" s="40">
        <f>C30*'E Balans VL '!D18/100/3.6*1000000+C30*'E Balans VL '!E18/100/3.6*1000000</f>
        <v>56.983718103259434</v>
      </c>
      <c r="K8" s="33"/>
      <c r="L8" s="33"/>
      <c r="M8" s="33"/>
      <c r="N8" s="33">
        <f>C30*'E Balans VL '!Y18/100/3.6*1000000</f>
        <v>854.19186492837798</v>
      </c>
      <c r="O8" s="33"/>
      <c r="P8" s="33"/>
      <c r="R8" s="32"/>
    </row>
    <row r="9" spans="1:18">
      <c r="A9" s="6" t="s">
        <v>32</v>
      </c>
      <c r="B9" s="37">
        <f t="shared" si="0"/>
        <v>41939.411267255098</v>
      </c>
      <c r="C9" s="33"/>
      <c r="D9" s="37">
        <f>IF( ISERROR(IND_andere_gas_kWh/1000),0,IND_andere_gas_kWh/1000)*0.903</f>
        <v>5966.2393917408554</v>
      </c>
      <c r="E9" s="33">
        <f>C31*'E Balans VL '!I19/100/3.6*1000000</f>
        <v>132.20293641347862</v>
      </c>
      <c r="F9" s="33">
        <f>C31*'E Balans VL '!L19/100/3.6*1000000+C31*'E Balans VL '!N19/100/3.6*1000000</f>
        <v>25673.543660218569</v>
      </c>
      <c r="G9" s="34"/>
      <c r="H9" s="33"/>
      <c r="I9" s="33"/>
      <c r="J9" s="40">
        <f>C31*'E Balans VL '!D19/100/3.6*1000000+C31*'E Balans VL '!E19/100/3.6*1000000</f>
        <v>0</v>
      </c>
      <c r="K9" s="33"/>
      <c r="L9" s="33"/>
      <c r="M9" s="33"/>
      <c r="N9" s="33">
        <f>C31*'E Balans VL '!Y19/100/3.6*1000000</f>
        <v>1758.5764606436289</v>
      </c>
      <c r="O9" s="33"/>
      <c r="P9" s="33"/>
      <c r="R9" s="32"/>
    </row>
    <row r="10" spans="1:18">
      <c r="A10" s="6" t="s">
        <v>40</v>
      </c>
      <c r="B10" s="37">
        <f t="shared" si="0"/>
        <v>42305.317669571799</v>
      </c>
      <c r="C10" s="33"/>
      <c r="D10" s="37">
        <f>IF( ISERROR(IND_voed_gas_kWh/1000),0,IND_voed_gas_kWh/1000)*0.903</f>
        <v>200475.2247005816</v>
      </c>
      <c r="E10" s="33">
        <f>C32*'E Balans VL '!I20/100/3.6*1000000</f>
        <v>67.422795204263991</v>
      </c>
      <c r="F10" s="33">
        <f>C32*'E Balans VL '!L20/100/3.6*1000000+C32*'E Balans VL '!N20/100/3.6*1000000</f>
        <v>687.35864086437584</v>
      </c>
      <c r="G10" s="34"/>
      <c r="H10" s="33"/>
      <c r="I10" s="33"/>
      <c r="J10" s="40">
        <f>C32*'E Balans VL '!D20/100/3.6*1000000+C32*'E Balans VL '!E20/100/3.6*1000000</f>
        <v>0</v>
      </c>
      <c r="K10" s="33"/>
      <c r="L10" s="33"/>
      <c r="M10" s="33"/>
      <c r="N10" s="33">
        <f>C32*'E Balans VL '!Y20/100/3.6*1000000</f>
        <v>1336.2132204957711</v>
      </c>
      <c r="O10" s="33"/>
      <c r="P10" s="33"/>
      <c r="R10" s="32"/>
    </row>
    <row r="11" spans="1:18">
      <c r="A11" s="6" t="s">
        <v>39</v>
      </c>
      <c r="B11" s="37">
        <f t="shared" si="0"/>
        <v>2312.2653016691197</v>
      </c>
      <c r="C11" s="33"/>
      <c r="D11" s="37">
        <f>IF( ISERROR(IND_textiel_gas_kWh/1000),0,IND_textiel_gas_kWh/1000)*0.903</f>
        <v>9079.0430606573173</v>
      </c>
      <c r="E11" s="33">
        <f>C33*'E Balans VL '!I21/100/3.6*1000000</f>
        <v>3.3546744356204954</v>
      </c>
      <c r="F11" s="33">
        <f>C33*'E Balans VL '!L21/100/3.6*1000000+C33*'E Balans VL '!N21/100/3.6*1000000</f>
        <v>45.252517623803371</v>
      </c>
      <c r="G11" s="34"/>
      <c r="H11" s="33"/>
      <c r="I11" s="33"/>
      <c r="J11" s="40">
        <f>C33*'E Balans VL '!D21/100/3.6*1000000+C33*'E Balans VL '!E21/100/3.6*1000000</f>
        <v>0</v>
      </c>
      <c r="K11" s="33"/>
      <c r="L11" s="33"/>
      <c r="M11" s="33"/>
      <c r="N11" s="33">
        <f>C33*'E Balans VL '!Y21/100/3.6*1000000</f>
        <v>112.64831771166958</v>
      </c>
      <c r="O11" s="33"/>
      <c r="P11" s="33"/>
      <c r="R11" s="32"/>
    </row>
    <row r="12" spans="1:18">
      <c r="A12" s="6" t="s">
        <v>36</v>
      </c>
      <c r="B12" s="37">
        <f t="shared" si="0"/>
        <v>526.44672399132605</v>
      </c>
      <c r="C12" s="33"/>
      <c r="D12" s="37">
        <f>IF( ISERROR(IND_min_gas_kWh/1000),0,IND_min_gas_kWh/1000)*0.903</f>
        <v>313.71476472323491</v>
      </c>
      <c r="E12" s="33">
        <f>C34*'E Balans VL '!I22/100/3.6*1000000</f>
        <v>2.278077528190293</v>
      </c>
      <c r="F12" s="33">
        <f>C34*'E Balans VL '!L22/100/3.6*1000000+C34*'E Balans VL '!N22/100/3.6*1000000</f>
        <v>20.100385783274575</v>
      </c>
      <c r="G12" s="34"/>
      <c r="H12" s="33"/>
      <c r="I12" s="33"/>
      <c r="J12" s="40">
        <f>C34*'E Balans VL '!D22/100/3.6*1000000+C34*'E Balans VL '!E22/100/3.6*1000000</f>
        <v>0</v>
      </c>
      <c r="K12" s="33"/>
      <c r="L12" s="33"/>
      <c r="M12" s="33"/>
      <c r="N12" s="33">
        <f>C34*'E Balans VL '!Y22/100/3.6*1000000</f>
        <v>89.799952149744115</v>
      </c>
      <c r="O12" s="33"/>
      <c r="P12" s="33"/>
      <c r="R12" s="32"/>
    </row>
    <row r="13" spans="1:18">
      <c r="A13" s="6" t="s">
        <v>38</v>
      </c>
      <c r="B13" s="37">
        <f t="shared" si="0"/>
        <v>2120.7393878111802</v>
      </c>
      <c r="C13" s="33"/>
      <c r="D13" s="37">
        <f>IF( ISERROR(IND_papier_gas_kWh/1000),0,IND_papier_gas_kWh/1000)*0.903</f>
        <v>465.60531710536713</v>
      </c>
      <c r="E13" s="33">
        <f>C35*'E Balans VL '!I23/100/3.6*1000000</f>
        <v>0</v>
      </c>
      <c r="F13" s="33">
        <f>C35*'E Balans VL '!L23/100/3.6*1000000+C35*'E Balans VL '!N23/100/3.6*1000000</f>
        <v>9.1880291463348598E-2</v>
      </c>
      <c r="G13" s="34"/>
      <c r="H13" s="33"/>
      <c r="I13" s="33"/>
      <c r="J13" s="40">
        <f>C35*'E Balans VL '!D23/100/3.6*1000000+C35*'E Balans VL '!E23/100/3.6*1000000</f>
        <v>5.8436484496069842E-2</v>
      </c>
      <c r="K13" s="33"/>
      <c r="L13" s="33"/>
      <c r="M13" s="33"/>
      <c r="N13" s="33">
        <f>C35*'E Balans VL '!Y23/100/3.6*1000000</f>
        <v>0</v>
      </c>
      <c r="O13" s="33"/>
      <c r="P13" s="33"/>
      <c r="R13" s="32"/>
    </row>
    <row r="14" spans="1:18">
      <c r="A14" s="6" t="s">
        <v>33</v>
      </c>
      <c r="B14" s="37">
        <f t="shared" si="0"/>
        <v>19314.7378377075</v>
      </c>
      <c r="C14" s="33"/>
      <c r="D14" s="37">
        <f>IF( ISERROR(IND_chemie_gas_kWh/1000),0,IND_chemie_gas_kWh/1000)*0.903</f>
        <v>4365.2975187570537</v>
      </c>
      <c r="E14" s="33">
        <f>C36*'E Balans VL '!I24/100/3.6*1000000</f>
        <v>1129.5877777011585</v>
      </c>
      <c r="F14" s="33">
        <f>C36*'E Balans VL '!L24/100/3.6*1000000+C36*'E Balans VL '!N24/100/3.6*1000000</f>
        <v>136.61264168573626</v>
      </c>
      <c r="G14" s="34"/>
      <c r="H14" s="33"/>
      <c r="I14" s="33"/>
      <c r="J14" s="40">
        <f>C36*'E Balans VL '!D24/100/3.6*1000000+C36*'E Balans VL '!E24/100/3.6*1000000</f>
        <v>0</v>
      </c>
      <c r="K14" s="33"/>
      <c r="L14" s="33"/>
      <c r="M14" s="33"/>
      <c r="N14" s="33">
        <f>C36*'E Balans VL '!Y24/100/3.6*1000000</f>
        <v>1.3017386756499338</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energieproductie'!N43+'lokale energieproductie'!N36</f>
        <v>6750</v>
      </c>
      <c r="C16" s="247">
        <f>'lokale energieproductie'!O43+'lokale energieproductie'!O36</f>
        <v>9642.8571428571431</v>
      </c>
      <c r="D16" s="310">
        <f>('lokale energieproductie'!P36+'lokale energieproductie'!P43)*(-1)</f>
        <v>-19285.714285714286</v>
      </c>
      <c r="E16" s="248"/>
      <c r="F16" s="310">
        <f>('lokale energieproductie'!S36+'lokale energieproductie'!S43)*(-1)</f>
        <v>0</v>
      </c>
      <c r="G16" s="249"/>
      <c r="H16" s="248"/>
      <c r="I16" s="248"/>
      <c r="J16" s="248"/>
      <c r="K16" s="248"/>
      <c r="L16" s="310">
        <f>('lokale energieproductie'!T36+'lokale energieproductie'!U36+'lokale energieproductie'!T43+'lokale energieproductie'!U43)*(-1)</f>
        <v>0</v>
      </c>
      <c r="M16" s="248"/>
      <c r="N16" s="310">
        <f>('lokale energieproductie'!Q36+'lokale energieproductie'!R36+'lokale energieproductie'!V36+'lokale energieproductie'!Q43+'lokale energieproductie'!R43+'lokale energieproductie'!V43)*(-1)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179542.16751058138</v>
      </c>
      <c r="C18" s="21">
        <f>C5+C16</f>
        <v>9642.8571428571431</v>
      </c>
      <c r="D18" s="21">
        <f>MAX((D5+D16),0)</f>
        <v>232408.885152909</v>
      </c>
      <c r="E18" s="21">
        <f>MAX((E5+E16),0)</f>
        <v>1658.9231987203459</v>
      </c>
      <c r="F18" s="21">
        <f>MAX((F5+F16),0)</f>
        <v>30954.239459422919</v>
      </c>
      <c r="G18" s="21"/>
      <c r="H18" s="21"/>
      <c r="I18" s="21"/>
      <c r="J18" s="21">
        <f>MAX((J5+J16),0)</f>
        <v>57.042154587755505</v>
      </c>
      <c r="K18" s="21"/>
      <c r="L18" s="21">
        <f>MAX((L5+L16),0)</f>
        <v>0</v>
      </c>
      <c r="M18" s="21"/>
      <c r="N18" s="21">
        <f>MAX((N5+N16),0)</f>
        <v>4152.7315546048421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0.16673123275540089</v>
      </c>
      <c r="C20" s="25">
        <f ca="1">'EF ele_warmte'!B22</f>
        <v>5.8437801350048224E-2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29935.286920615919</v>
      </c>
      <c r="C22" s="23">
        <f ca="1">C18*C20</f>
        <v>563.50737016117932</v>
      </c>
      <c r="D22" s="23">
        <f>D18*D20</f>
        <v>46946.594800887622</v>
      </c>
      <c r="E22" s="23">
        <f>E18*E20</f>
        <v>376.57556610951855</v>
      </c>
      <c r="F22" s="23">
        <f>F18*F20</f>
        <v>8264.7819356659202</v>
      </c>
      <c r="G22" s="23"/>
      <c r="H22" s="23"/>
      <c r="I22" s="23"/>
      <c r="J22" s="23">
        <f>J18*J20</f>
        <v>20.192922724065447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64273.249322575299</v>
      </c>
      <c r="C30" s="39">
        <f>IF(ISERROR(B30*3.6/1000000/'E Balans VL '!Z18*100),0,B30*3.6/1000000/'E Balans VL '!Z18*100)</f>
        <v>3.1903792406179368</v>
      </c>
      <c r="D30" s="237" t="s">
        <v>702</v>
      </c>
    </row>
    <row r="31" spans="1:18">
      <c r="A31" s="6" t="s">
        <v>32</v>
      </c>
      <c r="B31" s="37">
        <f>IF( ISERROR(IND_ander_ele_kWh/1000),0,IND_ander_ele_kWh/1000)</f>
        <v>41939.411267255098</v>
      </c>
      <c r="C31" s="39">
        <f>IF(ISERROR(B31*3.6/1000000/'E Balans VL '!Z19*100),0,B31*3.6/1000000/'E Balans VL '!Z19*100)</f>
        <v>1.4152402194289138</v>
      </c>
      <c r="D31" s="237" t="s">
        <v>702</v>
      </c>
    </row>
    <row r="32" spans="1:18">
      <c r="A32" s="171" t="s">
        <v>40</v>
      </c>
      <c r="B32" s="37">
        <f>IF( ISERROR(IND_voed_ele_kWh/1000),0,IND_voed_ele_kWh/1000)</f>
        <v>42305.317669571799</v>
      </c>
      <c r="C32" s="39">
        <f>IF(ISERROR(B32*3.6/1000000/'E Balans VL '!Z20*100),0,B32*3.6/1000000/'E Balans VL '!Z20*100)</f>
        <v>0.99351132511318696</v>
      </c>
      <c r="D32" s="237" t="s">
        <v>702</v>
      </c>
    </row>
    <row r="33" spans="1:5">
      <c r="A33" s="171" t="s">
        <v>39</v>
      </c>
      <c r="B33" s="37">
        <f>IF( ISERROR(IND_textiel_ele_kWh/1000),0,IND_textiel_ele_kWh/1000)</f>
        <v>2312.2653016691197</v>
      </c>
      <c r="C33" s="39">
        <f>IF(ISERROR(B33*3.6/1000000/'E Balans VL '!Z21*100),0,B33*3.6/1000000/'E Balans VL '!Z21*100)</f>
        <v>0.2537681859263245</v>
      </c>
      <c r="D33" s="237" t="s">
        <v>702</v>
      </c>
    </row>
    <row r="34" spans="1:5">
      <c r="A34" s="171" t="s">
        <v>36</v>
      </c>
      <c r="B34" s="37">
        <f>IF( ISERROR(IND_min_ele_kWh/1000),0,IND_min_ele_kWh/1000)</f>
        <v>526.44672399132605</v>
      </c>
      <c r="C34" s="39">
        <f>IF(ISERROR(B34*3.6/1000000/'E Balans VL '!Z22*100),0,B34*3.6/1000000/'E Balans VL '!Z22*100)</f>
        <v>7.4687396068268408E-2</v>
      </c>
      <c r="D34" s="237" t="s">
        <v>702</v>
      </c>
    </row>
    <row r="35" spans="1:5">
      <c r="A35" s="171" t="s">
        <v>38</v>
      </c>
      <c r="B35" s="37">
        <f>IF( ISERROR(IND_papier_ele_kWh/1000),0,IND_papier_ele_kWh/1000)</f>
        <v>2120.7393878111802</v>
      </c>
      <c r="C35" s="39">
        <f>IF(ISERROR(B35*3.6/1000000/'E Balans VL '!Z22*100),0,B35*3.6/1000000/'E Balans VL '!Z22*100)</f>
        <v>0.30087090563344532</v>
      </c>
      <c r="D35" s="237" t="s">
        <v>702</v>
      </c>
    </row>
    <row r="36" spans="1:5">
      <c r="A36" s="171" t="s">
        <v>33</v>
      </c>
      <c r="B36" s="37">
        <f>IF( ISERROR(IND_chemie_ele_kWh/1000),0,IND_chemie_ele_kWh/1000)</f>
        <v>19314.7378377075</v>
      </c>
      <c r="C36" s="39">
        <f>IF(ISERROR(B36*3.6/1000000/'E Balans VL '!Z24*100),0,B36*3.6/1000000/'E Balans VL '!Z24*100)</f>
        <v>0.17637407724274468</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10820.7037915852</v>
      </c>
      <c r="C5" s="17">
        <f>'Eigen informatie GS &amp; warmtenet'!B62</f>
        <v>0</v>
      </c>
      <c r="D5" s="30">
        <f>IF(ISERROR(SUM(LB_lb_gas_kWh,LB_rest_gas_kWh)/1000),0,SUM(LB_lb_gas_kWh,LB_rest_gas_kWh)/1000)*0.903</f>
        <v>407.51318879752029</v>
      </c>
      <c r="E5" s="17">
        <f>B17*'E Balans VL '!I25/3.6*1000000/100</f>
        <v>403.53714256002661</v>
      </c>
      <c r="F5" s="17">
        <f>B17*('E Balans VL '!L25/3.6*1000000+'E Balans VL '!N25/3.6*1000000)/100</f>
        <v>35106.544384435612</v>
      </c>
      <c r="G5" s="18"/>
      <c r="H5" s="17"/>
      <c r="I5" s="17"/>
      <c r="J5" s="17">
        <f>('E Balans VL '!D25+'E Balans VL '!E25)/3.6*1000000*landbouw!B17/100</f>
        <v>2840.4881661008535</v>
      </c>
      <c r="K5" s="17"/>
      <c r="L5" s="17">
        <f>L6*(-1)</f>
        <v>0</v>
      </c>
      <c r="M5" s="17"/>
      <c r="N5" s="17">
        <f>N6*(-1)</f>
        <v>26948.571428571431</v>
      </c>
      <c r="O5" s="17"/>
      <c r="P5" s="17"/>
      <c r="R5" s="32"/>
    </row>
    <row r="6" spans="1:18">
      <c r="A6" s="16" t="s">
        <v>479</v>
      </c>
      <c r="B6" s="17" t="s">
        <v>210</v>
      </c>
      <c r="C6" s="17">
        <f>'lokale energieproductie'!O45+'lokale energieproductie'!O38</f>
        <v>13474.285714285716</v>
      </c>
      <c r="D6" s="310">
        <f>('lokale energieproductie'!P38+'lokale energieproductie'!P45)*(-1)</f>
        <v>0</v>
      </c>
      <c r="E6" s="248"/>
      <c r="F6" s="310">
        <f>('lokale energieproductie'!S38+'lokale energieproductie'!S45)*(-1)</f>
        <v>0</v>
      </c>
      <c r="G6" s="249"/>
      <c r="H6" s="248"/>
      <c r="I6" s="248"/>
      <c r="J6" s="248"/>
      <c r="K6" s="248"/>
      <c r="L6" s="310">
        <f>('lokale energieproductie'!T38+'lokale energieproductie'!U38+'lokale energieproductie'!T45+'lokale energieproductie'!U45)*(-1)</f>
        <v>0</v>
      </c>
      <c r="M6" s="248"/>
      <c r="N6" s="310">
        <f>('lokale energieproductie'!V38+'lokale energieproductie'!R38+'lokale energieproductie'!Q38+'lokale energieproductie'!Q45+'lokale energieproductie'!R45+'lokale energieproductie'!V45)*(-1)</f>
        <v>-26948.571428571431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10820.7037915852</v>
      </c>
      <c r="C8" s="21">
        <f>C5+C6</f>
        <v>13474.285714285716</v>
      </c>
      <c r="D8" s="21">
        <f>MAX((D5+D6),0)</f>
        <v>407.51318879752029</v>
      </c>
      <c r="E8" s="21">
        <f>MAX((E5+E6),0)</f>
        <v>403.53714256002661</v>
      </c>
      <c r="F8" s="21">
        <f>MAX((F5+F6),0)</f>
        <v>35106.544384435612</v>
      </c>
      <c r="G8" s="21"/>
      <c r="H8" s="21"/>
      <c r="I8" s="21"/>
      <c r="J8" s="21">
        <f>MAX((J5+J6),0)</f>
        <v>2840.4881661008535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0.16673123275540089</v>
      </c>
      <c r="C10" s="31">
        <f ca="1">'EF ele_warmte'!B22</f>
        <v>5.8437801350048224E-2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1804.1492824520408</v>
      </c>
      <c r="C12" s="23">
        <f ca="1">C8*C10</f>
        <v>787.40763190522125</v>
      </c>
      <c r="D12" s="23">
        <f>D8*D10</f>
        <v>82.317664137099101</v>
      </c>
      <c r="E12" s="23">
        <f>E8*E10</f>
        <v>91.602931361126039</v>
      </c>
      <c r="F12" s="23">
        <f>F8*F10</f>
        <v>9373.4473506443082</v>
      </c>
      <c r="G12" s="23"/>
      <c r="H12" s="23"/>
      <c r="I12" s="23"/>
      <c r="J12" s="23">
        <f>J8*J10</f>
        <v>1005.5328107997021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1.4861954289490786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1584.2644805411883</v>
      </c>
      <c r="C26" s="247">
        <f>B26*'GWP N2O_CH4'!B5</f>
        <v>33269.554091364953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940.67250075632671</v>
      </c>
      <c r="C27" s="247">
        <f>B27*'GWP N2O_CH4'!B5</f>
        <v>19754.12251588286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20.337013176686877</v>
      </c>
      <c r="C28" s="247">
        <f>B28*'GWP N2O_CH4'!B4</f>
        <v>6304.4740847729317</v>
      </c>
      <c r="D28" s="50"/>
    </row>
    <row r="29" spans="1:4">
      <c r="A29" s="41" t="s">
        <v>276</v>
      </c>
      <c r="B29" s="247">
        <f>B34*'ha_N2O bodem landbouw'!B4</f>
        <v>59.300418293344286</v>
      </c>
      <c r="C29" s="247">
        <f>B29*'GWP N2O_CH4'!B4</f>
        <v>18383.129670936727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1.3514734679891987E-2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5.6186547182655736E-4</v>
      </c>
      <c r="C5" s="440" t="s">
        <v>210</v>
      </c>
      <c r="D5" s="425">
        <f>SUM(D6:D11)</f>
        <v>2.2708888943029876E-3</v>
      </c>
      <c r="E5" s="425">
        <f>SUM(E6:E11)</f>
        <v>1.2279187039999021E-3</v>
      </c>
      <c r="F5" s="438" t="s">
        <v>210</v>
      </c>
      <c r="G5" s="425">
        <f>SUM(G6:G11)</f>
        <v>0.64643493504137872</v>
      </c>
      <c r="H5" s="425">
        <f>SUM(H6:H11)</f>
        <v>0.14498320286353852</v>
      </c>
      <c r="I5" s="440" t="s">
        <v>210</v>
      </c>
      <c r="J5" s="440" t="s">
        <v>210</v>
      </c>
      <c r="K5" s="440" t="s">
        <v>210</v>
      </c>
      <c r="L5" s="440" t="s">
        <v>210</v>
      </c>
      <c r="M5" s="425">
        <f>SUM(M6:M11)</f>
        <v>4.6473872466715388E-2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4.4583839194327216E-4</v>
      </c>
      <c r="C6" s="426"/>
      <c r="D6" s="893">
        <f>vkm_GW_PW*SUMIFS(TableVerdeelsleutelVkm[CNG],TableVerdeelsleutelVkm[Voertuigtype],"Lichte voertuigen")*SUMIFS(TableECFTransport[EnergieConsumptieFactor (PJ per km)],TableECFTransport[Index],CONCATENATE($A6,"_CNG_CNG"))</f>
        <v>1.6102322152531875E-3</v>
      </c>
      <c r="E6" s="893">
        <f>vkm_GW_PW*SUMIFS(TableVerdeelsleutelVkm[LPG],TableVerdeelsleutelVkm[Voertuigtype],"Lichte voertuigen")*SUMIFS(TableECFTransport[EnergieConsumptieFactor (PJ per km)],TableECFTransport[Index],CONCATENATE($A6,"_LPG_LPG"))</f>
        <v>8.751198764575999E-4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0.27233191364048392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0.10306669465005963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2.2497578326818438E-2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0.23049840949219902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2.4265819293518886E-6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1.2977421493045415E-2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9.6123733861895448E-5</v>
      </c>
      <c r="C8" s="426"/>
      <c r="D8" s="428">
        <f>vkm_NGW_PW*SUMIFS(TableVerdeelsleutelVkm[CNG],TableVerdeelsleutelVkm[Voertuigtype],"Lichte voertuigen")*SUMIFS(TableECFTransport[EnergieConsumptieFactor (PJ per km)],TableECFTransport[Index],CONCATENATE($A8,"_CNG_CNG"))</f>
        <v>5.8847509144205508E-4</v>
      </c>
      <c r="E8" s="428">
        <f>vkm_NGW_PW*SUMIFS(TableVerdeelsleutelVkm[LPG],TableVerdeelsleutelVkm[Voertuigtype],"Lichte voertuigen")*SUMIFS(TableECFTransport[EnergieConsumptieFactor (PJ per km)],TableECFTransport[Index],CONCATENATE($A8,"_LPG_LPG"))</f>
        <v>3.0391550537651357E-4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8.8014005366385442E-2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3.7093277574387302E-2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7.5339389984745344E-3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2.8192611324373767E-2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4.3108731242441112E-7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1.5872975123032416E-3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1.9903346021389749E-5</v>
      </c>
      <c r="C10" s="426"/>
      <c r="D10" s="428">
        <f>vkm_SW_PW*SUMIFS(TableVerdeelsleutelVkm[CNG],TableVerdeelsleutelVkm[Voertuigtype],"Lichte voertuigen")*SUMIFS(TableECFTransport[EnergieConsumptieFactor (PJ per km)],TableECFTransport[Index],CONCATENATE($A10,"_CNG_CNG"))</f>
        <v>7.2181587607744979E-5</v>
      </c>
      <c r="E10" s="428">
        <f>vkm_SW_PW*SUMIFS(TableVerdeelsleutelVkm[LPG],TableVerdeelsleutelVkm[Voertuigtype],"Lichte voertuigen")*SUMIFS(TableECFTransport[EnergieConsumptieFactor (PJ per km)],TableECFTransport[Index],CONCATENATE($A10,"_LPG_LPG"))</f>
        <v>4.8883322165788709E-5</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1.3518238053479917E-2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4.820218226468804E-3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1.096183467806345E-3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1.3879757164456536E-2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1.5474338100547345E-7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7.814526682674188E-4</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156.0737421740437</v>
      </c>
      <c r="C14" s="21"/>
      <c r="D14" s="21">
        <f t="shared" ref="D14:M14" si="0">((D5)*10^9/3600)+D12</f>
        <v>630.80247063971876</v>
      </c>
      <c r="E14" s="21">
        <f t="shared" si="0"/>
        <v>341.08852888886167</v>
      </c>
      <c r="F14" s="21"/>
      <c r="G14" s="21">
        <f t="shared" si="0"/>
        <v>179565.25973371632</v>
      </c>
      <c r="H14" s="21">
        <f t="shared" si="0"/>
        <v>40273.111906538485</v>
      </c>
      <c r="I14" s="21"/>
      <c r="J14" s="21"/>
      <c r="K14" s="21"/>
      <c r="L14" s="21"/>
      <c r="M14" s="21">
        <f t="shared" si="0"/>
        <v>12909.409018532053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0.16673123275540089</v>
      </c>
      <c r="C16" s="56">
        <f ca="1">'EF ele_warmte'!B22</f>
        <v>5.8437801350048224E-2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26.022367433426908</v>
      </c>
      <c r="C18" s="23"/>
      <c r="D18" s="23">
        <f t="shared" ref="D18:M18" si="1">D14*D16</f>
        <v>127.42209906922319</v>
      </c>
      <c r="E18" s="23">
        <f t="shared" si="1"/>
        <v>77.427096057771607</v>
      </c>
      <c r="F18" s="23"/>
      <c r="G18" s="23">
        <f t="shared" si="1"/>
        <v>47943.924348902263</v>
      </c>
      <c r="H18" s="23">
        <f t="shared" si="1"/>
        <v>10028.004864728082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1.1921898034246941E-2</v>
      </c>
      <c r="H50" s="321">
        <f t="shared" si="2"/>
        <v>0</v>
      </c>
      <c r="I50" s="321">
        <f t="shared" si="2"/>
        <v>0</v>
      </c>
      <c r="J50" s="321">
        <f t="shared" si="2"/>
        <v>0</v>
      </c>
      <c r="K50" s="321">
        <f t="shared" si="2"/>
        <v>0</v>
      </c>
      <c r="L50" s="321">
        <f t="shared" si="2"/>
        <v>0</v>
      </c>
      <c r="M50" s="321">
        <f t="shared" si="2"/>
        <v>6.4695008956179849E-4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1.1921898034246941E-2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6.4695008956179849E-4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3311.6383428463723</v>
      </c>
      <c r="H54" s="21">
        <f t="shared" si="3"/>
        <v>0</v>
      </c>
      <c r="I54" s="21">
        <f t="shared" si="3"/>
        <v>0</v>
      </c>
      <c r="J54" s="21">
        <f t="shared" si="3"/>
        <v>0</v>
      </c>
      <c r="K54" s="21">
        <f t="shared" si="3"/>
        <v>0</v>
      </c>
      <c r="L54" s="21">
        <f t="shared" si="3"/>
        <v>0</v>
      </c>
      <c r="M54" s="21">
        <f t="shared" si="3"/>
        <v>179.70835821161069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0.16673123275540089</v>
      </c>
      <c r="C56" s="56">
        <f ca="1">'EF ele_warmte'!B22</f>
        <v>5.8437801350048224E-2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884.20743753998147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7"/>
  <sheetViews>
    <sheetView showGridLines="0" topLeftCell="A85" zoomScale="65" zoomScaleNormal="65" workbookViewId="0">
      <selection activeCell="M34" sqref="M34"/>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38607.003091792758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18838.715314904213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N35</f>
        <v>35136</v>
      </c>
      <c r="C8" s="551">
        <f>B54</f>
        <v>10164.705882352942</v>
      </c>
      <c r="D8" s="552"/>
      <c r="E8" s="552">
        <f>E54</f>
        <v>0</v>
      </c>
      <c r="F8" s="553"/>
      <c r="G8" s="554"/>
      <c r="H8" s="552">
        <f>I54</f>
        <v>0</v>
      </c>
      <c r="I8" s="552">
        <f>G54+F54</f>
        <v>0</v>
      </c>
      <c r="J8" s="552">
        <f>H54+D54+C54</f>
        <v>31171.76470588235</v>
      </c>
      <c r="K8" s="552"/>
      <c r="L8" s="552"/>
      <c r="M8" s="552"/>
      <c r="N8" s="555"/>
      <c r="O8" s="556">
        <f>C8*$C$12+D8*$D$12+E8*$E$12+F8*$F$12+G8*$G$12+H8*$H$12+I8*$I$12+J8*$J$12</f>
        <v>2053.2705882352943</v>
      </c>
      <c r="P8" s="1256"/>
      <c r="Q8" s="1257"/>
      <c r="S8" s="546"/>
      <c r="T8" s="1244"/>
      <c r="U8" s="1244"/>
    </row>
    <row r="9" spans="1:21" s="537" customFormat="1" ht="17.45" customHeight="1" thickBot="1">
      <c r="A9" s="557" t="s">
        <v>247</v>
      </c>
      <c r="B9" s="558">
        <f>N42+'Eigen informatie GS &amp; warmtenet'!B12</f>
        <v>3600</v>
      </c>
      <c r="C9" s="559">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10285.714285714286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96181.718406696978</v>
      </c>
      <c r="C10" s="566">
        <f t="shared" ref="C10:L10" si="0">SUM(C8:C9)</f>
        <v>10164.705882352942</v>
      </c>
      <c r="D10" s="566">
        <f t="shared" si="0"/>
        <v>0</v>
      </c>
      <c r="E10" s="566">
        <f t="shared" si="0"/>
        <v>0</v>
      </c>
      <c r="F10" s="566">
        <f t="shared" si="0"/>
        <v>0</v>
      </c>
      <c r="G10" s="566">
        <f t="shared" si="0"/>
        <v>0</v>
      </c>
      <c r="H10" s="566">
        <f t="shared" si="0"/>
        <v>0</v>
      </c>
      <c r="I10" s="566">
        <f t="shared" si="0"/>
        <v>0</v>
      </c>
      <c r="J10" s="566">
        <f t="shared" si="0"/>
        <v>41457.478991596639</v>
      </c>
      <c r="K10" s="566">
        <f t="shared" si="0"/>
        <v>0</v>
      </c>
      <c r="L10" s="566">
        <f t="shared" si="0"/>
        <v>0</v>
      </c>
      <c r="M10" s="969"/>
      <c r="N10" s="969"/>
      <c r="O10" s="567">
        <f>SUM(O4:O9)</f>
        <v>2053.2705882352943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O35</f>
        <v>50194.28571428571</v>
      </c>
      <c r="C17" s="582">
        <f>B55</f>
        <v>14521.008403361346</v>
      </c>
      <c r="D17" s="583"/>
      <c r="E17" s="583">
        <f>E55</f>
        <v>0</v>
      </c>
      <c r="F17" s="584"/>
      <c r="G17" s="585"/>
      <c r="H17" s="582">
        <f>I55</f>
        <v>0</v>
      </c>
      <c r="I17" s="583">
        <f>G55+F55</f>
        <v>0</v>
      </c>
      <c r="J17" s="583">
        <f>H55+D55+C55</f>
        <v>44531.092436974781</v>
      </c>
      <c r="K17" s="583"/>
      <c r="L17" s="583"/>
      <c r="M17" s="583"/>
      <c r="N17" s="970"/>
      <c r="O17" s="586">
        <f>C17*$C$22+E17*$E$22+H17*$H$22+I17*$I$22+J17*$J$22+D17*$D$22+F17*$F$22+G17*$G$22+K17*$K$22+L17*$L$22</f>
        <v>2933.2436974789921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50194.28571428571</v>
      </c>
      <c r="C20" s="565">
        <f>SUM(C17:C19)</f>
        <v>14521.008403361346</v>
      </c>
      <c r="D20" s="565">
        <f t="shared" ref="D20:L20" si="1">SUM(D17:D19)</f>
        <v>0</v>
      </c>
      <c r="E20" s="565">
        <f t="shared" si="1"/>
        <v>0</v>
      </c>
      <c r="F20" s="565">
        <f t="shared" si="1"/>
        <v>0</v>
      </c>
      <c r="G20" s="565">
        <f t="shared" si="1"/>
        <v>0</v>
      </c>
      <c r="H20" s="565">
        <f t="shared" si="1"/>
        <v>0</v>
      </c>
      <c r="I20" s="565">
        <f t="shared" si="1"/>
        <v>0</v>
      </c>
      <c r="J20" s="565">
        <f t="shared" si="1"/>
        <v>44531.092436974781</v>
      </c>
      <c r="K20" s="565">
        <f t="shared" si="1"/>
        <v>0</v>
      </c>
      <c r="L20" s="565">
        <f t="shared" si="1"/>
        <v>0</v>
      </c>
      <c r="M20" s="565"/>
      <c r="N20" s="565"/>
      <c r="O20" s="591">
        <f>SUM(O17:O19)</f>
        <v>2933.2436974789921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33011</v>
      </c>
      <c r="C28" s="794">
        <v>8900</v>
      </c>
      <c r="D28" s="643" t="s">
        <v>865</v>
      </c>
      <c r="E28" s="642" t="s">
        <v>866</v>
      </c>
      <c r="F28" s="642" t="s">
        <v>867</v>
      </c>
      <c r="G28" s="642" t="s">
        <v>868</v>
      </c>
      <c r="H28" s="642" t="s">
        <v>869</v>
      </c>
      <c r="I28" s="642" t="s">
        <v>866</v>
      </c>
      <c r="J28" s="793">
        <v>40199</v>
      </c>
      <c r="K28" s="793">
        <v>39360</v>
      </c>
      <c r="L28" s="642" t="s">
        <v>870</v>
      </c>
      <c r="M28" s="642">
        <v>2085</v>
      </c>
      <c r="N28" s="642">
        <v>9382.5</v>
      </c>
      <c r="O28" s="642">
        <v>13403.571428571429</v>
      </c>
      <c r="P28" s="642">
        <v>0</v>
      </c>
      <c r="Q28" s="642">
        <v>26807.142857142859</v>
      </c>
      <c r="R28" s="642">
        <v>0</v>
      </c>
      <c r="S28" s="642">
        <v>0</v>
      </c>
      <c r="T28" s="642">
        <v>0</v>
      </c>
      <c r="U28" s="642">
        <v>0</v>
      </c>
      <c r="V28" s="642">
        <v>0</v>
      </c>
      <c r="W28" s="642">
        <v>0</v>
      </c>
      <c r="X28" s="642">
        <v>10</v>
      </c>
      <c r="Y28" s="642" t="s">
        <v>111</v>
      </c>
      <c r="Z28" s="644" t="s">
        <v>111</v>
      </c>
    </row>
    <row r="29" spans="1:26" s="596" customFormat="1" ht="51">
      <c r="A29" s="595"/>
      <c r="B29" s="794">
        <v>33011</v>
      </c>
      <c r="C29" s="794">
        <v>8900</v>
      </c>
      <c r="D29" s="643" t="s">
        <v>871</v>
      </c>
      <c r="E29" s="642" t="s">
        <v>872</v>
      </c>
      <c r="F29" s="642" t="s">
        <v>873</v>
      </c>
      <c r="G29" s="642" t="s">
        <v>868</v>
      </c>
      <c r="H29" s="642" t="s">
        <v>869</v>
      </c>
      <c r="I29" s="642" t="s">
        <v>872</v>
      </c>
      <c r="J29" s="793">
        <v>41484</v>
      </c>
      <c r="K29" s="793">
        <v>41484</v>
      </c>
      <c r="L29" s="642" t="s">
        <v>870</v>
      </c>
      <c r="M29" s="642">
        <v>280</v>
      </c>
      <c r="N29" s="642">
        <v>1260.0000000000002</v>
      </c>
      <c r="O29" s="642">
        <v>1800.0000000000005</v>
      </c>
      <c r="P29" s="642">
        <v>3600.0000000000009</v>
      </c>
      <c r="Q29" s="642">
        <v>0</v>
      </c>
      <c r="R29" s="642">
        <v>0</v>
      </c>
      <c r="S29" s="642">
        <v>0</v>
      </c>
      <c r="T29" s="642">
        <v>0</v>
      </c>
      <c r="U29" s="642">
        <v>0</v>
      </c>
      <c r="V29" s="642">
        <v>0</v>
      </c>
      <c r="W29" s="642">
        <v>0</v>
      </c>
      <c r="X29" s="642">
        <v>1500</v>
      </c>
      <c r="Y29" s="642" t="s">
        <v>50</v>
      </c>
      <c r="Z29" s="644" t="s">
        <v>155</v>
      </c>
    </row>
    <row r="30" spans="1:26" s="596" customFormat="1" ht="63.75">
      <c r="A30" s="595"/>
      <c r="B30" s="794">
        <v>33011</v>
      </c>
      <c r="C30" s="794">
        <v>8900</v>
      </c>
      <c r="D30" s="643" t="s">
        <v>874</v>
      </c>
      <c r="E30" s="642" t="s">
        <v>875</v>
      </c>
      <c r="F30" s="642" t="s">
        <v>876</v>
      </c>
      <c r="G30" s="642" t="s">
        <v>868</v>
      </c>
      <c r="H30" s="642" t="s">
        <v>869</v>
      </c>
      <c r="I30" s="642" t="s">
        <v>877</v>
      </c>
      <c r="J30" s="793">
        <v>41487</v>
      </c>
      <c r="K30" s="793">
        <v>41487</v>
      </c>
      <c r="L30" s="642" t="s">
        <v>870</v>
      </c>
      <c r="M30" s="642">
        <v>3192</v>
      </c>
      <c r="N30" s="642">
        <v>14364</v>
      </c>
      <c r="O30" s="642">
        <v>20520</v>
      </c>
      <c r="P30" s="642">
        <v>0</v>
      </c>
      <c r="Q30" s="642">
        <v>41040</v>
      </c>
      <c r="R30" s="642">
        <v>0</v>
      </c>
      <c r="S30" s="642">
        <v>0</v>
      </c>
      <c r="T30" s="642">
        <v>0</v>
      </c>
      <c r="U30" s="642">
        <v>0</v>
      </c>
      <c r="V30" s="642">
        <v>0</v>
      </c>
      <c r="W30" s="642">
        <v>0</v>
      </c>
      <c r="X30" s="642">
        <v>1600</v>
      </c>
      <c r="Y30" s="642" t="s">
        <v>49</v>
      </c>
      <c r="Z30" s="644" t="s">
        <v>155</v>
      </c>
    </row>
    <row r="31" spans="1:26" s="596" customFormat="1" ht="38.25">
      <c r="A31" s="595"/>
      <c r="B31" s="794">
        <v>33011</v>
      </c>
      <c r="C31" s="794">
        <v>8900</v>
      </c>
      <c r="D31" s="643" t="s">
        <v>878</v>
      </c>
      <c r="E31" s="642"/>
      <c r="F31" s="642" t="s">
        <v>879</v>
      </c>
      <c r="G31" s="642" t="s">
        <v>880</v>
      </c>
      <c r="H31" s="642" t="s">
        <v>869</v>
      </c>
      <c r="I31" s="642" t="s">
        <v>881</v>
      </c>
      <c r="J31" s="793">
        <v>42516</v>
      </c>
      <c r="K31" s="793">
        <v>42513</v>
      </c>
      <c r="L31" s="642" t="s">
        <v>882</v>
      </c>
      <c r="M31" s="642">
        <v>11</v>
      </c>
      <c r="N31" s="642">
        <v>49.5</v>
      </c>
      <c r="O31" s="642">
        <v>70.714285714285722</v>
      </c>
      <c r="P31" s="642">
        <v>0</v>
      </c>
      <c r="Q31" s="642">
        <v>141.42857142857144</v>
      </c>
      <c r="R31" s="642">
        <v>0</v>
      </c>
      <c r="S31" s="642">
        <v>0</v>
      </c>
      <c r="T31" s="642">
        <v>0</v>
      </c>
      <c r="U31" s="642">
        <v>0</v>
      </c>
      <c r="V31" s="642">
        <v>0</v>
      </c>
      <c r="W31" s="642">
        <v>0</v>
      </c>
      <c r="X31" s="642">
        <v>10</v>
      </c>
      <c r="Y31" s="642" t="s">
        <v>111</v>
      </c>
      <c r="Z31" s="644" t="s">
        <v>111</v>
      </c>
    </row>
    <row r="32" spans="1:26" s="596" customFormat="1" ht="63.75">
      <c r="A32" s="595"/>
      <c r="B32" s="794">
        <v>33011</v>
      </c>
      <c r="C32" s="794">
        <v>8900</v>
      </c>
      <c r="D32" s="643" t="s">
        <v>883</v>
      </c>
      <c r="E32" s="642"/>
      <c r="F32" s="642" t="s">
        <v>884</v>
      </c>
      <c r="G32" s="642" t="s">
        <v>885</v>
      </c>
      <c r="H32" s="642" t="s">
        <v>869</v>
      </c>
      <c r="I32" s="642" t="s">
        <v>886</v>
      </c>
      <c r="J32" s="793">
        <v>37824</v>
      </c>
      <c r="K32" s="793">
        <v>42417</v>
      </c>
      <c r="L32" s="642" t="s">
        <v>882</v>
      </c>
      <c r="M32" s="642">
        <v>600</v>
      </c>
      <c r="N32" s="642">
        <v>2700</v>
      </c>
      <c r="O32" s="642">
        <v>3857.1428571428573</v>
      </c>
      <c r="P32" s="642">
        <v>0</v>
      </c>
      <c r="Q32" s="642">
        <v>7714.2857142857147</v>
      </c>
      <c r="R32" s="642">
        <v>0</v>
      </c>
      <c r="S32" s="642">
        <v>0</v>
      </c>
      <c r="T32" s="642">
        <v>0</v>
      </c>
      <c r="U32" s="642">
        <v>0</v>
      </c>
      <c r="V32" s="642">
        <v>0</v>
      </c>
      <c r="W32" s="642">
        <v>0</v>
      </c>
      <c r="X32" s="642">
        <v>1600</v>
      </c>
      <c r="Y32" s="642" t="s">
        <v>49</v>
      </c>
      <c r="Z32" s="644" t="s">
        <v>155</v>
      </c>
    </row>
    <row r="33" spans="1:27" s="596" customFormat="1" ht="25.5">
      <c r="A33" s="595"/>
      <c r="B33" s="794">
        <v>33011</v>
      </c>
      <c r="C33" s="794">
        <v>8900</v>
      </c>
      <c r="D33" s="643" t="s">
        <v>887</v>
      </c>
      <c r="E33" s="642" t="s">
        <v>888</v>
      </c>
      <c r="F33" s="642" t="s">
        <v>889</v>
      </c>
      <c r="G33" s="642" t="s">
        <v>885</v>
      </c>
      <c r="H33" s="642" t="s">
        <v>869</v>
      </c>
      <c r="I33" s="642" t="s">
        <v>890</v>
      </c>
      <c r="J33" s="793">
        <v>39052</v>
      </c>
      <c r="K33" s="793">
        <v>43054</v>
      </c>
      <c r="L33" s="642" t="s">
        <v>891</v>
      </c>
      <c r="M33" s="642">
        <v>1500</v>
      </c>
      <c r="N33" s="642">
        <v>6750</v>
      </c>
      <c r="O33" s="642">
        <v>9642.8571428571431</v>
      </c>
      <c r="P33" s="642">
        <v>19285.714285714286</v>
      </c>
      <c r="Q33" s="642">
        <v>0</v>
      </c>
      <c r="R33" s="642">
        <v>0</v>
      </c>
      <c r="S33" s="642">
        <v>0</v>
      </c>
      <c r="T33" s="642">
        <v>0</v>
      </c>
      <c r="U33" s="642">
        <v>0</v>
      </c>
      <c r="V33" s="642">
        <v>0</v>
      </c>
      <c r="W33" s="642">
        <v>0</v>
      </c>
      <c r="X33" s="642">
        <v>500</v>
      </c>
      <c r="Y33" s="642" t="s">
        <v>40</v>
      </c>
      <c r="Z33" s="644" t="s">
        <v>385</v>
      </c>
    </row>
    <row r="34" spans="1:27" s="596" customFormat="1" ht="51">
      <c r="A34" s="595"/>
      <c r="B34" s="794">
        <v>33011</v>
      </c>
      <c r="C34" s="794">
        <v>8900</v>
      </c>
      <c r="D34" s="643" t="s">
        <v>892</v>
      </c>
      <c r="E34" s="642" t="s">
        <v>888</v>
      </c>
      <c r="F34" s="642" t="s">
        <v>893</v>
      </c>
      <c r="G34" s="642" t="s">
        <v>885</v>
      </c>
      <c r="H34" s="642" t="s">
        <v>869</v>
      </c>
      <c r="I34" s="642" t="s">
        <v>894</v>
      </c>
      <c r="J34" s="793">
        <v>43361</v>
      </c>
      <c r="K34" s="793">
        <v>43361</v>
      </c>
      <c r="L34" s="642" t="s">
        <v>891</v>
      </c>
      <c r="M34" s="642">
        <v>140</v>
      </c>
      <c r="N34" s="642">
        <v>630.00000000000011</v>
      </c>
      <c r="O34" s="642">
        <v>900.00000000000023</v>
      </c>
      <c r="P34" s="642">
        <v>1800.0000000000005</v>
      </c>
      <c r="Q34" s="642">
        <v>0</v>
      </c>
      <c r="R34" s="642">
        <v>0</v>
      </c>
      <c r="S34" s="642">
        <v>0</v>
      </c>
      <c r="T34" s="642">
        <v>0</v>
      </c>
      <c r="U34" s="642">
        <v>0</v>
      </c>
      <c r="V34" s="642">
        <v>0</v>
      </c>
      <c r="W34" s="642">
        <v>0</v>
      </c>
      <c r="X34" s="642">
        <v>1500</v>
      </c>
      <c r="Y34" s="642" t="s">
        <v>50</v>
      </c>
      <c r="Z34" s="644" t="s">
        <v>155</v>
      </c>
    </row>
    <row r="35" spans="1:27" s="576" customFormat="1">
      <c r="A35" s="598" t="s">
        <v>279</v>
      </c>
      <c r="B35" s="599"/>
      <c r="C35" s="599"/>
      <c r="D35" s="599"/>
      <c r="E35" s="599"/>
      <c r="F35" s="599"/>
      <c r="G35" s="599"/>
      <c r="H35" s="599"/>
      <c r="I35" s="599"/>
      <c r="J35" s="599"/>
      <c r="K35" s="599"/>
      <c r="L35" s="600"/>
      <c r="M35" s="600">
        <f>SUM(M28:M34)</f>
        <v>7808</v>
      </c>
      <c r="N35" s="600">
        <f>SUM(N28:N34)</f>
        <v>35136</v>
      </c>
      <c r="O35" s="600">
        <f>SUM(O28:O34)</f>
        <v>50194.28571428571</v>
      </c>
      <c r="P35" s="600">
        <f>SUM(P28:P34)</f>
        <v>24685.714285714286</v>
      </c>
      <c r="Q35" s="600">
        <f>SUM(Q28:Q34)</f>
        <v>75702.85714285713</v>
      </c>
      <c r="R35" s="600">
        <f>SUM(R28:R34)</f>
        <v>0</v>
      </c>
      <c r="S35" s="600">
        <f>SUM(S28:S34)</f>
        <v>0</v>
      </c>
      <c r="T35" s="600">
        <f>SUM(T28:T34)</f>
        <v>0</v>
      </c>
      <c r="U35" s="600">
        <f>SUM(U28:U34)</f>
        <v>0</v>
      </c>
      <c r="V35" s="600">
        <f>SUM(V28:V34)</f>
        <v>0</v>
      </c>
      <c r="W35" s="600">
        <f>SUM(W28:W34)</f>
        <v>0</v>
      </c>
      <c r="X35" s="601"/>
      <c r="Y35" s="601"/>
      <c r="Z35" s="602"/>
    </row>
    <row r="36" spans="1:27" s="576" customFormat="1">
      <c r="A36" s="598" t="s">
        <v>286</v>
      </c>
      <c r="B36" s="599"/>
      <c r="C36" s="599"/>
      <c r="D36" s="599"/>
      <c r="E36" s="599"/>
      <c r="F36" s="599"/>
      <c r="G36" s="599"/>
      <c r="H36" s="599"/>
      <c r="I36" s="599"/>
      <c r="J36" s="599"/>
      <c r="K36" s="599"/>
      <c r="L36" s="600"/>
      <c r="M36" s="600">
        <f>SUMIF($Z$28:$Z$34,"industrie",M28:M34)</f>
        <v>1500</v>
      </c>
      <c r="N36" s="600">
        <f>SUMIF($Z$28:$Z$34,"industrie",N28:N34)</f>
        <v>6750</v>
      </c>
      <c r="O36" s="600">
        <f>SUMIF($Z$28:$Z$34,"industrie",O28:O34)</f>
        <v>9642.8571428571431</v>
      </c>
      <c r="P36" s="600">
        <f>SUMIF($Z$28:$Z$34,"industrie",P28:P34)</f>
        <v>19285.714285714286</v>
      </c>
      <c r="Q36" s="600">
        <f>SUMIF($Z$28:$Z$34,"industrie",Q28:Q34)</f>
        <v>0</v>
      </c>
      <c r="R36" s="600">
        <f>SUMIF($Z$28:$Z$34,"industrie",R28:R34)</f>
        <v>0</v>
      </c>
      <c r="S36" s="600">
        <f>SUMIF($Z$28:$Z$34,"industrie",S28:S34)</f>
        <v>0</v>
      </c>
      <c r="T36" s="600">
        <f>SUMIF($Z$28:$Z$34,"industrie",T28:T34)</f>
        <v>0</v>
      </c>
      <c r="U36" s="600">
        <f>SUMIF($Z$28:$Z$34,"industrie",U28:U34)</f>
        <v>0</v>
      </c>
      <c r="V36" s="600">
        <f>SUMIF($Z$28:$Z$34,"industrie",V28:V34)</f>
        <v>0</v>
      </c>
      <c r="W36" s="600">
        <f>SUMIF($Z$28:$Z$34,"industrie",W28:W34)</f>
        <v>0</v>
      </c>
      <c r="X36" s="601"/>
      <c r="Y36" s="601"/>
      <c r="Z36" s="602"/>
    </row>
    <row r="37" spans="1:27" s="576" customFormat="1">
      <c r="A37" s="598" t="s">
        <v>287</v>
      </c>
      <c r="B37" s="599"/>
      <c r="C37" s="599"/>
      <c r="D37" s="599"/>
      <c r="E37" s="599"/>
      <c r="F37" s="599"/>
      <c r="G37" s="599"/>
      <c r="H37" s="599"/>
      <c r="I37" s="599"/>
      <c r="J37" s="599"/>
      <c r="K37" s="599"/>
      <c r="L37" s="600"/>
      <c r="M37" s="600">
        <f ca="1">SUMIF($Z$28:AC34,"tertiair",M28:M34)</f>
        <v>4212</v>
      </c>
      <c r="N37" s="600">
        <f ca="1">SUMIF($Z$28:AD34,"tertiair",N28:N34)</f>
        <v>18954</v>
      </c>
      <c r="O37" s="600">
        <f ca="1">SUMIF($Z$28:AE34,"tertiair",O28:O34)</f>
        <v>27077.142857142859</v>
      </c>
      <c r="P37" s="600">
        <f ca="1">SUMIF($Z$28:AF34,"tertiair",P28:P34)</f>
        <v>5400.0000000000018</v>
      </c>
      <c r="Q37" s="600">
        <f ca="1">SUMIF($Z$28:AG34,"tertiair",Q28:Q34)</f>
        <v>48754.285714285717</v>
      </c>
      <c r="R37" s="600">
        <f ca="1">SUMIF($Z$28:AH34,"tertiair",R28:R34)</f>
        <v>0</v>
      </c>
      <c r="S37" s="600">
        <f ca="1">SUMIF($Z$28:AI34,"tertiair",S28:S34)</f>
        <v>0</v>
      </c>
      <c r="T37" s="600">
        <f ca="1">SUMIF($Z$28:AJ34,"tertiair",T28:T34)</f>
        <v>0</v>
      </c>
      <c r="U37" s="600">
        <f ca="1">SUMIF($Z$28:AK34,"tertiair",U28:U34)</f>
        <v>0</v>
      </c>
      <c r="V37" s="600">
        <f ca="1">SUMIF($Z$28:AL34,"tertiair",V28:V34)</f>
        <v>0</v>
      </c>
      <c r="W37" s="600">
        <f ca="1">SUMIF($Z$28:AM34,"tertiair",W28:W34)</f>
        <v>0</v>
      </c>
      <c r="X37" s="601"/>
      <c r="Y37" s="601"/>
      <c r="Z37" s="602"/>
    </row>
    <row r="38" spans="1:27" s="576" customFormat="1" ht="15.75" thickBot="1">
      <c r="A38" s="603" t="s">
        <v>288</v>
      </c>
      <c r="B38" s="604"/>
      <c r="C38" s="604"/>
      <c r="D38" s="604"/>
      <c r="E38" s="604"/>
      <c r="F38" s="604"/>
      <c r="G38" s="604"/>
      <c r="H38" s="604"/>
      <c r="I38" s="604"/>
      <c r="J38" s="604"/>
      <c r="K38" s="604"/>
      <c r="L38" s="605"/>
      <c r="M38" s="605">
        <f>SUMIF($Z$28:$Z$34,"landbouw",M28:M34)</f>
        <v>2096</v>
      </c>
      <c r="N38" s="605">
        <f>SUMIF($Z$28:$Z$34,"landbouw",N28:N34)</f>
        <v>9432</v>
      </c>
      <c r="O38" s="605">
        <f>SUMIF($Z$28:$Z$34,"landbouw",O28:O34)</f>
        <v>13474.285714285716</v>
      </c>
      <c r="P38" s="605">
        <f>SUMIF($Z$28:$Z$34,"landbouw",P28:P34)</f>
        <v>0</v>
      </c>
      <c r="Q38" s="605">
        <f>SUMIF($Z$28:$Z$34,"landbouw",Q28:Q34)</f>
        <v>26948.571428571431</v>
      </c>
      <c r="R38" s="605">
        <f>SUMIF($Z$28:$Z$34,"landbouw",R28:R34)</f>
        <v>0</v>
      </c>
      <c r="S38" s="605">
        <f>SUMIF($Z$28:$Z$34,"landbouw",S28:S34)</f>
        <v>0</v>
      </c>
      <c r="T38" s="605">
        <f>SUMIF($Z$28:$Z$34,"landbouw",T28:T34)</f>
        <v>0</v>
      </c>
      <c r="U38" s="605">
        <f>SUMIF($Z$28:$Z$34,"landbouw",U28:U34)</f>
        <v>0</v>
      </c>
      <c r="V38" s="605">
        <f>SUMIF($Z$28:$Z$34,"landbouw",V28:V34)</f>
        <v>0</v>
      </c>
      <c r="W38" s="605">
        <f>SUMIF($Z$28:$Z$34,"landbouw",W28:W34)</f>
        <v>0</v>
      </c>
      <c r="X38" s="606"/>
      <c r="Y38" s="606"/>
      <c r="Z38" s="607"/>
    </row>
    <row r="39" spans="1:27" s="537" customFormat="1" ht="15.75" thickBot="1">
      <c r="A39" s="608"/>
      <c r="B39" s="609"/>
      <c r="C39" s="609"/>
      <c r="D39" s="609"/>
      <c r="E39" s="609"/>
      <c r="F39" s="609"/>
      <c r="G39" s="609"/>
      <c r="H39" s="609"/>
      <c r="I39" s="609"/>
      <c r="J39" s="609"/>
      <c r="K39" s="609"/>
      <c r="L39" s="592"/>
      <c r="M39" s="592"/>
      <c r="N39" s="592"/>
      <c r="O39" s="593"/>
      <c r="P39" s="593"/>
    </row>
    <row r="40" spans="1:27" s="537" customFormat="1" ht="45">
      <c r="A40" s="610" t="s">
        <v>280</v>
      </c>
      <c r="B40" s="639" t="s">
        <v>89</v>
      </c>
      <c r="C40" s="639" t="s">
        <v>90</v>
      </c>
      <c r="D40" s="639" t="s">
        <v>91</v>
      </c>
      <c r="E40" s="639" t="s">
        <v>92</v>
      </c>
      <c r="F40" s="639" t="s">
        <v>93</v>
      </c>
      <c r="G40" s="639" t="s">
        <v>94</v>
      </c>
      <c r="H40" s="639" t="s">
        <v>95</v>
      </c>
      <c r="I40" s="639" t="s">
        <v>96</v>
      </c>
      <c r="J40" s="639" t="s">
        <v>97</v>
      </c>
      <c r="K40" s="639" t="s">
        <v>98</v>
      </c>
      <c r="L40" s="639" t="s">
        <v>99</v>
      </c>
      <c r="M40" s="640" t="s">
        <v>297</v>
      </c>
      <c r="N40" s="640" t="s">
        <v>100</v>
      </c>
      <c r="O40" s="640" t="s">
        <v>101</v>
      </c>
      <c r="P40" s="640" t="s">
        <v>525</v>
      </c>
      <c r="Q40" s="640" t="s">
        <v>102</v>
      </c>
      <c r="R40" s="640" t="s">
        <v>103</v>
      </c>
      <c r="S40" s="640" t="s">
        <v>104</v>
      </c>
      <c r="T40" s="640" t="s">
        <v>105</v>
      </c>
      <c r="U40" s="640" t="s">
        <v>106</v>
      </c>
      <c r="V40" s="640" t="s">
        <v>107</v>
      </c>
      <c r="W40" s="639" t="s">
        <v>108</v>
      </c>
      <c r="X40" s="639" t="s">
        <v>298</v>
      </c>
      <c r="Y40" s="639" t="s">
        <v>109</v>
      </c>
      <c r="Z40" s="641" t="s">
        <v>299</v>
      </c>
    </row>
    <row r="41" spans="1:27" s="611" customFormat="1" ht="63.75">
      <c r="A41" s="597"/>
      <c r="B41" s="794">
        <v>33011</v>
      </c>
      <c r="C41" s="794">
        <v>8900</v>
      </c>
      <c r="D41" s="645" t="s">
        <v>895</v>
      </c>
      <c r="E41" s="645" t="s">
        <v>896</v>
      </c>
      <c r="F41" s="645" t="s">
        <v>897</v>
      </c>
      <c r="G41" s="645" t="s">
        <v>898</v>
      </c>
      <c r="H41" s="645" t="s">
        <v>899</v>
      </c>
      <c r="I41" s="645" t="s">
        <v>896</v>
      </c>
      <c r="J41" s="793">
        <v>37824</v>
      </c>
      <c r="K41" s="793">
        <v>37967</v>
      </c>
      <c r="L41" s="645" t="s">
        <v>891</v>
      </c>
      <c r="M41" s="645">
        <v>800</v>
      </c>
      <c r="N41" s="645">
        <v>3600</v>
      </c>
      <c r="O41" s="645">
        <v>0</v>
      </c>
      <c r="P41" s="645">
        <v>0</v>
      </c>
      <c r="Q41" s="645">
        <v>10285.714285714286</v>
      </c>
      <c r="R41" s="645">
        <v>0</v>
      </c>
      <c r="S41" s="645">
        <v>0</v>
      </c>
      <c r="T41" s="645">
        <v>0</v>
      </c>
      <c r="U41" s="645">
        <v>0</v>
      </c>
      <c r="V41" s="645">
        <v>0</v>
      </c>
      <c r="W41" s="645">
        <v>0</v>
      </c>
      <c r="X41" s="645">
        <v>1600</v>
      </c>
      <c r="Y41" s="645" t="s">
        <v>49</v>
      </c>
      <c r="Z41" s="646" t="s">
        <v>155</v>
      </c>
    </row>
    <row r="42" spans="1:27" s="576" customFormat="1">
      <c r="A42" s="598" t="s">
        <v>279</v>
      </c>
      <c r="B42" s="599"/>
      <c r="C42" s="599"/>
      <c r="D42" s="599"/>
      <c r="E42" s="599"/>
      <c r="F42" s="599"/>
      <c r="G42" s="599"/>
      <c r="H42" s="599"/>
      <c r="I42" s="599"/>
      <c r="J42" s="599"/>
      <c r="K42" s="599"/>
      <c r="L42" s="600"/>
      <c r="M42" s="600">
        <f>SUM(M41:M41)</f>
        <v>800</v>
      </c>
      <c r="N42" s="600">
        <f>SUM(N41:N41)</f>
        <v>3600</v>
      </c>
      <c r="O42" s="600">
        <f>SUM(O41:O41)</f>
        <v>0</v>
      </c>
      <c r="P42" s="600">
        <f>SUM(P41:P41)</f>
        <v>0</v>
      </c>
      <c r="Q42" s="600">
        <f>SUM(Q41:Q41)</f>
        <v>10285.714285714286</v>
      </c>
      <c r="R42" s="600">
        <f>SUM(R41:R41)</f>
        <v>0</v>
      </c>
      <c r="S42" s="600">
        <f>SUM(S41:S41)</f>
        <v>0</v>
      </c>
      <c r="T42" s="600">
        <f>SUM(T41:T41)</f>
        <v>0</v>
      </c>
      <c r="U42" s="600">
        <f>SUM(U41:U41)</f>
        <v>0</v>
      </c>
      <c r="V42" s="600">
        <f>SUM(V41:V41)</f>
        <v>0</v>
      </c>
      <c r="W42" s="600">
        <f>SUM(W41:W41)</f>
        <v>0</v>
      </c>
      <c r="X42" s="601"/>
      <c r="Y42" s="601"/>
      <c r="Z42" s="602"/>
    </row>
    <row r="43" spans="1:27" s="576" customFormat="1">
      <c r="A43" s="598" t="s">
        <v>286</v>
      </c>
      <c r="B43" s="599"/>
      <c r="C43" s="599"/>
      <c r="D43" s="599"/>
      <c r="E43" s="599"/>
      <c r="F43" s="599"/>
      <c r="G43" s="599"/>
      <c r="H43" s="599"/>
      <c r="I43" s="599"/>
      <c r="J43" s="599"/>
      <c r="K43" s="599"/>
      <c r="L43" s="600"/>
      <c r="M43" s="600">
        <f>SUMIF($Z$41:$Z$41,"industrie",M41:M41)</f>
        <v>0</v>
      </c>
      <c r="N43" s="600">
        <f>SUMIF($Z$41:$Z$41,"industrie",N41:N41)</f>
        <v>0</v>
      </c>
      <c r="O43" s="600">
        <f>SUMIF($Z$41:$Z$41,"industrie",O41:O41)</f>
        <v>0</v>
      </c>
      <c r="P43" s="600">
        <f>SUMIF($Z$41:$Z$41,"industrie",P41:P41)</f>
        <v>0</v>
      </c>
      <c r="Q43" s="600">
        <f>SUMIF($Z$41:$Z$41,"industrie",Q41:Q41)</f>
        <v>0</v>
      </c>
      <c r="R43" s="600">
        <f>SUMIF($Z$41:$Z$41,"industrie",R41:R41)</f>
        <v>0</v>
      </c>
      <c r="S43" s="600">
        <f>SUMIF($Z$41:$Z$41,"industrie",S41:S41)</f>
        <v>0</v>
      </c>
      <c r="T43" s="600">
        <f>SUMIF($Z$41:$Z$41,"industrie",T41:T41)</f>
        <v>0</v>
      </c>
      <c r="U43" s="600">
        <f>SUMIF($Z$41:$Z$41,"industrie",U41:U41)</f>
        <v>0</v>
      </c>
      <c r="V43" s="600">
        <f>SUMIF($Z$41:$Z$41,"industrie",V41:V41)</f>
        <v>0</v>
      </c>
      <c r="W43" s="600">
        <f>SUMIF($Z$41:$Z$41,"industrie",W41:W41)</f>
        <v>0</v>
      </c>
      <c r="X43" s="601"/>
      <c r="Y43" s="601"/>
      <c r="Z43" s="602"/>
    </row>
    <row r="44" spans="1:27" s="576" customFormat="1">
      <c r="A44" s="598" t="s">
        <v>287</v>
      </c>
      <c r="B44" s="599"/>
      <c r="C44" s="599"/>
      <c r="D44" s="599"/>
      <c r="E44" s="599"/>
      <c r="F44" s="599"/>
      <c r="G44" s="599"/>
      <c r="H44" s="599"/>
      <c r="I44" s="599"/>
      <c r="J44" s="599"/>
      <c r="K44" s="599"/>
      <c r="L44" s="600"/>
      <c r="M44" s="600">
        <f>SUMIF($Z$41:$Z$42,"tertiair",M41:M42)</f>
        <v>800</v>
      </c>
      <c r="N44" s="600">
        <f>SUMIF($Z$41:$Z$42,"tertiair",N41:N42)</f>
        <v>3600</v>
      </c>
      <c r="O44" s="600">
        <f>SUMIF($Z$41:$Z$42,"tertiair",O41:O42)</f>
        <v>0</v>
      </c>
      <c r="P44" s="600">
        <f>SUMIF($Z$41:$Z$42,"tertiair",P41:P42)</f>
        <v>0</v>
      </c>
      <c r="Q44" s="600">
        <f>SUMIF($Z$41:$Z$42,"tertiair",Q41:Q42)</f>
        <v>10285.714285714286</v>
      </c>
      <c r="R44" s="600">
        <f>SUMIF($Z$41:$Z$42,"tertiair",R41:R42)</f>
        <v>0</v>
      </c>
      <c r="S44" s="600">
        <f>SUMIF($Z$41:$Z$42,"tertiair",S41:S42)</f>
        <v>0</v>
      </c>
      <c r="T44" s="600">
        <f>SUMIF($Z$41:$Z$42,"tertiair",T41:T42)</f>
        <v>0</v>
      </c>
      <c r="U44" s="600">
        <f>SUMIF($Z$41:$Z$42,"tertiair",U41:U42)</f>
        <v>0</v>
      </c>
      <c r="V44" s="600">
        <f>SUMIF($Z$41:$Z$42,"tertiair",V41:V42)</f>
        <v>0</v>
      </c>
      <c r="W44" s="600">
        <f>SUMIF($Z$41:$Z$42,"tertiair",W41:W42)</f>
        <v>0</v>
      </c>
      <c r="X44" s="601"/>
      <c r="Y44" s="601"/>
      <c r="Z44" s="602"/>
    </row>
    <row r="45" spans="1:27" s="576" customFormat="1" ht="15.75" thickBot="1">
      <c r="A45" s="603" t="s">
        <v>288</v>
      </c>
      <c r="B45" s="604"/>
      <c r="C45" s="604"/>
      <c r="D45" s="604"/>
      <c r="E45" s="604"/>
      <c r="F45" s="604"/>
      <c r="G45" s="604"/>
      <c r="H45" s="604"/>
      <c r="I45" s="604"/>
      <c r="J45" s="604"/>
      <c r="K45" s="604"/>
      <c r="L45" s="605"/>
      <c r="M45" s="605">
        <f>SUMIF($Z$41:$Z$43,"landbouw",M41:M43)</f>
        <v>0</v>
      </c>
      <c r="N45" s="605">
        <f>SUMIF($Z$41:$Z$43,"landbouw",N41:N43)</f>
        <v>0</v>
      </c>
      <c r="O45" s="605">
        <f>SUMIF($Z$41:$Z$43,"landbouw",O41:O43)</f>
        <v>0</v>
      </c>
      <c r="P45" s="605">
        <f>SUMIF($Z$41:$Z$43,"landbouw",P41:P43)</f>
        <v>0</v>
      </c>
      <c r="Q45" s="605">
        <f>SUMIF($Z$41:$Z$43,"landbouw",Q41:Q43)</f>
        <v>0</v>
      </c>
      <c r="R45" s="605">
        <f>SUMIF($Z$41:$Z$43,"landbouw",R41:R43)</f>
        <v>0</v>
      </c>
      <c r="S45" s="605">
        <f>SUMIF($Z$41:$Z$43,"landbouw",S41:S43)</f>
        <v>0</v>
      </c>
      <c r="T45" s="605">
        <f>SUMIF($Z$41:$Z$43,"landbouw",T41:T43)</f>
        <v>0</v>
      </c>
      <c r="U45" s="605">
        <f>SUMIF($Z$41:$Z$43,"landbouw",U41:U43)</f>
        <v>0</v>
      </c>
      <c r="V45" s="605">
        <f>SUMIF($Z$41:$Z$43,"landbouw",V41:V43)</f>
        <v>0</v>
      </c>
      <c r="W45" s="605">
        <f>SUMIF($Z$41:$Z$43,"landbouw",W41:W43)</f>
        <v>0</v>
      </c>
      <c r="X45" s="606"/>
      <c r="Y45" s="606"/>
      <c r="Z45" s="607"/>
    </row>
    <row r="46" spans="1:27" s="612" customFormat="1">
      <c r="A46" s="608"/>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row>
    <row r="47" spans="1:27" s="612" customFormat="1" ht="15.75" thickBot="1">
      <c r="A47" s="608"/>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row>
    <row r="48" spans="1:27">
      <c r="A48" s="613" t="s">
        <v>281</v>
      </c>
      <c r="B48" s="614"/>
      <c r="C48" s="614"/>
      <c r="D48" s="614"/>
      <c r="E48" s="614"/>
      <c r="F48" s="614"/>
      <c r="G48" s="614"/>
      <c r="H48" s="614"/>
      <c r="I48" s="615"/>
      <c r="J48" s="616"/>
      <c r="K48" s="616"/>
      <c r="L48" s="617"/>
      <c r="M48" s="617"/>
      <c r="N48" s="617"/>
      <c r="O48" s="617"/>
      <c r="P48" s="617"/>
    </row>
    <row r="49" spans="1:16">
      <c r="A49" s="619"/>
      <c r="B49" s="609"/>
      <c r="C49" s="609"/>
      <c r="D49" s="609"/>
      <c r="E49" s="609"/>
      <c r="F49" s="609"/>
      <c r="G49" s="609"/>
      <c r="H49" s="609"/>
      <c r="I49" s="620"/>
      <c r="J49" s="609"/>
      <c r="K49" s="609"/>
      <c r="L49" s="617"/>
      <c r="M49" s="617"/>
      <c r="N49" s="617"/>
      <c r="O49" s="617"/>
      <c r="P49" s="617"/>
    </row>
    <row r="50" spans="1:16">
      <c r="A50" s="621"/>
      <c r="B50" s="622" t="s">
        <v>282</v>
      </c>
      <c r="C50" s="622" t="s">
        <v>283</v>
      </c>
      <c r="D50" s="622"/>
      <c r="E50" s="622"/>
      <c r="F50" s="622"/>
      <c r="G50" s="622"/>
      <c r="H50" s="622"/>
      <c r="I50" s="623"/>
      <c r="J50" s="622"/>
      <c r="K50" s="622"/>
      <c r="L50" s="622"/>
      <c r="M50" s="622"/>
      <c r="N50" s="622"/>
      <c r="O50" s="622"/>
      <c r="P50" s="617"/>
    </row>
    <row r="51" spans="1:16">
      <c r="A51" s="619" t="s">
        <v>279</v>
      </c>
      <c r="B51" s="624">
        <f>IF(ISERROR(O35/(O35+N35)),0,O35/(O35+N35))</f>
        <v>0.58823529411764708</v>
      </c>
      <c r="C51" s="625">
        <f>IF(ISERROR(N35/(O35+N35)),0,N35/(N35+O35))</f>
        <v>0.41176470588235298</v>
      </c>
      <c r="D51" s="592"/>
      <c r="E51" s="592"/>
      <c r="F51" s="592"/>
      <c r="G51" s="592"/>
      <c r="H51" s="592"/>
      <c r="I51" s="626"/>
      <c r="J51" s="592"/>
      <c r="K51" s="592"/>
      <c r="L51" s="627"/>
      <c r="M51" s="627"/>
      <c r="N51" s="627"/>
      <c r="O51" s="627"/>
      <c r="P51" s="617"/>
    </row>
    <row r="52" spans="1:16">
      <c r="A52" s="619"/>
      <c r="B52" s="628"/>
      <c r="C52" s="628"/>
      <c r="D52" s="628"/>
      <c r="E52" s="628"/>
      <c r="F52" s="628"/>
      <c r="G52" s="628"/>
      <c r="H52" s="628"/>
      <c r="I52" s="629"/>
      <c r="J52" s="628"/>
      <c r="K52" s="628"/>
      <c r="L52" s="630"/>
      <c r="M52" s="630"/>
      <c r="N52" s="630"/>
      <c r="O52" s="630"/>
      <c r="P52" s="617"/>
    </row>
    <row r="53" spans="1:16" ht="30">
      <c r="A53" s="631"/>
      <c r="B53" s="632" t="s">
        <v>525</v>
      </c>
      <c r="C53" s="632" t="s">
        <v>102</v>
      </c>
      <c r="D53" s="632" t="s">
        <v>103</v>
      </c>
      <c r="E53" s="632" t="s">
        <v>104</v>
      </c>
      <c r="F53" s="632" t="s">
        <v>105</v>
      </c>
      <c r="G53" s="632" t="s">
        <v>106</v>
      </c>
      <c r="H53" s="632" t="s">
        <v>107</v>
      </c>
      <c r="I53" s="633" t="s">
        <v>108</v>
      </c>
      <c r="J53" s="622"/>
      <c r="K53" s="622"/>
      <c r="L53" s="630"/>
      <c r="M53" s="630"/>
      <c r="N53" s="630"/>
      <c r="O53" s="617"/>
      <c r="P53" s="617"/>
    </row>
    <row r="54" spans="1:16">
      <c r="A54" s="621" t="s">
        <v>284</v>
      </c>
      <c r="B54" s="634">
        <f t="shared" ref="B54:I54" si="2">$C$51*P35</f>
        <v>10164.705882352942</v>
      </c>
      <c r="C54" s="634">
        <f t="shared" si="2"/>
        <v>31171.76470588235</v>
      </c>
      <c r="D54" s="634">
        <f t="shared" si="2"/>
        <v>0</v>
      </c>
      <c r="E54" s="634">
        <f t="shared" si="2"/>
        <v>0</v>
      </c>
      <c r="F54" s="634">
        <f t="shared" si="2"/>
        <v>0</v>
      </c>
      <c r="G54" s="634">
        <f t="shared" si="2"/>
        <v>0</v>
      </c>
      <c r="H54" s="634">
        <f t="shared" si="2"/>
        <v>0</v>
      </c>
      <c r="I54" s="635">
        <f t="shared" si="2"/>
        <v>0</v>
      </c>
      <c r="J54" s="592"/>
      <c r="K54" s="592"/>
      <c r="L54" s="630"/>
      <c r="M54" s="630"/>
      <c r="N54" s="630"/>
      <c r="O54" s="617"/>
      <c r="P54" s="617"/>
    </row>
    <row r="55" spans="1:16" ht="15.75" thickBot="1">
      <c r="A55" s="636" t="s">
        <v>285</v>
      </c>
      <c r="B55" s="637">
        <f t="shared" ref="B55:I55" si="3">$B$51*P35</f>
        <v>14521.008403361346</v>
      </c>
      <c r="C55" s="637">
        <f t="shared" si="3"/>
        <v>44531.092436974781</v>
      </c>
      <c r="D55" s="637">
        <f t="shared" si="3"/>
        <v>0</v>
      </c>
      <c r="E55" s="637">
        <f t="shared" si="3"/>
        <v>0</v>
      </c>
      <c r="F55" s="637">
        <f t="shared" si="3"/>
        <v>0</v>
      </c>
      <c r="G55" s="637">
        <f t="shared" si="3"/>
        <v>0</v>
      </c>
      <c r="H55" s="637">
        <f t="shared" si="3"/>
        <v>0</v>
      </c>
      <c r="I55" s="638">
        <f t="shared" si="3"/>
        <v>0</v>
      </c>
      <c r="J55" s="592"/>
      <c r="K55" s="592"/>
      <c r="L55" s="630"/>
      <c r="M55" s="630"/>
      <c r="N55" s="630"/>
      <c r="O55" s="617"/>
      <c r="P55" s="617"/>
    </row>
    <row r="56" spans="1:16">
      <c r="J56" s="572"/>
      <c r="K56" s="572"/>
      <c r="L56" s="572"/>
      <c r="M56" s="572"/>
      <c r="N56" s="572"/>
    </row>
    <row r="57" spans="1:16">
      <c r="J57" s="572"/>
      <c r="K57" s="572"/>
      <c r="L57" s="572"/>
      <c r="M57" s="572"/>
      <c r="N57"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2020-06-20T15:21:54Z</dcterms:modified>
</cp:coreProperties>
</file>