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9" i="20"/>
  <c r="C20" i="16"/>
  <c r="C22" i="16" s="1"/>
  <c r="D43" i="14" s="1"/>
  <c r="C10" i="17"/>
  <c r="C12" i="17" s="1"/>
  <c r="D54" i="14" s="1"/>
  <c r="D56" i="14" s="1"/>
  <c r="C22" i="59"/>
  <c r="C17" i="19"/>
  <c r="C19" i="19" s="1"/>
  <c r="D39" i="14" s="1"/>
  <c r="C18" i="15"/>
  <c r="C20" i="15" s="1"/>
  <c r="D40"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C17" i="48" l="1"/>
  <c r="C24" i="48" s="1"/>
  <c r="D46" i="14"/>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<sst xmlns="http://schemas.openxmlformats.org/spreadsheetml/2006/main" count="2373" uniqueCount="870">
  <si>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</si>
  <si>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</si>
  <si>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</si>
  <si>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</si>
  <si>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</si>
  <si>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</si>
  <si>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</si>
  <si>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</si>
  <si>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</si>
  <si>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</si>
  <si>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</si>
  <si>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</si>
  <si>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</si>
  <si>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</si>
  <si>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</si>
  <si>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</si>
  <si>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</si>
  <si>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</si>
  <si>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</si>
  <si>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</si>
  <si>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</si>
  <si>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</si>
  <si>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</si>
  <si>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</si>
  <si>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</si>
  <si>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</si>
  <si>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</si>
  <si>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</si>
  <si>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</si>
  <si>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</si>
  <si>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</si>
  <si>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</si>
  <si>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</si>
  <si>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</si>
  <si>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</si>
  <si>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</si>
  <si>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</si>
  <si>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</si>
  <si>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</si>
  <si>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</si>
  <si>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</si>
  <si>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</si>
  <si>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</si>
  <si>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</si>
  <si>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</si>
  <si>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</si>
  <si>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</si>
  <si>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</si>
  <si>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</si>
  <si>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</si>
  <si>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</si>
  <si>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</si>
  <si>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</si>
  <si>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</si>
  <si>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</si>
  <si>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</si>
  <si>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</si>
  <si>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</si>
  <si>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</si>
  <si>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</si>
  <si>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</si>
  <si>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</si>
  <si>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</si>
  <si>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</si>
  <si>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</si>
  <si>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</si>
  <si>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</si>
  <si>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</si>
  <si>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</si>
  <si>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</si>
  <si>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</si>
  <si>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</si>
  <si>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</si>
  <si>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</si>
  <si>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</si>
  <si>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</si>
  <si>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</si>
  <si>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</si>
  <si>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</si>
  <si>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</si>
  <si>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</si>
  <si>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</si>
  <si>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</si>
  <si>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</si>
  <si>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</si>
  <si>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</si>
  <si>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</si>
  <si>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</si>
  <si>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</si>
  <si>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</si>
  <si>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</si>
  <si>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</si>
  <si>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</si>
  <si>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</si>
  <si>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</si>
  <si>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</si>
  <si>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</si>
  <si>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</si>
  <si>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</si>
  <si>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</si>
  <si>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</si>
  <si>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</si>
  <si>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</si>
  <si>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</si>
  <si>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</si>
  <si>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</si>
  <si>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</si>
  <si>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</si>
  <si>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</si>
  <si>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</si>
  <si>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</si>
  <si>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</si>
  <si>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</si>
  <si>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</si>
  <si>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</si>
  <si>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</si>
  <si>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</si>
  <si>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</si>
  <si>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</si>
  <si>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</si>
  <si>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</si>
  <si>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</si>
  <si>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</si>
  <si>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</si>
  <si>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</si>
  <si>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</si>
  <si>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</si>
  <si>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</si>
  <si>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</si>
  <si>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</si>
  <si>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</si>
  <si>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</si>
  <si>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</si>
  <si>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</si>
  <si>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</si>
  <si>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</si>
  <si>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</si>
  <si>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</si>
  <si>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</si>
  <si>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</si>
  <si>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</si>
  <si>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</si>
  <si>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</si>
  <si>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</si>
  <si>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</si>
  <si>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</si>
  <si>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</si>
  <si>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</si>
  <si>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</si>
  <si>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</si>
  <si>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</si>
  <si>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</si>
  <si>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</si>
  <si>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</si>
  <si>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</si>
  <si>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</si>
  <si>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</si>
  <si>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</si>
  <si>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</si>
  <si>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</si>
  <si>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</si>
  <si>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</si>
  <si>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</si>
  <si>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</si>
  <si>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</si>
  <si>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</si>
  <si>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</si>
  <si>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</si>
  <si>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</si>
  <si>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</si>
  <si>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</si>
  <si>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</si>
  <si>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</si>
  <si>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</si>
  <si>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</si>
  <si>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</si>
  <si>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</si>
  <si>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</si>
  <si>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</si>
  <si>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</si>
  <si>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</si>
  <si>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</si>
  <si>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</si>
  <si>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</si>
  <si>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</si>
  <si>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</si>
  <si>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</si>
  <si>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</si>
  <si>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</si>
  <si>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</si>
  <si>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</si>
  <si>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</si>
  <si>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</si>
  <si>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</si>
  <si>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</si>
  <si>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</si>
  <si>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</si>
  <si>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</si>
  <si>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</si>
  <si>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</si>
  <si>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</si>
  <si>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</si>
  <si>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</si>
  <si>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</si>
  <si>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</si>
  <si>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</si>
  <si>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</si>
  <si>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</si>
  <si>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</si>
  <si>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</si>
  <si>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</si>
  <si>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</si>
  <si>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</si>
  <si>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</si>
  <si>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</si>
  <si>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</si>
  <si>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</si>
  <si>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</si>
  <si>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</si>
  <si>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</si>
  <si>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</si>
  <si>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</si>
  <si>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</si>
  <si>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</si>
  <si>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</si>
  <si>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</si>
  <si>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</si>
  <si>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</si>
  <si>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</si>
  <si>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</si>
  <si>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</si>
  <si>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</si>
  <si>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</si>
  <si>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</si>
  <si>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</si>
  <si>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</si>
  <si>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</si>
  <si>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</si>
  <si>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</si>
  <si>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</si>
  <si>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</si>
  <si>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</si>
  <si>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</si>
  <si>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</si>
  <si>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</si>
  <si>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</si>
  <si>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</si>
  <si>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</si>
  <si>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</si>
  <si>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</si>
  <si>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</si>
  <si>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</si>
  <si>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</si>
  <si>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</si>
  <si>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</si>
  <si>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</si>
  <si>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</si>
  <si>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</si>
  <si>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</si>
  <si>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</si>
  <si>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</si>
  <si>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</si>
  <si>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</si>
  <si>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</si>
  <si>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</si>
  <si>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</si>
  <si>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</si>
  <si>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</si>
  <si>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</si>
  <si>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</si>
  <si>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</si>
  <si>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</si>
  <si>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</si>
  <si>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</si>
  <si>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</si>
  <si>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</si>
  <si>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</si>
  <si>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</si>
  <si>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</si>
  <si>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</si>
  <si>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</si>
  <si>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</si>
  <si>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</si>
  <si>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</si>
  <si>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</si>
  <si>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</si>
  <si>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</si>
  <si>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</si>
  <si>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</si>
  <si>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</si>
  <si>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</si>
  <si>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</si>
  <si>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</si>
  <si>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</si>
  <si>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</si>
  <si>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</si>
  <si>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</si>
  <si>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</si>
  <si>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</si>
  <si>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</si>
  <si>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</si>
  <si>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</si>
  <si>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</si>
  <si>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</si>
  <si>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</si>
  <si>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</si>
  <si>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</si>
  <si>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</si>
  <si>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</si>
  <si>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</si>
  <si>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</si>
  <si>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</si>
  <si>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</si>
  <si>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</si>
  <si>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</si>
  <si>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</si>
  <si>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</si>
  <si>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</si>
  <si>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</si>
  <si>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</si>
  <si>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</si>
  <si>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</si>
  <si>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</si>
  <si>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</si>
  <si>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</si>
  <si>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</si>
  <si>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</si>
  <si>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</si>
  <si>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</si>
  <si>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</si>
  <si>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</si>
  <si>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</si>
  <si>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</si>
  <si>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</si>
  <si>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</si>
  <si>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</si>
  <si>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</si>
  <si>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</si>
  <si>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</si>
  <si>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</si>
  <si>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</si>
  <si>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</si>
  <si>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</si>
  <si>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</si>
  <si>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</si>
  <si>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</si>
  <si>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</si>
  <si>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</si>
  <si>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</si>
  <si>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</si>
  <si>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</si>
  <si>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</si>
  <si>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</si>
  <si>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</si>
  <si>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</si>
  <si>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</si>
  <si>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</si>
  <si>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</si>
  <si>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</si>
  <si>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</si>
  <si>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</si>
  <si>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</si>
  <si>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</si>
  <si>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</si>
  <si>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</si>
  <si>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</si>
  <si>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</si>
  <si>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</si>
  <si>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</si>
  <si>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</si>
  <si>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</si>
  <si>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</si>
  <si>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</si>
  <si>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</si>
  <si>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</si>
  <si>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</si>
  <si>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</si>
  <si>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</si>
  <si>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</si>
  <si>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</si>
  <si>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</si>
  <si>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</si>
  <si>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</si>
  <si>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</si>
  <si>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</si>
  <si>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</si>
  <si>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</si>
  <si>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</si>
  <si>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</si>
  <si>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</si>
  <si>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</si>
  <si>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</si>
  <si>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</si>
  <si>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</si>
  <si>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</si>
  <si>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</si>
  <si>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</si>
  <si>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</si>
  <si>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</si>
  <si>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</si>
  <si>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</si>
  <si>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</si>
  <si>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</si>
  <si>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</si>
  <si>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</si>
  <si>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</si>
  <si>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</si>
  <si>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</si>
  <si>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</si>
  <si>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</si>
  <si>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</si>
  <si>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</si>
  <si>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</si>
  <si>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</si>
  <si>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</si>
  <si>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</si>
  <si>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</si>
  <si>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</si>
  <si>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</si>
  <si>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</si>
  <si>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</si>
  <si>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</si>
  <si>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</si>
  <si>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</si>
  <si>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</si>
  <si>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</si>
  <si>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</si>
  <si>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</si>
  <si>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</si>
  <si>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</si>
  <si>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</si>
  <si>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</si>
  <si>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</si>
  <si>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</si>
  <si>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</si>
  <si>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</si>
  <si>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</si>
  <si>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</si>
  <si>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</si>
  <si>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</si>
  <si>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</si>
  <si>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</si>
  <si>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</si>
  <si>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</si>
  <si>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</si>
  <si>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</si>
  <si>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</si>
  <si>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</si>
  <si>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</si>
  <si>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</si>
  <si>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</si>
  <si>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</si>
  <si>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</si>
  <si>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</si>
  <si>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</si>
  <si>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</si>
  <si>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</si>
  <si>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</si>
  <si>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</si>
  <si>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</si>
  <si>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</si>
  <si>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</si>
  <si>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</si>
  <si>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</si>
  <si>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</si>
  <si>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</si>
  <si>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</si>
  <si>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</si>
  <si>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</si>
  <si>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</si>
  <si>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</si>
  <si>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</si>
  <si>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</si>
  <si>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</si>
  <si>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</si>
  <si>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</si>
  <si>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</si>
  <si>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</si>
  <si>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</si>
  <si>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</si>
  <si>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</si>
  <si>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</si>
  <si>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</si>
  <si>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</si>
  <si>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</si>
  <si>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</si>
  <si>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</si>
  <si>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</si>
  <si>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</si>
  <si>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</si>
  <si>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</si>
  <si>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</si>
  <si>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</si>
  <si>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</si>
  <si>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</si>
  <si>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</si>
  <si>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</si>
  <si>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</si>
  <si>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</si>
  <si>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</si>
  <si>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</si>
  <si>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</si>
  <si>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</si>
  <si>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</si>
  <si>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</si>
  <si>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</si>
  <si>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</si>
  <si>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</si>
  <si>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</si>
  <si>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</si>
  <si>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</si>
  <si>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</si>
  <si>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</si>
  <si>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</si>
  <si>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</si>
  <si>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</si>
  <si>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</si>
  <si>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</si>
  <si>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</si>
  <si>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</si>
  <si>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</si>
  <si>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</si>
  <si>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</si>
  <si>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</si>
  <si>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</si>
  <si>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</si>
  <si>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</si>
  <si>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</si>
  <si>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</si>
  <si>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</si>
  <si>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</si>
  <si>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</si>
  <si>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</si>
  <si>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</si>
  <si>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</si>
  <si>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</si>
  <si>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</si>
  <si>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</si>
  <si>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</si>
  <si>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</si>
  <si>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</si>
  <si>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</si>
  <si>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</si>
  <si>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</si>
  <si>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</si>
  <si>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</si>
  <si>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</si>
  <si>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</si>
  <si>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</si>
  <si>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</si>
  <si>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</si>
  <si>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</si>
  <si>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</si>
  <si>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</si>
  <si>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</si>
  <si>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</si>
  <si>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</si>
  <si>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</si>
  <si>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</si>
  <si>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</si>
  <si>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</si>
  <si>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</si>
  <si>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</si>
  <si>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</si>
  <si>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</si>
  <si>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</si>
  <si>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</si>
  <si>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</si>
  <si>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</si>
  <si>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</si>
  <si>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</si>
  <si>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</si>
  <si>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</si>
  <si>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</si>
  <si>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</si>
  <si>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</si>
  <si>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</si>
  <si>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</si>
  <si>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</si>
  <si>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</si>
  <si>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</si>
  <si>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</si>
  <si>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</si>
  <si>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</si>
  <si>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</si>
  <si>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</si>
  <si>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</si>
  <si>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</si>
  <si>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</si>
  <si>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</si>
  <si>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</si>
  <si>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</si>
  <si>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</si>
  <si>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</si>
  <si>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</si>
  <si>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</si>
  <si>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</si>
  <si>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</si>
  <si>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</si>
  <si>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</si>
  <si>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</si>
  <si>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</si>
  <si>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</si>
  <si>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</si>
  <si>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</si>
  <si>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</si>
  <si>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</si>
  <si>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</si>
  <si>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</si>
  <si>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</si>
  <si>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</si>
  <si>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</si>
  <si>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</si>
  <si>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</si>
  <si>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</si>
  <si>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</si>
  <si>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</si>
  <si>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</si>
  <si>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</si>
  <si>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</si>
  <si>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</si>
  <si>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</si>
  <si>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</si>
  <si>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</si>
  <si>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</si>
  <si>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</si>
  <si>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</si>
  <si>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</si>
  <si>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</si>
  <si>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</si>
  <si>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</si>
  <si>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</si>
  <si>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</si>
  <si>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</si>
  <si>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</si>
  <si>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</si>
  <si>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</si>
  <si>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</si>
  <si>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</si>
  <si>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</si>
  <si>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</si>
  <si>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</si>
  <si>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</si>
  <si>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</si>
  <si>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</si>
  <si>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</si>
  <si>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</si>
  <si>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</si>
  <si>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</si>
  <si>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</si>
  <si>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</si>
  <si>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</si>
  <si>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</si>
  <si>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</si>
  <si>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</si>
  <si>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</si>
  <si>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</si>
  <si>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</si>
  <si>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</si>
  <si>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</si>
  <si>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</si>
  <si>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</si>
  <si>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</si>
  <si>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</si>
  <si>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</si>
  <si>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</si>
  <si>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</si>
  <si>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</si>
  <si>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</si>
  <si>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</si>
  <si>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</si>
  <si>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</si>
  <si>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</si>
  <si>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</si>
  <si>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</si>
  <si>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</si>
  <si>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</si>
  <si>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</si>
  <si>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</si>
  <si>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</si>
  <si>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</si>
  <si>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</si>
  <si>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</si>
  <si>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</si>
  <si>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</si>
  <si>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</si>
  <si>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</si>
  <si>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</si>
  <si>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</si>
  <si>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</si>
  <si>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</si>
  <si>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</si>
  <si>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</si>
  <si>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</si>
  <si>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</si>
  <si>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</si>
  <si>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</si>
  <si>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</si>
  <si>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</si>
  <si>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</si>
  <si>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</si>
  <si>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</si>
  <si>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</si>
  <si>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</si>
  <si>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</si>
  <si>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</si>
  <si>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</si>
  <si>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</si>
  <si>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</si>
  <si>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</si>
  <si>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</si>
  <si>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</si>
  <si>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</si>
  <si>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</si>
  <si>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</si>
  <si>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</si>
  <si>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</si>
  <si>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</si>
  <si>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</si>
  <si>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</si>
  <si>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</si>
  <si>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</si>
  <si>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</si>
  <si>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</si>
  <si>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</si>
  <si>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</si>
  <si>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</si>
  <si>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</si>
  <si>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</si>
  <si>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</si>
  <si>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</si>
  <si>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</si>
  <si>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</si>
  <si>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</si>
  <si>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</si>
  <si>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</si>
  <si>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</si>
  <si>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</si>
  <si>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</si>
  <si>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</si>
  <si>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</si>
  <si>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</si>
  <si>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</si>
  <si>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</si>
  <si>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</si>
  <si>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</si>
  <si>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</si>
  <si>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</si>
  <si>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</si>
  <si>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</si>
  <si>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</si>
  <si>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</si>
  <si>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</si>
  <si>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</si>
  <si>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</si>
  <si>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</si>
  <si>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</si>
  <si>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</si>
  <si>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</si>
  <si>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</si>
  <si>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</si>
  <si>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</si>
  <si>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</si>
  <si>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</si>
  <si>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</si>
  <si>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</si>
  <si>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</si>
  <si>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</si>
  <si>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</si>
  <si>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</si>
  <si>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</si>
  <si>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</si>
  <si>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</si>
  <si>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</si>
  <si>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</si>
  <si>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</si>
  <si>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</si>
  <si>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</si>
  <si>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</si>
  <si>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</si>
  <si>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</si>
  <si>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</si>
  <si>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</si>
  <si>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</si>
  <si>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</si>
  <si>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</si>
  <si>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</si>
  <si>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</si>
  <si>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</si>
  <si>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</si>
  <si>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</si>
  <si>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</si>
  <si>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</si>
  <si>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</si>
  <si>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</si>
  <si>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</si>
  <si>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</si>
  <si>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</si>
  <si>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</si>
  <si>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</si>
  <si>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</si>
  <si>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</si>
  <si>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</si>
  <si>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</si>
  <si>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</si>
  <si>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</si>
  <si>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</si>
  <si>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</si>
  <si>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</si>
  <si>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</si>
  <si>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</si>
  <si>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</si>
  <si>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</si>
  <si>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</si>
  <si>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</si>
  <si>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</si>
  <si>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</si>
  <si>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</si>
  <si>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</si>
  <si>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</si>
  <si>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</si>
  <si>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</si>
  <si>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</si>
  <si>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</si>
  <si>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</si>
  <si>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</si>
  <si>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</si>
  <si>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</si>
  <si>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</si>
  <si>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</si>
  <si>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</si>
  <si>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</si>
  <si>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</si>
  <si>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</si>
  <si>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</si>
  <si>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</si>
  <si>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</si>
  <si>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</si>
  <si>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</si>
  <si>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</si>
  <si>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</si>
  <si>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</si>
  <si>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</si>
  <si>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</si>
  <si>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</si>
  <si>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</si>
  <si>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</si>
  <si>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</si>
  <si>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</si>
  <si>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</si>
  <si>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</si>
  <si>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</si>
  <si>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</si>
  <si>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</si>
  <si>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</si>
  <si>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</si>
  <si>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</si>
  <si>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</si>
  <si>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</si>
  <si>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</si>
  <si>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</si>
  <si>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</si>
  <si>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32030</t>
  </si>
  <si>
    <t>LO-RENINGE</t>
  </si>
  <si>
    <t>referentietaak LNE (2017); Jaarverslag De Lijn</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</si>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</sst>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29514.982532263264</c:v>
                </c:pt>
                <c:pt idx="1">
                  <c:v>7789.1278550677343</c:v>
                </c:pt>
                <c:pt idx="2">
                  <c:v>199.35499999999999</c:v>
                </c:pt>
                <c:pt idx="3">
                  <c:v>26605.332255137924</c:v>
                </c:pt>
                <c:pt idx="4">
                  <c:v>7219.5067404023503</c:v>
                </c:pt>
                <c:pt idx="5">
                  <c:v>16661.170412231484</c:v>
                </c:pt>
                <c:pt idx="6">
                  <c:v>215.69963006301086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29514.982532263264</c:v>
                </c:pt>
                <c:pt idx="1">
                  <c:v>7789.1278550677343</c:v>
                </c:pt>
                <c:pt idx="2">
                  <c:v>199.35499999999999</c:v>
                </c:pt>
                <c:pt idx="3">
                  <c:v>26605.332255137924</c:v>
                </c:pt>
                <c:pt idx="4">
                  <c:v>7219.5067404023503</c:v>
                </c:pt>
                <c:pt idx="5">
                  <c:v>16661.170412231484</c:v>
                </c:pt>
                <c:pt idx="6">
                  <c:v>215.69963006301086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5303.5099386079128</c:v>
                </c:pt>
                <c:pt idx="1">
                  <c:v>1472.5346975751743</c:v>
                </c:pt>
                <c:pt idx="2">
                  <c:v>35.134118815876583</c:v>
                </c:pt>
                <c:pt idx="3">
                  <c:v>6675.7547433891741</c:v>
                </c:pt>
                <c:pt idx="4">
                  <c:v>1292.0837574813977</c:v>
                </c:pt>
                <c:pt idx="5">
                  <c:v>4129.3536247453721</c:v>
                </c:pt>
                <c:pt idx="6">
                  <c:v>54.627406988409923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5303.5099386079128</c:v>
                </c:pt>
                <c:pt idx="1">
                  <c:v>1472.5346975751743</c:v>
                </c:pt>
                <c:pt idx="2">
                  <c:v>35.134118815876583</c:v>
                </c:pt>
                <c:pt idx="3">
                  <c:v>6675.7547433891741</c:v>
                </c:pt>
                <c:pt idx="4">
                  <c:v>1292.0837574813977</c:v>
                </c:pt>
                <c:pt idx="5">
                  <c:v>4129.3536247453721</c:v>
                </c:pt>
                <c:pt idx="6">
                  <c:v>54.627406988409923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32030</v>
      </c>
      <c r="B6" s="392"/>
      <c r="C6" s="393"/>
    </row>
    <row r="7" spans="1:7" s="390" customFormat="1" ht="15.75" customHeight="1">
      <c r="A7" s="394" t="str">
        <f>txtMunicipality</f>
        <v>LO-RENINGE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0.17623896474067161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0.17623896474067161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1260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5482</v>
      </c>
      <c r="C14" s="332"/>
      <c r="D14" s="332"/>
      <c r="E14" s="332"/>
      <c r="F14" s="332"/>
    </row>
    <row r="15" spans="1:6">
      <c r="A15" s="1310" t="s">
        <v>183</v>
      </c>
      <c r="B15" s="1311">
        <v>118</v>
      </c>
      <c r="C15" s="332"/>
      <c r="D15" s="332"/>
      <c r="E15" s="332"/>
      <c r="F15" s="332"/>
    </row>
    <row r="16" spans="1:6">
      <c r="A16" s="1310" t="s">
        <v>6</v>
      </c>
      <c r="B16" s="1311">
        <v>3775</v>
      </c>
      <c r="C16" s="332"/>
      <c r="D16" s="332"/>
      <c r="E16" s="332"/>
      <c r="F16" s="332"/>
    </row>
    <row r="17" spans="1:6">
      <c r="A17" s="1310" t="s">
        <v>7</v>
      </c>
      <c r="B17" s="1311">
        <v>1943</v>
      </c>
      <c r="C17" s="332"/>
      <c r="D17" s="332"/>
      <c r="E17" s="332"/>
      <c r="F17" s="332"/>
    </row>
    <row r="18" spans="1:6">
      <c r="A18" s="1310" t="s">
        <v>8</v>
      </c>
      <c r="B18" s="1311">
        <v>3170</v>
      </c>
      <c r="C18" s="332"/>
      <c r="D18" s="332"/>
      <c r="E18" s="332"/>
      <c r="F18" s="332"/>
    </row>
    <row r="19" spans="1:6">
      <c r="A19" s="1310" t="s">
        <v>9</v>
      </c>
      <c r="B19" s="1311">
        <v>2854</v>
      </c>
      <c r="C19" s="332"/>
      <c r="D19" s="332"/>
      <c r="E19" s="332"/>
      <c r="F19" s="332"/>
    </row>
    <row r="20" spans="1:6">
      <c r="A20" s="1310" t="s">
        <v>10</v>
      </c>
      <c r="B20" s="1311">
        <v>1762</v>
      </c>
      <c r="C20" s="332"/>
      <c r="D20" s="332"/>
      <c r="E20" s="332"/>
      <c r="F20" s="332"/>
    </row>
    <row r="21" spans="1:6">
      <c r="A21" s="1310" t="s">
        <v>11</v>
      </c>
      <c r="B21" s="1311">
        <v>35026</v>
      </c>
      <c r="C21" s="332"/>
      <c r="D21" s="332"/>
      <c r="E21" s="332"/>
      <c r="F21" s="332"/>
    </row>
    <row r="22" spans="1:6">
      <c r="A22" s="1310" t="s">
        <v>12</v>
      </c>
      <c r="B22" s="1311">
        <v>51949</v>
      </c>
      <c r="C22" s="332"/>
      <c r="D22" s="332"/>
      <c r="E22" s="332"/>
      <c r="F22" s="332"/>
    </row>
    <row r="23" spans="1:6">
      <c r="A23" s="1310" t="s">
        <v>13</v>
      </c>
      <c r="B23" s="1311">
        <v>1831</v>
      </c>
      <c r="C23" s="332"/>
      <c r="D23" s="332"/>
      <c r="E23" s="332"/>
      <c r="F23" s="332"/>
    </row>
    <row r="24" spans="1:6">
      <c r="A24" s="1310" t="s">
        <v>14</v>
      </c>
      <c r="B24" s="1311">
        <v>61</v>
      </c>
      <c r="C24" s="332"/>
      <c r="D24" s="332"/>
      <c r="E24" s="332"/>
      <c r="F24" s="332"/>
    </row>
    <row r="25" spans="1:6">
      <c r="A25" s="1310" t="s">
        <v>15</v>
      </c>
      <c r="B25" s="1311">
        <v>8919</v>
      </c>
      <c r="C25" s="332"/>
      <c r="D25" s="332"/>
      <c r="E25" s="332"/>
      <c r="F25" s="332"/>
    </row>
    <row r="26" spans="1:6">
      <c r="A26" s="1310" t="s">
        <v>16</v>
      </c>
      <c r="B26" s="1311">
        <v>1065</v>
      </c>
      <c r="C26" s="332"/>
      <c r="D26" s="332"/>
      <c r="E26" s="332"/>
      <c r="F26" s="332"/>
    </row>
    <row r="27" spans="1:6">
      <c r="A27" s="1310" t="s">
        <v>17</v>
      </c>
      <c r="B27" s="1311">
        <v>525</v>
      </c>
      <c r="C27" s="332"/>
      <c r="D27" s="332"/>
      <c r="E27" s="332"/>
      <c r="F27" s="332"/>
    </row>
    <row r="28" spans="1:6" s="43" customFormat="1">
      <c r="A28" s="1312" t="s">
        <v>18</v>
      </c>
      <c r="B28" s="1313">
        <v>441989</v>
      </c>
      <c r="C28" s="338"/>
      <c r="D28" s="338"/>
      <c r="E28" s="338"/>
      <c r="F28" s="338"/>
    </row>
    <row r="29" spans="1:6">
      <c r="A29" s="1312" t="s">
        <v>699</v>
      </c>
      <c r="B29" s="1313">
        <v>26</v>
      </c>
      <c r="C29" s="338"/>
      <c r="D29" s="338"/>
      <c r="E29" s="338"/>
      <c r="F29" s="338"/>
    </row>
    <row r="30" spans="1:6">
      <c r="A30" s="1305" t="s">
        <v>700</v>
      </c>
      <c r="B30" s="1314">
        <v>13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276.50923814840002</v>
      </c>
    </row>
    <row r="39" spans="1:6">
      <c r="A39" s="1310" t="s">
        <v>29</v>
      </c>
      <c r="B39" s="1310" t="s">
        <v>30</v>
      </c>
      <c r="C39" s="1311">
        <v>586</v>
      </c>
      <c r="D39" s="1311">
        <v>8179325.6557860803</v>
      </c>
      <c r="E39" s="1311">
        <v>1076</v>
      </c>
      <c r="F39" s="1311">
        <v>3795647.1326588299</v>
      </c>
    </row>
    <row r="40" spans="1:6">
      <c r="A40" s="1310" t="s">
        <v>29</v>
      </c>
      <c r="B40" s="1310" t="s">
        <v>28</v>
      </c>
      <c r="C40" s="1311">
        <v>0</v>
      </c>
      <c r="D40" s="1311">
        <v>0</v>
      </c>
      <c r="E40" s="1311">
        <v>0</v>
      </c>
      <c r="F40" s="1311">
        <v>0</v>
      </c>
    </row>
    <row r="41" spans="1:6">
      <c r="A41" s="1310" t="s">
        <v>31</v>
      </c>
      <c r="B41" s="1310" t="s">
        <v>32</v>
      </c>
      <c r="C41" s="1311">
        <v>28</v>
      </c>
      <c r="D41" s="1311">
        <v>396172.51508518797</v>
      </c>
      <c r="E41" s="1311">
        <v>59</v>
      </c>
      <c r="F41" s="1311">
        <v>457871.74871593399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65632.205785999206</v>
      </c>
      <c r="E44" s="1311">
        <v>20</v>
      </c>
      <c r="F44" s="1311">
        <v>1081586.1070604699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29821.5958494964</v>
      </c>
      <c r="E48" s="1311">
        <v>1</v>
      </c>
      <c r="F48" s="1311">
        <v>3850</v>
      </c>
    </row>
    <row r="49" spans="1:6">
      <c r="A49" s="1310" t="s">
        <v>31</v>
      </c>
      <c r="B49" s="1310" t="s">
        <v>39</v>
      </c>
      <c r="C49" s="1311">
        <v>0</v>
      </c>
      <c r="D49" s="1311">
        <v>0</v>
      </c>
      <c r="E49" s="1311">
        <v>0</v>
      </c>
      <c r="F49" s="1311">
        <v>0</v>
      </c>
    </row>
    <row r="50" spans="1:6">
      <c r="A50" s="1310" t="s">
        <v>31</v>
      </c>
      <c r="B50" s="1310" t="s">
        <v>40</v>
      </c>
      <c r="C50" s="1311">
        <v>0</v>
      </c>
      <c r="D50" s="1311">
        <v>0</v>
      </c>
      <c r="E50" s="1311">
        <v>5</v>
      </c>
      <c r="F50" s="1311">
        <v>4608387.1103940103</v>
      </c>
    </row>
    <row r="51" spans="1:6">
      <c r="A51" s="1310" t="s">
        <v>41</v>
      </c>
      <c r="B51" s="1310" t="s">
        <v>42</v>
      </c>
      <c r="C51" s="1311">
        <v>9</v>
      </c>
      <c r="D51" s="1311">
        <v>128316.90730298399</v>
      </c>
      <c r="E51" s="1311">
        <v>158</v>
      </c>
      <c r="F51" s="1311">
        <v>5815588.1353757698</v>
      </c>
    </row>
    <row r="52" spans="1:6">
      <c r="A52" s="1310" t="s">
        <v>41</v>
      </c>
      <c r="B52" s="1310" t="s">
        <v>28</v>
      </c>
      <c r="C52" s="1311">
        <v>0</v>
      </c>
      <c r="D52" s="1311">
        <v>0</v>
      </c>
      <c r="E52" s="1311">
        <v>0</v>
      </c>
      <c r="F52" s="1311">
        <v>0</v>
      </c>
    </row>
    <row r="53" spans="1:6">
      <c r="A53" s="1310" t="s">
        <v>43</v>
      </c>
      <c r="B53" s="1310" t="s">
        <v>44</v>
      </c>
      <c r="C53" s="1311">
        <v>14</v>
      </c>
      <c r="D53" s="1311">
        <v>500978.22194634198</v>
      </c>
      <c r="E53" s="1311">
        <v>49</v>
      </c>
      <c r="F53" s="1311">
        <v>179616.653335065</v>
      </c>
    </row>
    <row r="54" spans="1:6">
      <c r="A54" s="1310" t="s">
        <v>45</v>
      </c>
      <c r="B54" s="1310" t="s">
        <v>46</v>
      </c>
      <c r="C54" s="1311">
        <v>0</v>
      </c>
      <c r="D54" s="1311">
        <v>0</v>
      </c>
      <c r="E54" s="1311">
        <v>1</v>
      </c>
      <c r="F54" s="1311">
        <v>199355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v>
      </c>
      <c r="D57" s="1311">
        <v>225729.86049447299</v>
      </c>
      <c r="E57" s="1311">
        <v>30</v>
      </c>
      <c r="F57" s="1311">
        <v>360728.667812331</v>
      </c>
    </row>
    <row r="58" spans="1:6">
      <c r="A58" s="1310" t="s">
        <v>48</v>
      </c>
      <c r="B58" s="1310" t="s">
        <v>50</v>
      </c>
      <c r="C58" s="1311">
        <v>8</v>
      </c>
      <c r="D58" s="1311">
        <v>1297524.8397417199</v>
      </c>
      <c r="E58" s="1311">
        <v>14</v>
      </c>
      <c r="F58" s="1311">
        <v>203727.16745976001</v>
      </c>
    </row>
    <row r="59" spans="1:6">
      <c r="A59" s="1310" t="s">
        <v>48</v>
      </c>
      <c r="B59" s="1310" t="s">
        <v>51</v>
      </c>
      <c r="C59" s="1311">
        <v>17</v>
      </c>
      <c r="D59" s="1311">
        <v>884442.195772907</v>
      </c>
      <c r="E59" s="1311">
        <v>45</v>
      </c>
      <c r="F59" s="1311">
        <v>1395948.3895250501</v>
      </c>
    </row>
    <row r="60" spans="1:6">
      <c r="A60" s="1310" t="s">
        <v>48</v>
      </c>
      <c r="B60" s="1310" t="s">
        <v>52</v>
      </c>
      <c r="C60" s="1311">
        <v>11</v>
      </c>
      <c r="D60" s="1311">
        <v>744736.18396802596</v>
      </c>
      <c r="E60" s="1311">
        <v>19</v>
      </c>
      <c r="F60" s="1311">
        <v>530573.75191790203</v>
      </c>
    </row>
    <row r="61" spans="1:6">
      <c r="A61" s="1310" t="s">
        <v>48</v>
      </c>
      <c r="B61" s="1310" t="s">
        <v>53</v>
      </c>
      <c r="C61" s="1311">
        <v>25</v>
      </c>
      <c r="D61" s="1311">
        <v>874204.08836426202</v>
      </c>
      <c r="E61" s="1311">
        <v>95</v>
      </c>
      <c r="F61" s="1311">
        <v>730265.48145324294</v>
      </c>
    </row>
    <row r="62" spans="1:6">
      <c r="A62" s="1310" t="s">
        <v>48</v>
      </c>
      <c r="B62" s="1310" t="s">
        <v>54</v>
      </c>
      <c r="C62" s="1311">
        <v>5</v>
      </c>
      <c r="D62" s="1311">
        <v>180443.95455844101</v>
      </c>
      <c r="E62" s="1311">
        <v>6</v>
      </c>
      <c r="F62" s="1311">
        <v>33191.6186006633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19403.9561542788</v>
      </c>
      <c r="E65" s="1311">
        <v>0</v>
      </c>
      <c r="F65" s="1311">
        <v>0</v>
      </c>
    </row>
    <row r="66" spans="1:6">
      <c r="A66" s="1310" t="s">
        <v>55</v>
      </c>
      <c r="B66" s="1310" t="s">
        <v>57</v>
      </c>
      <c r="C66" s="1311">
        <v>0</v>
      </c>
      <c r="D66" s="1311">
        <v>0</v>
      </c>
      <c r="E66" s="1311">
        <v>3</v>
      </c>
      <c r="F66" s="1311">
        <v>22309</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24733.225043247199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6360651</v>
      </c>
      <c r="E73" s="453"/>
      <c r="F73" s="332"/>
    </row>
    <row r="74" spans="1:6">
      <c r="A74" s="1310" t="s">
        <v>63</v>
      </c>
      <c r="B74" s="1310" t="s">
        <v>648</v>
      </c>
      <c r="C74" s="1324" t="s">
        <v>650</v>
      </c>
      <c r="D74" s="1325">
        <v>717144.08070051426</v>
      </c>
      <c r="E74" s="453"/>
      <c r="F74" s="332"/>
    </row>
    <row r="75" spans="1:6">
      <c r="A75" s="1310" t="s">
        <v>64</v>
      </c>
      <c r="B75" s="1310" t="s">
        <v>647</v>
      </c>
      <c r="C75" s="1324" t="s">
        <v>651</v>
      </c>
      <c r="D75" s="1325">
        <v>10126157</v>
      </c>
      <c r="E75" s="453"/>
      <c r="F75" s="332"/>
    </row>
    <row r="76" spans="1:6">
      <c r="A76" s="1310" t="s">
        <v>64</v>
      </c>
      <c r="B76" s="1310" t="s">
        <v>648</v>
      </c>
      <c r="C76" s="1324" t="s">
        <v>652</v>
      </c>
      <c r="D76" s="1325">
        <v>378474.0807005142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59829.838598971597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1723.5859250708352</v>
      </c>
      <c r="C91" s="332"/>
      <c r="D91" s="332"/>
      <c r="E91" s="332"/>
      <c r="F91" s="332"/>
    </row>
    <row r="92" spans="1:6">
      <c r="A92" s="1305" t="s">
        <v>68</v>
      </c>
      <c r="B92" s="1306">
        <v>2512.6198183093566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332</v>
      </c>
      <c r="C97" s="332"/>
      <c r="D97" s="332"/>
      <c r="E97" s="332"/>
      <c r="F97" s="332"/>
    </row>
    <row r="98" spans="1:6">
      <c r="A98" s="1310" t="s">
        <v>71</v>
      </c>
      <c r="B98" s="1311">
        <v>0</v>
      </c>
      <c r="C98" s="332"/>
      <c r="D98" s="332"/>
      <c r="E98" s="332"/>
      <c r="F98" s="332"/>
    </row>
    <row r="99" spans="1:6">
      <c r="A99" s="1310" t="s">
        <v>72</v>
      </c>
      <c r="B99" s="1311">
        <v>88</v>
      </c>
      <c r="C99" s="332"/>
      <c r="D99" s="332"/>
      <c r="E99" s="332"/>
      <c r="F99" s="332"/>
    </row>
    <row r="100" spans="1:6">
      <c r="A100" s="1310" t="s">
        <v>73</v>
      </c>
      <c r="B100" s="1311">
        <v>82</v>
      </c>
      <c r="C100" s="332"/>
      <c r="D100" s="332"/>
      <c r="E100" s="332"/>
      <c r="F100" s="332"/>
    </row>
    <row r="101" spans="1:6">
      <c r="A101" s="1310" t="s">
        <v>74</v>
      </c>
      <c r="B101" s="1311">
        <v>55</v>
      </c>
      <c r="C101" s="332"/>
      <c r="D101" s="332"/>
      <c r="E101" s="332"/>
      <c r="F101" s="332"/>
    </row>
    <row r="102" spans="1:6">
      <c r="A102" s="1310" t="s">
        <v>75</v>
      </c>
      <c r="B102" s="1311">
        <v>21</v>
      </c>
      <c r="C102" s="332"/>
      <c r="D102" s="332"/>
      <c r="E102" s="332"/>
      <c r="F102" s="332"/>
    </row>
    <row r="103" spans="1:6">
      <c r="A103" s="1310" t="s">
        <v>76</v>
      </c>
      <c r="B103" s="1311">
        <v>98</v>
      </c>
      <c r="C103" s="332"/>
      <c r="D103" s="332"/>
      <c r="E103" s="332"/>
      <c r="F103" s="332"/>
    </row>
    <row r="104" spans="1:6">
      <c r="A104" s="1310" t="s">
        <v>77</v>
      </c>
      <c r="B104" s="1311">
        <v>491</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9</v>
      </c>
      <c r="C123" s="1311">
        <v>11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67</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21131.059945489153</v>
      </c>
      <c r="C3" s="43" t="s">
        <v>169</v>
      </c>
      <c r="D3" s="43"/>
      <c r="E3" s="154"/>
      <c r="F3" s="43"/>
      <c r="G3" s="43"/>
      <c r="H3" s="43"/>
      <c r="I3" s="43"/>
      <c r="J3" s="43"/>
      <c r="K3" s="96"/>
    </row>
    <row r="4" spans="1:11">
      <c r="A4" s="360" t="s">
        <v>170</v>
      </c>
      <c r="B4" s="49">
        <f>IF(ISERROR('SEAP template'!B78+'SEAP template'!C78),0,'SEAP template'!B78+'SEAP template'!C78)</f>
        <v>4279.8557433801916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0.17623896474067161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199.35499999999999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199.35499999999999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0.17623896474067161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35.134118815876583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3795.6471326588298</v>
      </c>
      <c r="C5" s="17">
        <f>IF(ISERROR('Eigen informatie GS &amp; warmtenet'!B59),0,'Eigen informatie GS &amp; warmtenet'!B59)</f>
        <v>0</v>
      </c>
      <c r="D5" s="30">
        <f>(SUM(HH_hh_gas_kWh,HH_rest_gas_kWh)/1000)*0.903</f>
        <v>7385.9310671748308</v>
      </c>
      <c r="E5" s="17">
        <f>B46*B57</f>
        <v>4514.772100778443</v>
      </c>
      <c r="F5" s="17">
        <f>B51*B62</f>
        <v>5442.2058959417918</v>
      </c>
      <c r="G5" s="18"/>
      <c r="H5" s="17"/>
      <c r="I5" s="17"/>
      <c r="J5" s="17">
        <f>B50*B61+C50*C61</f>
        <v>1019.5641290640233</v>
      </c>
      <c r="K5" s="17"/>
      <c r="L5" s="17"/>
      <c r="M5" s="17"/>
      <c r="N5" s="17">
        <f>B48*B59+C48*C59</f>
        <v>5288.9162729239952</v>
      </c>
      <c r="O5" s="17">
        <f>B69*B70*B71</f>
        <v>154.7487411121885</v>
      </c>
      <c r="P5" s="17">
        <f>B77*B78*B79/1000-B77*B78*B79/1000/B80</f>
        <v>189.61126753833042</v>
      </c>
    </row>
    <row r="6" spans="1:16">
      <c r="A6" s="16" t="s">
        <v>612</v>
      </c>
      <c r="B6" s="786">
        <f>kWh_PV_kleiner_dan_10kW</f>
        <v>1723.5859250708352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5519.2330577296652</v>
      </c>
      <c r="C8" s="21">
        <f>C5</f>
        <v>0</v>
      </c>
      <c r="D8" s="21">
        <f>D5</f>
        <v>7385.9310671748308</v>
      </c>
      <c r="E8" s="21">
        <f>E5</f>
        <v>4514.772100778443</v>
      </c>
      <c r="F8" s="21">
        <f>F5</f>
        <v>5442.2058959417918</v>
      </c>
      <c r="G8" s="21"/>
      <c r="H8" s="21"/>
      <c r="I8" s="21"/>
      <c r="J8" s="21">
        <f>J5</f>
        <v>1019.5641290640233</v>
      </c>
      <c r="K8" s="21"/>
      <c r="L8" s="21">
        <f>L5</f>
        <v>0</v>
      </c>
      <c r="M8" s="21">
        <f>M5</f>
        <v>0</v>
      </c>
      <c r="N8" s="21">
        <f>N5</f>
        <v>5288.9162729239952</v>
      </c>
      <c r="O8" s="21">
        <f>O5</f>
        <v>154.7487411121885</v>
      </c>
      <c r="P8" s="21">
        <f>P5</f>
        <v>189.61126753833042</v>
      </c>
    </row>
    <row r="9" spans="1:16">
      <c r="B9" s="19"/>
      <c r="C9" s="19"/>
      <c r="D9" s="258"/>
      <c r="E9" s="19"/>
      <c r="F9" s="19"/>
      <c r="G9" s="19"/>
      <c r="H9" s="19"/>
      <c r="I9" s="19"/>
      <c r="J9" s="19"/>
      <c r="K9" s="19"/>
      <c r="L9" s="19"/>
      <c r="M9" s="19"/>
      <c r="N9" s="19"/>
      <c r="O9" s="19"/>
      <c r="P9" s="19"/>
    </row>
    <row r="10" spans="1:16">
      <c r="A10" s="24" t="s">
        <v>213</v>
      </c>
      <c r="B10" s="25">
        <f ca="1">'EF ele_warmte'!B12</f>
        <v>0.17623896474067161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972.70392025676756</v>
      </c>
      <c r="C12" s="23">
        <f ca="1">C10*C8</f>
        <v>0</v>
      </c>
      <c r="D12" s="23">
        <f>D8*D10</f>
        <v>1491.958075569316</v>
      </c>
      <c r="E12" s="23">
        <f>E10*E8</f>
        <v>1024.8532668767066</v>
      </c>
      <c r="F12" s="23">
        <f>F10*F8</f>
        <v>1453.0689742164584</v>
      </c>
      <c r="G12" s="23"/>
      <c r="H12" s="23"/>
      <c r="I12" s="23"/>
      <c r="J12" s="23">
        <f>J10*J8</f>
        <v>360.92570168866422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1260</v>
      </c>
      <c r="C28" s="36"/>
      <c r="D28" s="228"/>
    </row>
    <row r="29" spans="1:7" s="15" customFormat="1">
      <c r="A29" s="230" t="s">
        <v>839</v>
      </c>
      <c r="B29" s="37">
        <f>SUM(HH_hh_gas_aantal,HH_rest_gas_aantal)</f>
        <v>586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586</v>
      </c>
      <c r="C32" s="167">
        <f>IF(ISERROR(B32/SUM($B$32,$B$34,$B$35,$B$36,$B$38,$B$39)*100),0,B32/SUM($B$32,$B$34,$B$35,$B$36,$B$38,$B$39)*100)</f>
        <v>47.181964573268921</v>
      </c>
      <c r="D32" s="233"/>
      <c r="G32" s="15"/>
    </row>
    <row r="33" spans="1:7">
      <c r="A33" s="171" t="s">
        <v>71</v>
      </c>
      <c r="B33" s="34" t="s">
        <v>110</v>
      </c>
      <c r="C33" s="167"/>
      <c r="D33" s="233"/>
      <c r="G33" s="15"/>
    </row>
    <row r="34" spans="1:7">
      <c r="A34" s="171" t="s">
        <v>72</v>
      </c>
      <c r="B34" s="33">
        <f>IF((($B$28-$B$32-$B$39-$B$77-$B$38)*C20/100)&lt;0,0,($B$28-$B$32-$B$39-$B$77-$B$38)*C20/100)</f>
        <v>125.54666666666668</v>
      </c>
      <c r="C34" s="167">
        <f>IF(ISERROR(B34/SUM($B$32,$B$34,$B$35,$B$36,$B$38,$B$39)*100),0,B34/SUM($B$32,$B$34,$B$35,$B$36,$B$38,$B$39)*100)</f>
        <v>10.108427267847558</v>
      </c>
      <c r="D34" s="233"/>
      <c r="G34" s="15"/>
    </row>
    <row r="35" spans="1:7">
      <c r="A35" s="171" t="s">
        <v>73</v>
      </c>
      <c r="B35" s="33">
        <f>IF((($B$28-$B$32-$B$39-$B$77-$B$38)*C21/100)&lt;0,0,($B$28-$B$32-$B$39-$B$77-$B$38)*C21/100)</f>
        <v>116.98666666666666</v>
      </c>
      <c r="C35" s="167">
        <f>IF(ISERROR(B35/SUM($B$32,$B$34,$B$35,$B$36,$B$38,$B$39)*100),0,B35/SUM($B$32,$B$34,$B$35,$B$36,$B$38,$B$39)*100)</f>
        <v>9.4192163177670416</v>
      </c>
      <c r="D35" s="233"/>
      <c r="G35" s="15"/>
    </row>
    <row r="36" spans="1:7">
      <c r="A36" s="171" t="s">
        <v>74</v>
      </c>
      <c r="B36" s="33">
        <f>IF((($B$28-$B$32-$B$39-$B$77-$B$38)*C22/100)&lt;0,0,($B$28-$B$32-$B$39-$B$77-$B$38)*C22/100)</f>
        <v>78.466666666666654</v>
      </c>
      <c r="C36" s="167">
        <f>IF(ISERROR(B36/SUM($B$32,$B$34,$B$35,$B$36,$B$38,$B$39)*100),0,B36/SUM($B$32,$B$34,$B$35,$B$36,$B$38,$B$39)*100)</f>
        <v>6.3177670424047223</v>
      </c>
      <c r="D36" s="233"/>
      <c r="G36" s="15"/>
    </row>
    <row r="37" spans="1:7">
      <c r="A37" s="171" t="s">
        <v>75</v>
      </c>
      <c r="B37" s="34" t="s">
        <v>110</v>
      </c>
      <c r="C37" s="167"/>
      <c r="D37" s="173"/>
      <c r="G37" s="15"/>
    </row>
    <row r="38" spans="1:7">
      <c r="A38" s="171" t="s">
        <v>76</v>
      </c>
      <c r="B38" s="33">
        <f>IF((B24-(B29-B18)*0.1)&lt;0,0,B24-(B29-B18)*0.1)</f>
        <v>72.599999999999994</v>
      </c>
      <c r="C38" s="167">
        <f>IF(ISERROR(B38/SUM($B$32,$B$34,$B$35,$B$36,$B$38,$B$39)*100),0,B38/SUM($B$32,$B$34,$B$35,$B$36,$B$38,$B$39)*100)</f>
        <v>5.8454106280193239</v>
      </c>
      <c r="D38" s="234"/>
      <c r="G38" s="15"/>
    </row>
    <row r="39" spans="1:7">
      <c r="A39" s="171" t="s">
        <v>77</v>
      </c>
      <c r="B39" s="33">
        <f>IF((B25-(B29-B18))&lt;0,0,B25-(B29-B18)*0.9)</f>
        <v>262.39999999999998</v>
      </c>
      <c r="C39" s="167">
        <f>IF(ISERROR(B39/SUM($B$32,$B$34,$B$35,$B$36,$B$38,$B$39)*100),0,B39/SUM($B$32,$B$34,$B$35,$B$36,$B$38,$B$39)*100)</f>
        <v>21.127214170692429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586</v>
      </c>
      <c r="C44" s="34" t="s">
        <v>110</v>
      </c>
      <c r="D44" s="174"/>
    </row>
    <row r="45" spans="1:7">
      <c r="A45" s="171" t="s">
        <v>71</v>
      </c>
      <c r="B45" s="33" t="str">
        <f t="shared" si="0"/>
        <v>-</v>
      </c>
      <c r="C45" s="34" t="s">
        <v>110</v>
      </c>
      <c r="D45" s="174"/>
    </row>
    <row r="46" spans="1:7">
      <c r="A46" s="171" t="s">
        <v>72</v>
      </c>
      <c r="B46" s="33">
        <f t="shared" si="0"/>
        <v>125.54666666666668</v>
      </c>
      <c r="C46" s="34" t="s">
        <v>110</v>
      </c>
      <c r="D46" s="174"/>
    </row>
    <row r="47" spans="1:7">
      <c r="A47" s="171" t="s">
        <v>73</v>
      </c>
      <c r="B47" s="33">
        <f t="shared" si="0"/>
        <v>116.98666666666666</v>
      </c>
      <c r="C47" s="34" t="s">
        <v>110</v>
      </c>
      <c r="D47" s="174"/>
    </row>
    <row r="48" spans="1:7">
      <c r="A48" s="171" t="s">
        <v>74</v>
      </c>
      <c r="B48" s="33">
        <f t="shared" si="0"/>
        <v>78.466666666666654</v>
      </c>
      <c r="C48" s="33">
        <f>B48*10</f>
        <v>784.66666666666652</v>
      </c>
      <c r="D48" s="234"/>
    </row>
    <row r="49" spans="1:6">
      <c r="A49" s="171" t="s">
        <v>75</v>
      </c>
      <c r="B49" s="33" t="str">
        <f t="shared" si="0"/>
        <v>-</v>
      </c>
      <c r="C49" s="34" t="s">
        <v>110</v>
      </c>
      <c r="D49" s="234"/>
    </row>
    <row r="50" spans="1:6">
      <c r="A50" s="171" t="s">
        <v>76</v>
      </c>
      <c r="B50" s="33">
        <f t="shared" si="0"/>
        <v>72.599999999999994</v>
      </c>
      <c r="C50" s="33">
        <f>B50*2</f>
        <v>145.19999999999999</v>
      </c>
      <c r="D50" s="234"/>
    </row>
    <row r="51" spans="1:6">
      <c r="A51" s="171" t="s">
        <v>77</v>
      </c>
      <c r="B51" s="33">
        <f t="shared" si="0"/>
        <v>262.39999999999998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3254.4350767689493</v>
      </c>
      <c r="C5" s="17">
        <f>IF(ISERROR('Eigen informatie GS &amp; warmtenet'!B60),0,'Eigen informatie GS &amp; warmtenet'!B60)</f>
        <v>0</v>
      </c>
      <c r="D5" s="30">
        <f>SUM(D6:D12)</f>
        <v>3798.9942539785457</v>
      </c>
      <c r="E5" s="17">
        <f>SUM(E6:E12)</f>
        <v>10.247380633875851</v>
      </c>
      <c r="F5" s="17">
        <f>SUM(F6:F12)</f>
        <v>484.09053558113777</v>
      </c>
      <c r="G5" s="18"/>
      <c r="H5" s="17"/>
      <c r="I5" s="17"/>
      <c r="J5" s="17">
        <f>SUM(J6:J12)</f>
        <v>3.5624914307917695E-3</v>
      </c>
      <c r="K5" s="17"/>
      <c r="L5" s="17"/>
      <c r="M5" s="17"/>
      <c r="N5" s="17">
        <f>SUM(N6:N12)</f>
        <v>131.38150823496468</v>
      </c>
      <c r="O5" s="17">
        <f>B38*B39*B40</f>
        <v>4.8972607658411542</v>
      </c>
      <c r="P5" s="17">
        <f>B46*B47*B48/1000-B46*B47*B48/1000/B49</f>
        <v>105.07827661299004</v>
      </c>
      <c r="R5" s="32"/>
    </row>
    <row r="6" spans="1:18">
      <c r="A6" s="32" t="s">
        <v>53</v>
      </c>
      <c r="B6" s="37">
        <f>B26</f>
        <v>730.26548145324296</v>
      </c>
      <c r="C6" s="33"/>
      <c r="D6" s="37">
        <f>IF(ISERROR(TER_kantoor_gas_kWh/1000),0,TER_kantoor_gas_kWh/1000)*0.903</f>
        <v>789.40629179292864</v>
      </c>
      <c r="E6" s="33">
        <f>$C$26*'E Balans VL '!I12/100/3.6*1000000</f>
        <v>0.17495425122390751</v>
      </c>
      <c r="F6" s="33">
        <f>$C$26*('E Balans VL '!L12+'E Balans VL '!N12)/100/3.6*1000000</f>
        <v>69.25021788648975</v>
      </c>
      <c r="G6" s="34"/>
      <c r="H6" s="33"/>
      <c r="I6" s="33"/>
      <c r="J6" s="33">
        <f>$C$26*('E Balans VL '!D12+'E Balans VL '!E12)/100/3.6*1000000</f>
        <v>0</v>
      </c>
      <c r="K6" s="33"/>
      <c r="L6" s="33"/>
      <c r="M6" s="33"/>
      <c r="N6" s="33">
        <f>$C$26*'E Balans VL '!Y12/100/3.6*1000000</f>
        <v>0.37093709254861301</v>
      </c>
      <c r="O6" s="33"/>
      <c r="P6" s="33"/>
      <c r="R6" s="32"/>
    </row>
    <row r="7" spans="1:18">
      <c r="A7" s="32" t="s">
        <v>52</v>
      </c>
      <c r="B7" s="37">
        <f t="shared" ref="B7:B12" si="0">B27</f>
        <v>530.57375191790209</v>
      </c>
      <c r="C7" s="33"/>
      <c r="D7" s="37">
        <f>IF(ISERROR(TER_horeca_gas_kWh/1000),0,TER_horeca_gas_kWh/1000)*0.903</f>
        <v>672.49677412312747</v>
      </c>
      <c r="E7" s="33">
        <f>$C$27*'E Balans VL '!I9/100/3.6*1000000</f>
        <v>0</v>
      </c>
      <c r="F7" s="33">
        <f>$C$27*('E Balans VL '!L9+'E Balans VL '!N9)/100/3.6*1000000</f>
        <v>43.505800443227344</v>
      </c>
      <c r="G7" s="34"/>
      <c r="H7" s="33"/>
      <c r="I7" s="33"/>
      <c r="J7" s="33">
        <f>$C$27*('E Balans VL '!D9+'E Balans VL '!E9)/100/3.6*1000000</f>
        <v>0</v>
      </c>
      <c r="K7" s="33"/>
      <c r="L7" s="33"/>
      <c r="M7" s="33"/>
      <c r="N7" s="33">
        <f>$C$27*'E Balans VL '!Y9/100/3.6*1000000</f>
        <v>0.16264217185294302</v>
      </c>
      <c r="O7" s="33"/>
      <c r="P7" s="33"/>
      <c r="R7" s="32"/>
    </row>
    <row r="8" spans="1:18">
      <c r="A8" s="6" t="s">
        <v>51</v>
      </c>
      <c r="B8" s="37">
        <f t="shared" si="0"/>
        <v>1395.9483895250501</v>
      </c>
      <c r="C8" s="33"/>
      <c r="D8" s="37">
        <f>IF(ISERROR(TER_handel_gas_kWh/1000),0,TER_handel_gas_kWh/1000)*0.903</f>
        <v>798.65130278293498</v>
      </c>
      <c r="E8" s="33">
        <f>$C$28*'E Balans VL '!I13/100/3.6*1000000</f>
        <v>4.9059956292575437</v>
      </c>
      <c r="F8" s="33">
        <f>$C$28*('E Balans VL '!L13+'E Balans VL '!N13)/100/3.6*1000000</f>
        <v>127.72677075219339</v>
      </c>
      <c r="G8" s="34"/>
      <c r="H8" s="33"/>
      <c r="I8" s="33"/>
      <c r="J8" s="33">
        <f>$C$28*('E Balans VL '!D13+'E Balans VL '!E13)/100/3.6*1000000</f>
        <v>0</v>
      </c>
      <c r="K8" s="33"/>
      <c r="L8" s="33"/>
      <c r="M8" s="33"/>
      <c r="N8" s="33">
        <f>$C$28*'E Balans VL '!Y13/100/3.6*1000000</f>
        <v>0.50555240885866481</v>
      </c>
      <c r="O8" s="33"/>
      <c r="P8" s="33"/>
      <c r="R8" s="32"/>
    </row>
    <row r="9" spans="1:18">
      <c r="A9" s="32" t="s">
        <v>50</v>
      </c>
      <c r="B9" s="37">
        <f t="shared" si="0"/>
        <v>203.72716745976001</v>
      </c>
      <c r="C9" s="33"/>
      <c r="D9" s="37">
        <f>IF(ISERROR(TER_gezond_gas_kWh/1000),0,TER_gezond_gas_kWh/1000)*0.903</f>
        <v>1171.6649302867731</v>
      </c>
      <c r="E9" s="33">
        <f>$C$29*'E Balans VL '!I10/100/3.6*1000000</f>
        <v>0</v>
      </c>
      <c r="F9" s="33">
        <f>$C$29*('E Balans VL '!L10+'E Balans VL '!N10)/100/3.6*1000000</f>
        <v>24.973209699127338</v>
      </c>
      <c r="G9" s="34"/>
      <c r="H9" s="33"/>
      <c r="I9" s="33"/>
      <c r="J9" s="33">
        <f>$C$29*('E Balans VL '!D10+'E Balans VL '!E10)/100/3.6*1000000</f>
        <v>0</v>
      </c>
      <c r="K9" s="33"/>
      <c r="L9" s="33"/>
      <c r="M9" s="33"/>
      <c r="N9" s="33">
        <f>$C$29*'E Balans VL '!Y10/100/3.6*1000000</f>
        <v>1.5023458917539985</v>
      </c>
      <c r="O9" s="33"/>
      <c r="P9" s="33"/>
      <c r="R9" s="32"/>
    </row>
    <row r="10" spans="1:18">
      <c r="A10" s="32" t="s">
        <v>49</v>
      </c>
      <c r="B10" s="37">
        <f t="shared" si="0"/>
        <v>360.72866781233103</v>
      </c>
      <c r="C10" s="33"/>
      <c r="D10" s="37">
        <f>IF(ISERROR(TER_ander_gas_kWh/1000),0,TER_ander_gas_kWh/1000)*0.903</f>
        <v>203.83406402650914</v>
      </c>
      <c r="E10" s="33">
        <f>$C$30*'E Balans VL '!I14/100/3.6*1000000</f>
        <v>5.1664307533943994</v>
      </c>
      <c r="F10" s="33">
        <f>$C$30*('E Balans VL '!L14+'E Balans VL '!N14)/100/3.6*1000000</f>
        <v>214.75404132618701</v>
      </c>
      <c r="G10" s="34"/>
      <c r="H10" s="33"/>
      <c r="I10" s="33"/>
      <c r="J10" s="33">
        <f>$C$30*('E Balans VL '!D14+'E Balans VL '!E14)/100/3.6*1000000</f>
        <v>3.5624914307917695E-3</v>
      </c>
      <c r="K10" s="33"/>
      <c r="L10" s="33"/>
      <c r="M10" s="33"/>
      <c r="N10" s="33">
        <f>$C$30*'E Balans VL '!Y14/100/3.6*1000000</f>
        <v>128.74656688340497</v>
      </c>
      <c r="O10" s="33"/>
      <c r="P10" s="33"/>
      <c r="R10" s="32"/>
    </row>
    <row r="11" spans="1:18">
      <c r="A11" s="32" t="s">
        <v>54</v>
      </c>
      <c r="B11" s="37">
        <f t="shared" si="0"/>
        <v>33.191618600663297</v>
      </c>
      <c r="C11" s="33"/>
      <c r="D11" s="37">
        <f>IF(ISERROR(TER_onderwijs_gas_kWh/1000),0,TER_onderwijs_gas_kWh/1000)*0.903</f>
        <v>162.94089096627224</v>
      </c>
      <c r="E11" s="33">
        <f>$C$31*'E Balans VL '!I11/100/3.6*1000000</f>
        <v>0</v>
      </c>
      <c r="F11" s="33">
        <f>$C$31*('E Balans VL '!L11+'E Balans VL '!N11)/100/3.6*1000000</f>
        <v>3.8804954739129496</v>
      </c>
      <c r="G11" s="34"/>
      <c r="H11" s="33"/>
      <c r="I11" s="33"/>
      <c r="J11" s="33">
        <f>$C$31*('E Balans VL '!D11+'E Balans VL '!E11)/100/3.6*1000000</f>
        <v>0</v>
      </c>
      <c r="K11" s="33"/>
      <c r="L11" s="33"/>
      <c r="M11" s="33"/>
      <c r="N11" s="33">
        <f>$C$31*'E Balans VL '!Y11/100/3.6*1000000</f>
        <v>9.346378654550011E-2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3254.4350767689493</v>
      </c>
      <c r="C16" s="21">
        <f t="shared" ca="1" si="1"/>
        <v>0</v>
      </c>
      <c r="D16" s="21">
        <f t="shared" ca="1" si="1"/>
        <v>3798.9942539785457</v>
      </c>
      <c r="E16" s="21">
        <f t="shared" si="1"/>
        <v>10.247380633875851</v>
      </c>
      <c r="F16" s="21">
        <f t="shared" ca="1" si="1"/>
        <v>484.09053558113777</v>
      </c>
      <c r="G16" s="21">
        <f t="shared" si="1"/>
        <v>0</v>
      </c>
      <c r="H16" s="21">
        <f t="shared" si="1"/>
        <v>0</v>
      </c>
      <c r="I16" s="21">
        <f t="shared" si="1"/>
        <v>0</v>
      </c>
      <c r="J16" s="21">
        <f t="shared" si="1"/>
        <v>3.5624914307917695E-3</v>
      </c>
      <c r="K16" s="21">
        <f t="shared" si="1"/>
        <v>0</v>
      </c>
      <c r="L16" s="21">
        <f t="shared" ca="1" si="1"/>
        <v>0</v>
      </c>
      <c r="M16" s="21">
        <f t="shared" si="1"/>
        <v>0</v>
      </c>
      <c r="N16" s="21">
        <f t="shared" ca="1" si="1"/>
        <v>131.38150823496468</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0.17623896474067161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573.55826874548779</v>
      </c>
      <c r="C20" s="23">
        <f t="shared" ref="C20:P20" ca="1" si="2">C16*C18</f>
        <v>0</v>
      </c>
      <c r="D20" s="23">
        <f t="shared" ca="1" si="2"/>
        <v>767.3968393036663</v>
      </c>
      <c r="E20" s="23">
        <f t="shared" si="2"/>
        <v>2.3261554038898185</v>
      </c>
      <c r="F20" s="23">
        <f t="shared" ca="1" si="2"/>
        <v>129.25217300016379</v>
      </c>
      <c r="G20" s="23">
        <f t="shared" si="2"/>
        <v>0</v>
      </c>
      <c r="H20" s="23">
        <f t="shared" si="2"/>
        <v>0</v>
      </c>
      <c r="I20" s="23">
        <f t="shared" si="2"/>
        <v>0</v>
      </c>
      <c r="J20" s="23">
        <f t="shared" si="2"/>
        <v>1.2611219665002863E-3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730.26548145324296</v>
      </c>
      <c r="C26" s="39">
        <f>IF(ISERROR(B26*3.6/1000000/'E Balans VL '!Z12*100),0,B26*3.6/1000000/'E Balans VL '!Z12*100)</f>
        <v>2.0595420417887055E-2</v>
      </c>
      <c r="D26" s="237" t="s">
        <v>702</v>
      </c>
      <c r="F26" s="6"/>
    </row>
    <row r="27" spans="1:18">
      <c r="A27" s="231" t="s">
        <v>52</v>
      </c>
      <c r="B27" s="33">
        <f>IF(ISERROR(TER_horeca_ele_kWh/1000),0,TER_horeca_ele_kWh/1000)</f>
        <v>530.57375191790209</v>
      </c>
      <c r="C27" s="39">
        <f>IF(ISERROR(B27*3.6/1000000/'E Balans VL '!Z9*100),0,B27*3.6/1000000/'E Balans VL '!Z9*100)</f>
        <v>3.9335525777423254E-2</v>
      </c>
      <c r="D27" s="237" t="s">
        <v>702</v>
      </c>
      <c r="F27" s="6"/>
    </row>
    <row r="28" spans="1:18">
      <c r="A28" s="171" t="s">
        <v>51</v>
      </c>
      <c r="B28" s="33">
        <f>IF(ISERROR(TER_handel_ele_kWh/1000),0,TER_handel_ele_kWh/1000)</f>
        <v>1395.9483895250501</v>
      </c>
      <c r="C28" s="39">
        <f>IF(ISERROR(B28*3.6/1000000/'E Balans VL '!Z13*100),0,B28*3.6/1000000/'E Balans VL '!Z13*100)</f>
        <v>4.1819294758957216E-2</v>
      </c>
      <c r="D28" s="237" t="s">
        <v>702</v>
      </c>
      <c r="F28" s="6"/>
    </row>
    <row r="29" spans="1:18">
      <c r="A29" s="231" t="s">
        <v>50</v>
      </c>
      <c r="B29" s="33">
        <f>IF(ISERROR(TER_gezond_ele_kWh/1000),0,TER_gezond_ele_kWh/1000)</f>
        <v>203.72716745976001</v>
      </c>
      <c r="C29" s="39">
        <f>IF(ISERROR(B29*3.6/1000000/'E Balans VL '!Z10*100),0,B29*3.6/1000000/'E Balans VL '!Z10*100)</f>
        <v>2.0144622168899701E-2</v>
      </c>
      <c r="D29" s="237" t="s">
        <v>702</v>
      </c>
      <c r="F29" s="6"/>
    </row>
    <row r="30" spans="1:18">
      <c r="A30" s="231" t="s">
        <v>49</v>
      </c>
      <c r="B30" s="33">
        <f>IF(ISERROR(TER_ander_ele_kWh/1000),0,TER_ander_ele_kWh/1000)</f>
        <v>360.72866781233103</v>
      </c>
      <c r="C30" s="39">
        <f>IF(ISERROR(B30*3.6/1000000/'E Balans VL '!Z14*100),0,B30*3.6/1000000/'E Balans VL '!Z14*100)</f>
        <v>1.4590408590273458E-2</v>
      </c>
      <c r="D30" s="237" t="s">
        <v>702</v>
      </c>
      <c r="F30" s="6"/>
    </row>
    <row r="31" spans="1:18">
      <c r="A31" s="231" t="s">
        <v>54</v>
      </c>
      <c r="B31" s="33">
        <f>IF(ISERROR(TER_onderwijs_ele_kWh/1000),0,TER_onderwijs_ele_kWh/1000)</f>
        <v>33.191618600663297</v>
      </c>
      <c r="C31" s="39">
        <f>IF(ISERROR(B31*3.6/1000000/'E Balans VL '!Z11*100),0,B31*3.6/1000000/'E Balans VL '!Z11*100)</f>
        <v>9.1191892529612351E-3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6151.6949661704148</v>
      </c>
      <c r="C5" s="17">
        <f>IF(ISERROR('Eigen informatie GS &amp; warmtenet'!B61),0,'Eigen informatie GS &amp; warmtenet'!B61)</f>
        <v>0</v>
      </c>
      <c r="D5" s="30">
        <f>SUM(D6:D15)</f>
        <v>443.93856399877728</v>
      </c>
      <c r="E5" s="17">
        <f>SUM(E6:E15)</f>
        <v>14.338382928698724</v>
      </c>
      <c r="F5" s="17">
        <f>SUM(F6:F15)</f>
        <v>429.37364365295258</v>
      </c>
      <c r="G5" s="18"/>
      <c r="H5" s="17"/>
      <c r="I5" s="17"/>
      <c r="J5" s="17">
        <f>SUM(J6:J15)</f>
        <v>0.96677834807079643</v>
      </c>
      <c r="K5" s="17"/>
      <c r="L5" s="17"/>
      <c r="M5" s="17"/>
      <c r="N5" s="17">
        <f>SUM(N6:N15)</f>
        <v>179.19440530343579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1081.5861070604699</v>
      </c>
      <c r="C8" s="33"/>
      <c r="D8" s="37">
        <f>IF( ISERROR(IND_metaal_Gas_kWH/1000),0,IND_metaal_Gas_kWH/1000)*0.903</f>
        <v>59.26588182475728</v>
      </c>
      <c r="E8" s="33">
        <f>C30*'E Balans VL '!I18/100/3.6*1000000</f>
        <v>5.4535458662136547</v>
      </c>
      <c r="F8" s="33">
        <f>C30*'E Balans VL '!L18/100/3.6*1000000+C30*'E Balans VL '!N18/100/3.6*1000000</f>
        <v>73.896173002612812</v>
      </c>
      <c r="G8" s="34"/>
      <c r="H8" s="33"/>
      <c r="I8" s="33"/>
      <c r="J8" s="40">
        <f>C30*'E Balans VL '!D18/100/3.6*1000000+C30*'E Balans VL '!E18/100/3.6*1000000</f>
        <v>0.95891834439258272</v>
      </c>
      <c r="K8" s="33"/>
      <c r="L8" s="33"/>
      <c r="M8" s="33"/>
      <c r="N8" s="33">
        <f>C30*'E Balans VL '!Y18/100/3.6*1000000</f>
        <v>14.374285781535916</v>
      </c>
      <c r="O8" s="33"/>
      <c r="P8" s="33"/>
      <c r="R8" s="32"/>
    </row>
    <row r="9" spans="1:18">
      <c r="A9" s="6" t="s">
        <v>32</v>
      </c>
      <c r="B9" s="37">
        <f t="shared" si="0"/>
        <v>457.87174871593402</v>
      </c>
      <c r="C9" s="33"/>
      <c r="D9" s="37">
        <f>IF( ISERROR(IND_andere_gas_kWh/1000),0,IND_andere_gas_kWh/1000)*0.903</f>
        <v>357.74378112192477</v>
      </c>
      <c r="E9" s="33">
        <f>C31*'E Balans VL '!I19/100/3.6*1000000</f>
        <v>1.4433199668752208</v>
      </c>
      <c r="F9" s="33">
        <f>C31*'E Balans VL '!L19/100/3.6*1000000+C31*'E Balans VL '!N19/100/3.6*1000000</f>
        <v>280.28982706815481</v>
      </c>
      <c r="G9" s="34"/>
      <c r="H9" s="33"/>
      <c r="I9" s="33"/>
      <c r="J9" s="40">
        <f>C31*'E Balans VL '!D19/100/3.6*1000000+C31*'E Balans VL '!E19/100/3.6*1000000</f>
        <v>0</v>
      </c>
      <c r="K9" s="33"/>
      <c r="L9" s="33"/>
      <c r="M9" s="33"/>
      <c r="N9" s="33">
        <f>C31*'E Balans VL '!Y19/100/3.6*1000000</f>
        <v>19.199184131472339</v>
      </c>
      <c r="O9" s="33"/>
      <c r="P9" s="33"/>
      <c r="R9" s="32"/>
    </row>
    <row r="10" spans="1:18">
      <c r="A10" s="6" t="s">
        <v>40</v>
      </c>
      <c r="B10" s="37">
        <f t="shared" si="0"/>
        <v>4608.3871103940101</v>
      </c>
      <c r="C10" s="33"/>
      <c r="D10" s="37">
        <f>IF( ISERROR(IND_voed_gas_kWh/1000),0,IND_voed_gas_kWh/1000)*0.903</f>
        <v>0</v>
      </c>
      <c r="E10" s="33">
        <f>C32*'E Balans VL '!I20/100/3.6*1000000</f>
        <v>7.3444748197587577</v>
      </c>
      <c r="F10" s="33">
        <f>C32*'E Balans VL '!L20/100/3.6*1000000+C32*'E Balans VL '!N20/100/3.6*1000000</f>
        <v>74.875095502607493</v>
      </c>
      <c r="G10" s="34"/>
      <c r="H10" s="33"/>
      <c r="I10" s="33"/>
      <c r="J10" s="40">
        <f>C32*'E Balans VL '!D20/100/3.6*1000000+C32*'E Balans VL '!E20/100/3.6*1000000</f>
        <v>0</v>
      </c>
      <c r="K10" s="33"/>
      <c r="L10" s="33"/>
      <c r="M10" s="33"/>
      <c r="N10" s="33">
        <f>C32*'E Balans VL '!Y20/100/3.6*1000000</f>
        <v>145.55588094542981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3.85</v>
      </c>
      <c r="C15" s="33"/>
      <c r="D15" s="37">
        <f>IF( ISERROR(IND_rest_gas_kWh/1000),0,IND_rest_gas_kWh/1000)*0.903</f>
        <v>26.928901052095249</v>
      </c>
      <c r="E15" s="33">
        <f>C37*'E Balans VL '!I15/100/3.6*1000000</f>
        <v>9.7042275851091125E-2</v>
      </c>
      <c r="F15" s="33">
        <f>C37*'E Balans VL '!L15/100/3.6*1000000+C37*'E Balans VL '!N15/100/3.6*1000000</f>
        <v>0.31254807957749864</v>
      </c>
      <c r="G15" s="34"/>
      <c r="H15" s="33"/>
      <c r="I15" s="33"/>
      <c r="J15" s="40">
        <f>C37*'E Balans VL '!D15/100/3.6*1000000+C37*'E Balans VL '!E15/100/3.6*1000000</f>
        <v>7.860003678213677E-3</v>
      </c>
      <c r="K15" s="33"/>
      <c r="L15" s="33"/>
      <c r="M15" s="33"/>
      <c r="N15" s="33">
        <f>C37*'E Balans VL '!Y15/100/3.6*1000000</f>
        <v>6.5054444997735703E-2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6151.6949661704148</v>
      </c>
      <c r="C18" s="21">
        <f>C5+C16</f>
        <v>0</v>
      </c>
      <c r="D18" s="21">
        <f>MAX((D5+D16),0)</f>
        <v>443.93856399877728</v>
      </c>
      <c r="E18" s="21">
        <f>MAX((E5+E16),0)</f>
        <v>14.338382928698724</v>
      </c>
      <c r="F18" s="21">
        <f>MAX((F5+F16),0)</f>
        <v>429.37364365295258</v>
      </c>
      <c r="G18" s="21"/>
      <c r="H18" s="21"/>
      <c r="I18" s="21"/>
      <c r="J18" s="21">
        <f>MAX((J5+J16),0)</f>
        <v>0.96677834807079643</v>
      </c>
      <c r="K18" s="21"/>
      <c r="L18" s="21">
        <f>MAX((L5+L16),0)</f>
        <v>0</v>
      </c>
      <c r="M18" s="21"/>
      <c r="N18" s="21">
        <f>MAX((N5+N16),0)</f>
        <v>179.19440530343579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0.17623896474067161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1084.1683522382748</v>
      </c>
      <c r="C22" s="23">
        <f ca="1">C18*C20</f>
        <v>0</v>
      </c>
      <c r="D22" s="23">
        <f>D18*D20</f>
        <v>89.675589927753023</v>
      </c>
      <c r="E22" s="23">
        <f>E18*E20</f>
        <v>3.2548129248146105</v>
      </c>
      <c r="F22" s="23">
        <f>F18*F20</f>
        <v>114.64276285533835</v>
      </c>
      <c r="G22" s="23"/>
      <c r="H22" s="23"/>
      <c r="I22" s="23"/>
      <c r="J22" s="23">
        <f>J18*J20</f>
        <v>0.34223953521706191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1081.5861070604699</v>
      </c>
      <c r="C30" s="39">
        <f>IF(ISERROR(B30*3.6/1000000/'E Balans VL '!Z18*100),0,B30*3.6/1000000/'E Balans VL '!Z18*100)</f>
        <v>5.3687496731155325E-2</v>
      </c>
      <c r="D30" s="237" t="s">
        <v>702</v>
      </c>
    </row>
    <row r="31" spans="1:18">
      <c r="A31" s="6" t="s">
        <v>32</v>
      </c>
      <c r="B31" s="37">
        <f>IF( ISERROR(IND_ander_ele_kWh/1000),0,IND_ander_ele_kWh/1000)</f>
        <v>457.87174871593402</v>
      </c>
      <c r="C31" s="39">
        <f>IF(ISERROR(B31*3.6/1000000/'E Balans VL '!Z19*100),0,B31*3.6/1000000/'E Balans VL '!Z19*100)</f>
        <v>1.545082523914623E-2</v>
      </c>
      <c r="D31" s="237" t="s">
        <v>702</v>
      </c>
    </row>
    <row r="32" spans="1:18">
      <c r="A32" s="171" t="s">
        <v>40</v>
      </c>
      <c r="B32" s="37">
        <f>IF( ISERROR(IND_voed_ele_kWh/1000),0,IND_voed_ele_kWh/1000)</f>
        <v>4608.3871103940101</v>
      </c>
      <c r="C32" s="39">
        <f>IF(ISERROR(B32*3.6/1000000/'E Balans VL '!Z20*100),0,B32*3.6/1000000/'E Balans VL '!Z20*100)</f>
        <v>0.1082248056956483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3.85</v>
      </c>
      <c r="C37" s="39">
        <f>IF(ISERROR(B37*3.6/1000000/'E Balans VL '!Z15*100),0,B37*3.6/1000000/'E Balans VL '!Z15*100)</f>
        <v>1.442798743035366E-5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5815.5881353757695</v>
      </c>
      <c r="C5" s="17">
        <f>'Eigen informatie GS &amp; warmtenet'!B62</f>
        <v>0</v>
      </c>
      <c r="D5" s="30">
        <f>IF(ISERROR(SUM(LB_lb_gas_kWh,LB_rest_gas_kWh)/1000),0,SUM(LB_lb_gas_kWh,LB_rest_gas_kWh)/1000)*0.903</f>
        <v>115.87016729459455</v>
      </c>
      <c r="E5" s="17">
        <f>B17*'E Balans VL '!I25/3.6*1000000/100</f>
        <v>216.88107018330379</v>
      </c>
      <c r="F5" s="17">
        <f>B17*('E Balans VL '!L25/3.6*1000000+'E Balans VL '!N25/3.6*1000000)/100</f>
        <v>18868.015142872424</v>
      </c>
      <c r="G5" s="18"/>
      <c r="H5" s="17"/>
      <c r="I5" s="17"/>
      <c r="J5" s="17">
        <f>('E Balans VL '!D25+'E Balans VL '!E25)/3.6*1000000*landbouw!B17/100</f>
        <v>1526.6205965546908</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5815.5881353757695</v>
      </c>
      <c r="C8" s="21">
        <f>C5+C6</f>
        <v>62.357142857142847</v>
      </c>
      <c r="D8" s="21">
        <f>MAX((D5+D6),0)</f>
        <v>115.87016729459455</v>
      </c>
      <c r="E8" s="21">
        <f>MAX((E5+E6),0)</f>
        <v>216.88107018330379</v>
      </c>
      <c r="F8" s="21">
        <f>MAX((F5+F6),0)</f>
        <v>18868.015142872424</v>
      </c>
      <c r="G8" s="21"/>
      <c r="H8" s="21"/>
      <c r="I8" s="21"/>
      <c r="J8" s="21">
        <f>MAX((J5+J6),0)</f>
        <v>1526.6205965546908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0.17623896474067161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1024.9332323367585</v>
      </c>
      <c r="C12" s="23">
        <f ca="1">C8*C10</f>
        <v>0</v>
      </c>
      <c r="D12" s="23">
        <f>D8*D10</f>
        <v>23.4057737935081</v>
      </c>
      <c r="E12" s="23">
        <f>E8*E10</f>
        <v>49.232002931609962</v>
      </c>
      <c r="F12" s="23">
        <f>F8*F10</f>
        <v>5037.7600431469373</v>
      </c>
      <c r="G12" s="23"/>
      <c r="H12" s="23"/>
      <c r="I12" s="23"/>
      <c r="J12" s="23">
        <f>J8*J10</f>
        <v>540.42369118036049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0.79875585450988273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1253.8460015268918</v>
      </c>
      <c r="C26" s="247">
        <f>B26*'GWP N2O_CH4'!B5</f>
        <v>26330.766032064726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616.83461531686487</v>
      </c>
      <c r="C27" s="247">
        <f>B27*'GWP N2O_CH4'!B5</f>
        <v>12953.526921654162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15.810229640531517</v>
      </c>
      <c r="C28" s="247">
        <f>B28*'GWP N2O_CH4'!B4</f>
        <v>4901.1711885647701</v>
      </c>
      <c r="D28" s="50"/>
    </row>
    <row r="29" spans="1:4">
      <c r="A29" s="41" t="s">
        <v>276</v>
      </c>
      <c r="B29" s="247">
        <f>B34*'ha_N2O bodem landbouw'!B4</f>
        <v>35.587443768362526</v>
      </c>
      <c r="C29" s="247">
        <f>B29*'GWP N2O_CH4'!B4</f>
        <v>11032.107568192383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8.1104800658543755E-3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4.0093401993439605E-5</v>
      </c>
      <c r="C5" s="440" t="s">
        <v>210</v>
      </c>
      <c r="D5" s="425">
        <f>SUM(D6:D11)</f>
        <v>2.0662350574473289E-4</v>
      </c>
      <c r="E5" s="425">
        <f>SUM(E6:E11)</f>
        <v>1.0821982650040238E-4</v>
      </c>
      <c r="F5" s="438" t="s">
        <v>210</v>
      </c>
      <c r="G5" s="425">
        <f>SUM(G6:G11)</f>
        <v>4.320493883409935E-2</v>
      </c>
      <c r="H5" s="425">
        <f>SUM(H6:H11)</f>
        <v>1.3078652658403744E-2</v>
      </c>
      <c r="I5" s="440" t="s">
        <v>210</v>
      </c>
      <c r="J5" s="440" t="s">
        <v>210</v>
      </c>
      <c r="K5" s="440" t="s">
        <v>210</v>
      </c>
      <c r="L5" s="440" t="s">
        <v>210</v>
      </c>
      <c r="M5" s="425">
        <f>SUM(M6:M11)</f>
        <v>3.3416852572916806E-3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1.5468132914689951E-5</v>
      </c>
      <c r="C6" s="426"/>
      <c r="D6" s="893">
        <f>vkm_GW_PW*SUMIFS(TableVerdeelsleutelVkm[CNG],TableVerdeelsleutelVkm[Voertuigtype],"Lichte voertuigen")*SUMIFS(TableECFTransport[EnergieConsumptieFactor (PJ per km)],TableECFTransport[Index],CONCATENATE($A6,"_CNG_CNG"))</f>
        <v>5.58661756796869E-5</v>
      </c>
      <c r="E6" s="893">
        <f>vkm_GW_PW*SUMIFS(TableVerdeelsleutelVkm[LPG],TableVerdeelsleutelVkm[Voertuigtype],"Lichte voertuigen")*SUMIFS(TableECFTransport[EnergieConsumptieFactor (PJ per km)],TableECFTransport[Index],CONCATENATE($A6,"_LPG_LPG"))</f>
        <v>3.036183247102588E-5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9.4484151953402387E-3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3.5758457789515263E-3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7.8054186922097541E-4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6.8507371146785843E-3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7.2121429912868737E-8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3.8570723013272109E-4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2.4625269078749651E-5</v>
      </c>
      <c r="C8" s="426"/>
      <c r="D8" s="428">
        <f>vkm_NGW_PW*SUMIFS(TableVerdeelsleutelVkm[CNG],TableVerdeelsleutelVkm[Voertuigtype],"Lichte voertuigen")*SUMIFS(TableECFTransport[EnergieConsumptieFactor (PJ per km)],TableECFTransport[Index],CONCATENATE($A8,"_CNG_CNG"))</f>
        <v>1.5075733006504599E-4</v>
      </c>
      <c r="E8" s="428">
        <f>vkm_NGW_PW*SUMIFS(TableVerdeelsleutelVkm[LPG],TableVerdeelsleutelVkm[Voertuigtype],"Lichte voertuigen")*SUMIFS(TableECFTransport[EnergieConsumptieFactor (PJ per km)],TableECFTransport[Index],CONCATENATE($A8,"_LPG_LPG"))</f>
        <v>7.7857994029376508E-5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2.2547694287029008E-2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9.5026681193470814E-3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1.930067295626199E-3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4.3580922370515191E-3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6.6638675224241932E-8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2.4536886231178528E-4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11.13705610928878</v>
      </c>
      <c r="C14" s="21"/>
      <c r="D14" s="21">
        <f t="shared" ref="D14:M14" si="0">((D5)*10^9/3600)+D12</f>
        <v>57.3954182624258</v>
      </c>
      <c r="E14" s="21">
        <f t="shared" si="0"/>
        <v>30.06106291677844</v>
      </c>
      <c r="F14" s="21"/>
      <c r="G14" s="21">
        <f t="shared" si="0"/>
        <v>12001.371898360931</v>
      </c>
      <c r="H14" s="21">
        <f t="shared" si="0"/>
        <v>3632.9590717788178</v>
      </c>
      <c r="I14" s="21"/>
      <c r="J14" s="21"/>
      <c r="K14" s="21"/>
      <c r="L14" s="21"/>
      <c r="M14" s="21">
        <f t="shared" si="0"/>
        <v>928.24590480324468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0.17623896474067161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1.9627832389598265</v>
      </c>
      <c r="C18" s="23"/>
      <c r="D18" s="23">
        <f t="shared" ref="D18:M18" si="1">D14*D16</f>
        <v>11.593874489010012</v>
      </c>
      <c r="E18" s="23">
        <f t="shared" si="1"/>
        <v>6.8238612821087061</v>
      </c>
      <c r="F18" s="23"/>
      <c r="G18" s="23">
        <f t="shared" si="1"/>
        <v>3204.3662968623685</v>
      </c>
      <c r="H18" s="23">
        <f t="shared" si="1"/>
        <v>904.60680887292563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7.3654930770889772E-4</v>
      </c>
      <c r="H50" s="321">
        <f t="shared" si="2"/>
        <v>0</v>
      </c>
      <c r="I50" s="321">
        <f t="shared" si="2"/>
        <v>0</v>
      </c>
      <c r="J50" s="321">
        <f t="shared" si="2"/>
        <v>0</v>
      </c>
      <c r="K50" s="321">
        <f t="shared" si="2"/>
        <v>0</v>
      </c>
      <c r="L50" s="321">
        <f t="shared" si="2"/>
        <v>0</v>
      </c>
      <c r="M50" s="321">
        <f t="shared" si="2"/>
        <v>3.9969360517941322E-5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7.3654930770889772E-4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3.9969360517941322E-5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204.59702991913827</v>
      </c>
      <c r="H54" s="21">
        <f t="shared" si="3"/>
        <v>0</v>
      </c>
      <c r="I54" s="21">
        <f t="shared" si="3"/>
        <v>0</v>
      </c>
      <c r="J54" s="21">
        <f t="shared" si="3"/>
        <v>0</v>
      </c>
      <c r="K54" s="21">
        <f t="shared" si="3"/>
        <v>0</v>
      </c>
      <c r="L54" s="21">
        <f t="shared" si="3"/>
        <v>0</v>
      </c>
      <c r="M54" s="21">
        <f t="shared" si="3"/>
        <v>11.102600143872589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0.17623896474067161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54.627406988409923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3453.7900767689493</v>
      </c>
      <c r="D10" s="689">
        <f ca="1">tertiair!C16</f>
        <v>0</v>
      </c>
      <c r="E10" s="689">
        <f ca="1">tertiair!D16</f>
        <v>3798.9942539785457</v>
      </c>
      <c r="F10" s="689">
        <f>tertiair!E16</f>
        <v>10.247380633875851</v>
      </c>
      <c r="G10" s="689">
        <f ca="1">tertiair!F16</f>
        <v>484.09053558113777</v>
      </c>
      <c r="H10" s="689">
        <f>tertiair!G16</f>
        <v>0</v>
      </c>
      <c r="I10" s="689">
        <f>tertiair!H16</f>
        <v>0</v>
      </c>
      <c r="J10" s="689">
        <f>tertiair!I16</f>
        <v>0</v>
      </c>
      <c r="K10" s="689">
        <f>tertiair!J16</f>
        <v>3.5624914307917695E-3</v>
      </c>
      <c r="L10" s="689">
        <f>tertiair!K16</f>
        <v>0</v>
      </c>
      <c r="M10" s="689">
        <f ca="1">tertiair!L16</f>
        <v>0</v>
      </c>
      <c r="N10" s="689">
        <f>tertiair!M16</f>
        <v>0</v>
      </c>
      <c r="O10" s="689">
        <f ca="1">tertiair!N16</f>
        <v>131.38150823496468</v>
      </c>
      <c r="P10" s="689">
        <f>tertiair!O16</f>
        <v>4.8972607658411542</v>
      </c>
      <c r="Q10" s="690">
        <f>tertiair!P16</f>
        <v>105.07827661299004</v>
      </c>
      <c r="R10" s="692">
        <f ca="1">SUM(C10:Q10)</f>
        <v>7988.4828550677348</v>
      </c>
      <c r="S10" s="67"/>
    </row>
    <row r="11" spans="1:19" s="451" customFormat="1">
      <c r="A11" s="811" t="s">
        <v>224</v>
      </c>
      <c r="B11" s="816"/>
      <c r="C11" s="689">
        <f>huishoudens!B8</f>
        <v>5519.2330577296652</v>
      </c>
      <c r="D11" s="689">
        <f>huishoudens!C8</f>
        <v>0</v>
      </c>
      <c r="E11" s="689">
        <f>huishoudens!D8</f>
        <v>7385.9310671748308</v>
      </c>
      <c r="F11" s="689">
        <f>huishoudens!E8</f>
        <v>4514.772100778443</v>
      </c>
      <c r="G11" s="689">
        <f>huishoudens!F8</f>
        <v>5442.2058959417918</v>
      </c>
      <c r="H11" s="689">
        <f>huishoudens!G8</f>
        <v>0</v>
      </c>
      <c r="I11" s="689">
        <f>huishoudens!H8</f>
        <v>0</v>
      </c>
      <c r="J11" s="689">
        <f>huishoudens!I8</f>
        <v>0</v>
      </c>
      <c r="K11" s="689">
        <f>huishoudens!J8</f>
        <v>1019.5641290640233</v>
      </c>
      <c r="L11" s="689">
        <f>huishoudens!K8</f>
        <v>0</v>
      </c>
      <c r="M11" s="689">
        <f>huishoudens!L8</f>
        <v>0</v>
      </c>
      <c r="N11" s="689">
        <f>huishoudens!M8</f>
        <v>0</v>
      </c>
      <c r="O11" s="689">
        <f>huishoudens!N8</f>
        <v>5288.9162729239952</v>
      </c>
      <c r="P11" s="689">
        <f>huishoudens!O8</f>
        <v>154.7487411121885</v>
      </c>
      <c r="Q11" s="690">
        <f>huishoudens!P8</f>
        <v>189.61126753833042</v>
      </c>
      <c r="R11" s="692">
        <f>SUM(C11:Q11)</f>
        <v>29514.982532263264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6151.6949661704148</v>
      </c>
      <c r="D13" s="689">
        <f>industrie!C18</f>
        <v>0</v>
      </c>
      <c r="E13" s="689">
        <f>industrie!D18</f>
        <v>443.93856399877728</v>
      </c>
      <c r="F13" s="689">
        <f>industrie!E18</f>
        <v>14.338382928698724</v>
      </c>
      <c r="G13" s="689">
        <f>industrie!F18</f>
        <v>429.37364365295258</v>
      </c>
      <c r="H13" s="689">
        <f>industrie!G18</f>
        <v>0</v>
      </c>
      <c r="I13" s="689">
        <f>industrie!H18</f>
        <v>0</v>
      </c>
      <c r="J13" s="689">
        <f>industrie!I18</f>
        <v>0</v>
      </c>
      <c r="K13" s="689">
        <f>industrie!J18</f>
        <v>0.96677834807079643</v>
      </c>
      <c r="L13" s="689">
        <f>industrie!K18</f>
        <v>0</v>
      </c>
      <c r="M13" s="689">
        <f>industrie!L18</f>
        <v>0</v>
      </c>
      <c r="N13" s="689">
        <f>industrie!M18</f>
        <v>0</v>
      </c>
      <c r="O13" s="689">
        <f>industrie!N18</f>
        <v>179.19440530343579</v>
      </c>
      <c r="P13" s="689">
        <f>industrie!O18</f>
        <v>0</v>
      </c>
      <c r="Q13" s="690">
        <f>industrie!P18</f>
        <v>0</v>
      </c>
      <c r="R13" s="692">
        <f>SUM(C13:Q13)</f>
        <v>7219.5067404023503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15124.71810066903</v>
      </c>
      <c r="D16" s="725">
        <f t="shared" ref="D16:R16" ca="1" si="0">SUM(D9:D15)</f>
        <v>0</v>
      </c>
      <c r="E16" s="725">
        <f t="shared" ca="1" si="0"/>
        <v>11628.863885152154</v>
      </c>
      <c r="F16" s="725">
        <f t="shared" si="0"/>
        <v>4539.3578643410174</v>
      </c>
      <c r="G16" s="725">
        <f t="shared" ca="1" si="0"/>
        <v>6355.6700751758817</v>
      </c>
      <c r="H16" s="725">
        <f t="shared" si="0"/>
        <v>0</v>
      </c>
      <c r="I16" s="725">
        <f t="shared" si="0"/>
        <v>0</v>
      </c>
      <c r="J16" s="725">
        <f t="shared" si="0"/>
        <v>0</v>
      </c>
      <c r="K16" s="725">
        <f t="shared" si="0"/>
        <v>1020.5344699035248</v>
      </c>
      <c r="L16" s="725">
        <f t="shared" si="0"/>
        <v>0</v>
      </c>
      <c r="M16" s="725">
        <f t="shared" ca="1" si="0"/>
        <v>0</v>
      </c>
      <c r="N16" s="725">
        <f t="shared" si="0"/>
        <v>0</v>
      </c>
      <c r="O16" s="725">
        <f t="shared" ca="1" si="0"/>
        <v>5599.4921864623957</v>
      </c>
      <c r="P16" s="725">
        <f t="shared" si="0"/>
        <v>159.64600187802967</v>
      </c>
      <c r="Q16" s="725">
        <f t="shared" si="0"/>
        <v>294.68954415132043</v>
      </c>
      <c r="R16" s="725">
        <f t="shared" ca="1" si="0"/>
        <v>44722.972127733352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204.59702991913827</v>
      </c>
      <c r="I19" s="689">
        <f>transport!H54</f>
        <v>0</v>
      </c>
      <c r="J19" s="689">
        <f>transport!I54</f>
        <v>0</v>
      </c>
      <c r="K19" s="689">
        <f>transport!J54</f>
        <v>0</v>
      </c>
      <c r="L19" s="689">
        <f>transport!K54</f>
        <v>0</v>
      </c>
      <c r="M19" s="689">
        <f>transport!L54</f>
        <v>0</v>
      </c>
      <c r="N19" s="689">
        <f>transport!M54</f>
        <v>11.102600143872589</v>
      </c>
      <c r="O19" s="689">
        <f>transport!N54</f>
        <v>0</v>
      </c>
      <c r="P19" s="689">
        <f>transport!O54</f>
        <v>0</v>
      </c>
      <c r="Q19" s="690">
        <f>transport!P54</f>
        <v>0</v>
      </c>
      <c r="R19" s="692">
        <f>SUM(C19:Q19)</f>
        <v>215.69963006301086</v>
      </c>
      <c r="S19" s="67"/>
    </row>
    <row r="20" spans="1:19" s="451" customFormat="1">
      <c r="A20" s="811" t="s">
        <v>306</v>
      </c>
      <c r="B20" s="816"/>
      <c r="C20" s="689">
        <f>transport!B14</f>
        <v>11.13705610928878</v>
      </c>
      <c r="D20" s="689">
        <f>transport!C14</f>
        <v>0</v>
      </c>
      <c r="E20" s="689">
        <f>transport!D14</f>
        <v>57.3954182624258</v>
      </c>
      <c r="F20" s="689">
        <f>transport!E14</f>
        <v>30.06106291677844</v>
      </c>
      <c r="G20" s="689">
        <f>transport!F14</f>
        <v>0</v>
      </c>
      <c r="H20" s="689">
        <f>transport!G14</f>
        <v>12001.371898360931</v>
      </c>
      <c r="I20" s="689">
        <f>transport!H14</f>
        <v>3632.9590717788178</v>
      </c>
      <c r="J20" s="689">
        <f>transport!I14</f>
        <v>0</v>
      </c>
      <c r="K20" s="689">
        <f>transport!J14</f>
        <v>0</v>
      </c>
      <c r="L20" s="689">
        <f>transport!K14</f>
        <v>0</v>
      </c>
      <c r="M20" s="689">
        <f>transport!L14</f>
        <v>0</v>
      </c>
      <c r="N20" s="689">
        <f>transport!M14</f>
        <v>928.24590480324468</v>
      </c>
      <c r="O20" s="689">
        <f>transport!N14</f>
        <v>0</v>
      </c>
      <c r="P20" s="689">
        <f>transport!O14</f>
        <v>0</v>
      </c>
      <c r="Q20" s="690">
        <f>transport!P14</f>
        <v>0</v>
      </c>
      <c r="R20" s="692">
        <f>SUM(C20:Q20)</f>
        <v>16661.170412231484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11.13705610928878</v>
      </c>
      <c r="D22" s="814">
        <f t="shared" ref="D22:R22" si="1">SUM(D18:D21)</f>
        <v>0</v>
      </c>
      <c r="E22" s="814">
        <f t="shared" si="1"/>
        <v>57.3954182624258</v>
      </c>
      <c r="F22" s="814">
        <f t="shared" si="1"/>
        <v>30.06106291677844</v>
      </c>
      <c r="G22" s="814">
        <f t="shared" si="1"/>
        <v>0</v>
      </c>
      <c r="H22" s="814">
        <f t="shared" si="1"/>
        <v>12205.968928280068</v>
      </c>
      <c r="I22" s="814">
        <f t="shared" si="1"/>
        <v>3632.9590717788178</v>
      </c>
      <c r="J22" s="814">
        <f t="shared" si="1"/>
        <v>0</v>
      </c>
      <c r="K22" s="814">
        <f t="shared" si="1"/>
        <v>0</v>
      </c>
      <c r="L22" s="814">
        <f t="shared" si="1"/>
        <v>0</v>
      </c>
      <c r="M22" s="814">
        <f t="shared" si="1"/>
        <v>0</v>
      </c>
      <c r="N22" s="814">
        <f t="shared" si="1"/>
        <v>939.34850494711725</v>
      </c>
      <c r="O22" s="814">
        <f t="shared" si="1"/>
        <v>0</v>
      </c>
      <c r="P22" s="814">
        <f t="shared" si="1"/>
        <v>0</v>
      </c>
      <c r="Q22" s="814">
        <f t="shared" si="1"/>
        <v>0</v>
      </c>
      <c r="R22" s="814">
        <f t="shared" si="1"/>
        <v>16876.870042294497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5815.5881353757695</v>
      </c>
      <c r="D24" s="689">
        <f>+landbouw!C8</f>
        <v>62.357142857142847</v>
      </c>
      <c r="E24" s="689">
        <f>+landbouw!D8</f>
        <v>115.87016729459455</v>
      </c>
      <c r="F24" s="689">
        <f>+landbouw!E8</f>
        <v>216.88107018330379</v>
      </c>
      <c r="G24" s="689">
        <f>+landbouw!F8</f>
        <v>18868.015142872424</v>
      </c>
      <c r="H24" s="689">
        <f>+landbouw!G8</f>
        <v>0</v>
      </c>
      <c r="I24" s="689">
        <f>+landbouw!H8</f>
        <v>0</v>
      </c>
      <c r="J24" s="689">
        <f>+landbouw!I8</f>
        <v>0</v>
      </c>
      <c r="K24" s="689">
        <f>+landbouw!J8</f>
        <v>1526.6205965546908</v>
      </c>
      <c r="L24" s="689">
        <f>+landbouw!K8</f>
        <v>0</v>
      </c>
      <c r="M24" s="689">
        <f>+landbouw!L8</f>
        <v>0</v>
      </c>
      <c r="N24" s="689">
        <f>+landbouw!M8</f>
        <v>0</v>
      </c>
      <c r="O24" s="689">
        <f>+landbouw!N8</f>
        <v>0</v>
      </c>
      <c r="P24" s="689">
        <f>+landbouw!O8</f>
        <v>0</v>
      </c>
      <c r="Q24" s="690">
        <f>+landbouw!P8</f>
        <v>0</v>
      </c>
      <c r="R24" s="692">
        <f>SUM(C24:Q24)</f>
        <v>26605.332255137924</v>
      </c>
      <c r="S24" s="67"/>
    </row>
    <row r="25" spans="1:19" s="451" customFormat="1" ht="15" thickBot="1">
      <c r="A25" s="833" t="s">
        <v>714</v>
      </c>
      <c r="B25" s="947"/>
      <c r="C25" s="948">
        <f>IF(Onbekend_ele_kWh="---",0,Onbekend_ele_kWh)/1000+IF(REST_rest_ele_kWh="---",0,REST_rest_ele_kWh)/1000</f>
        <v>179.616653335065</v>
      </c>
      <c r="D25" s="948"/>
      <c r="E25" s="948">
        <f>IF(onbekend_gas_kWh="---",0,onbekend_gas_kWh)/1000+IF(REST_rest_gas_kWh="---",0,REST_rest_gas_kWh)/1000</f>
        <v>500.97822194634199</v>
      </c>
      <c r="F25" s="948"/>
      <c r="G25" s="948"/>
      <c r="H25" s="948"/>
      <c r="I25" s="948"/>
      <c r="J25" s="948"/>
      <c r="K25" s="948"/>
      <c r="L25" s="948"/>
      <c r="M25" s="948"/>
      <c r="N25" s="948"/>
      <c r="O25" s="948"/>
      <c r="P25" s="948"/>
      <c r="Q25" s="949"/>
      <c r="R25" s="692">
        <f>SUM(C25:Q25)</f>
        <v>680.59487528140698</v>
      </c>
      <c r="S25" s="67"/>
    </row>
    <row r="26" spans="1:19" s="451" customFormat="1" ht="15.75" thickBot="1">
      <c r="A26" s="697" t="s">
        <v>715</v>
      </c>
      <c r="B26" s="819"/>
      <c r="C26" s="814">
        <f>SUM(C24:C25)</f>
        <v>5995.2047887108347</v>
      </c>
      <c r="D26" s="814">
        <f t="shared" ref="D26:R26" si="2">SUM(D24:D25)</f>
        <v>62.357142857142847</v>
      </c>
      <c r="E26" s="814">
        <f t="shared" si="2"/>
        <v>616.84838924093651</v>
      </c>
      <c r="F26" s="814">
        <f t="shared" si="2"/>
        <v>216.88107018330379</v>
      </c>
      <c r="G26" s="814">
        <f t="shared" si="2"/>
        <v>18868.015142872424</v>
      </c>
      <c r="H26" s="814">
        <f t="shared" si="2"/>
        <v>0</v>
      </c>
      <c r="I26" s="814">
        <f t="shared" si="2"/>
        <v>0</v>
      </c>
      <c r="J26" s="814">
        <f t="shared" si="2"/>
        <v>0</v>
      </c>
      <c r="K26" s="814">
        <f t="shared" si="2"/>
        <v>1526.6205965546908</v>
      </c>
      <c r="L26" s="814">
        <f t="shared" si="2"/>
        <v>0</v>
      </c>
      <c r="M26" s="814">
        <f t="shared" si="2"/>
        <v>0</v>
      </c>
      <c r="N26" s="814">
        <f t="shared" si="2"/>
        <v>0</v>
      </c>
      <c r="O26" s="814">
        <f t="shared" si="2"/>
        <v>0</v>
      </c>
      <c r="P26" s="814">
        <f t="shared" si="2"/>
        <v>0</v>
      </c>
      <c r="Q26" s="814">
        <f t="shared" si="2"/>
        <v>0</v>
      </c>
      <c r="R26" s="814">
        <f t="shared" si="2"/>
        <v>27285.927130419332</v>
      </c>
      <c r="S26" s="67"/>
    </row>
    <row r="27" spans="1:19" s="451" customFormat="1" ht="17.25" thickTop="1" thickBot="1">
      <c r="A27" s="698" t="s">
        <v>115</v>
      </c>
      <c r="B27" s="806"/>
      <c r="C27" s="699">
        <f ca="1">C22+C16+C26</f>
        <v>21131.059945489153</v>
      </c>
      <c r="D27" s="699">
        <f t="shared" ref="D27:R27" ca="1" si="3">D22+D16+D26</f>
        <v>62.357142857142847</v>
      </c>
      <c r="E27" s="699">
        <f t="shared" ca="1" si="3"/>
        <v>12303.107692655516</v>
      </c>
      <c r="F27" s="699">
        <f t="shared" si="3"/>
        <v>4786.2999974410995</v>
      </c>
      <c r="G27" s="699">
        <f t="shared" ca="1" si="3"/>
        <v>25223.685218048304</v>
      </c>
      <c r="H27" s="699">
        <f t="shared" si="3"/>
        <v>12205.968928280068</v>
      </c>
      <c r="I27" s="699">
        <f t="shared" si="3"/>
        <v>3632.9590717788178</v>
      </c>
      <c r="J27" s="699">
        <f t="shared" si="3"/>
        <v>0</v>
      </c>
      <c r="K27" s="699">
        <f t="shared" si="3"/>
        <v>2547.1550664582155</v>
      </c>
      <c r="L27" s="699">
        <f t="shared" si="3"/>
        <v>0</v>
      </c>
      <c r="M27" s="699">
        <f t="shared" ca="1" si="3"/>
        <v>0</v>
      </c>
      <c r="N27" s="699">
        <f t="shared" si="3"/>
        <v>939.34850494711725</v>
      </c>
      <c r="O27" s="699">
        <f t="shared" ca="1" si="3"/>
        <v>5599.4921864623957</v>
      </c>
      <c r="P27" s="699">
        <f t="shared" si="3"/>
        <v>159.64600187802967</v>
      </c>
      <c r="Q27" s="699">
        <f t="shared" si="3"/>
        <v>294.68954415132043</v>
      </c>
      <c r="R27" s="699">
        <f t="shared" ca="1" si="3"/>
        <v>88885.76930044718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608.6923875613644</v>
      </c>
      <c r="D40" s="689">
        <f ca="1">tertiair!C20</f>
        <v>0</v>
      </c>
      <c r="E40" s="689">
        <f ca="1">tertiair!D20</f>
        <v>767.3968393036663</v>
      </c>
      <c r="F40" s="689">
        <f>tertiair!E20</f>
        <v>2.3261554038898185</v>
      </c>
      <c r="G40" s="689">
        <f ca="1">tertiair!F20</f>
        <v>129.25217300016379</v>
      </c>
      <c r="H40" s="689">
        <f>tertiair!G20</f>
        <v>0</v>
      </c>
      <c r="I40" s="689">
        <f>tertiair!H20</f>
        <v>0</v>
      </c>
      <c r="J40" s="689">
        <f>tertiair!I20</f>
        <v>0</v>
      </c>
      <c r="K40" s="689">
        <f>tertiair!J20</f>
        <v>1.2611219665002863E-3</v>
      </c>
      <c r="L40" s="689">
        <f>tertiair!K20</f>
        <v>0</v>
      </c>
      <c r="M40" s="689">
        <f ca="1">tertiair!L20</f>
        <v>0</v>
      </c>
      <c r="N40" s="689">
        <f>tertiair!M20</f>
        <v>0</v>
      </c>
      <c r="O40" s="689">
        <f ca="1">tertiair!N20</f>
        <v>0</v>
      </c>
      <c r="P40" s="689">
        <f>tertiair!O20</f>
        <v>0</v>
      </c>
      <c r="Q40" s="772">
        <f>tertiair!P20</f>
        <v>0</v>
      </c>
      <c r="R40" s="852">
        <f t="shared" ca="1" si="4"/>
        <v>1507.6688163910508</v>
      </c>
    </row>
    <row r="41" spans="1:18">
      <c r="A41" s="824" t="s">
        <v>224</v>
      </c>
      <c r="B41" s="831"/>
      <c r="C41" s="689">
        <f ca="1">huishoudens!B12</f>
        <v>972.70392025676756</v>
      </c>
      <c r="D41" s="689">
        <f ca="1">huishoudens!C12</f>
        <v>0</v>
      </c>
      <c r="E41" s="689">
        <f>huishoudens!D12</f>
        <v>1491.958075569316</v>
      </c>
      <c r="F41" s="689">
        <f>huishoudens!E12</f>
        <v>1024.8532668767066</v>
      </c>
      <c r="G41" s="689">
        <f>huishoudens!F12</f>
        <v>1453.0689742164584</v>
      </c>
      <c r="H41" s="689">
        <f>huishoudens!G12</f>
        <v>0</v>
      </c>
      <c r="I41" s="689">
        <f>huishoudens!H12</f>
        <v>0</v>
      </c>
      <c r="J41" s="689">
        <f>huishoudens!I12</f>
        <v>0</v>
      </c>
      <c r="K41" s="689">
        <f>huishoudens!J12</f>
        <v>360.92570168866422</v>
      </c>
      <c r="L41" s="689">
        <f>huishoudens!K12</f>
        <v>0</v>
      </c>
      <c r="M41" s="689">
        <f>huishoudens!L12</f>
        <v>0</v>
      </c>
      <c r="N41" s="689">
        <f>huishoudens!M12</f>
        <v>0</v>
      </c>
      <c r="O41" s="689">
        <f>huishoudens!N12</f>
        <v>0</v>
      </c>
      <c r="P41" s="689">
        <f>huishoudens!O12</f>
        <v>0</v>
      </c>
      <c r="Q41" s="772">
        <f>huishoudens!P12</f>
        <v>0</v>
      </c>
      <c r="R41" s="852">
        <f t="shared" ca="1" si="4"/>
        <v>5303.5099386079128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1084.1683522382748</v>
      </c>
      <c r="D43" s="689">
        <f ca="1">industrie!C22</f>
        <v>0</v>
      </c>
      <c r="E43" s="689">
        <f>industrie!D22</f>
        <v>89.675589927753023</v>
      </c>
      <c r="F43" s="689">
        <f>industrie!E22</f>
        <v>3.2548129248146105</v>
      </c>
      <c r="G43" s="689">
        <f>industrie!F22</f>
        <v>114.64276285533835</v>
      </c>
      <c r="H43" s="689">
        <f>industrie!G22</f>
        <v>0</v>
      </c>
      <c r="I43" s="689">
        <f>industrie!H22</f>
        <v>0</v>
      </c>
      <c r="J43" s="689">
        <f>industrie!I22</f>
        <v>0</v>
      </c>
      <c r="K43" s="689">
        <f>industrie!J22</f>
        <v>0.34223953521706191</v>
      </c>
      <c r="L43" s="689">
        <f>industrie!K22</f>
        <v>0</v>
      </c>
      <c r="M43" s="689">
        <f>industrie!L22</f>
        <v>0</v>
      </c>
      <c r="N43" s="689">
        <f>industrie!M22</f>
        <v>0</v>
      </c>
      <c r="O43" s="689">
        <f>industrie!N22</f>
        <v>0</v>
      </c>
      <c r="P43" s="689">
        <f>industrie!O22</f>
        <v>0</v>
      </c>
      <c r="Q43" s="772">
        <f>industrie!P22</f>
        <v>0</v>
      </c>
      <c r="R43" s="851">
        <f t="shared" ca="1" si="4"/>
        <v>1292.0837574813977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2665.5646600564069</v>
      </c>
      <c r="D46" s="725">
        <f t="shared" ref="D46:Q46" ca="1" si="5">SUM(D39:D45)</f>
        <v>0</v>
      </c>
      <c r="E46" s="725">
        <f t="shared" ca="1" si="5"/>
        <v>2349.0305048007353</v>
      </c>
      <c r="F46" s="725">
        <f t="shared" si="5"/>
        <v>1030.4342352054109</v>
      </c>
      <c r="G46" s="725">
        <f t="shared" ca="1" si="5"/>
        <v>1696.9639100719605</v>
      </c>
      <c r="H46" s="725">
        <f t="shared" si="5"/>
        <v>0</v>
      </c>
      <c r="I46" s="725">
        <f t="shared" si="5"/>
        <v>0</v>
      </c>
      <c r="J46" s="725">
        <f t="shared" si="5"/>
        <v>0</v>
      </c>
      <c r="K46" s="725">
        <f t="shared" si="5"/>
        <v>361.26920234584776</v>
      </c>
      <c r="L46" s="725">
        <f t="shared" si="5"/>
        <v>0</v>
      </c>
      <c r="M46" s="725">
        <f t="shared" ca="1" si="5"/>
        <v>0</v>
      </c>
      <c r="N46" s="725">
        <f t="shared" si="5"/>
        <v>0</v>
      </c>
      <c r="O46" s="725">
        <f t="shared" ca="1" si="5"/>
        <v>0</v>
      </c>
      <c r="P46" s="725">
        <f t="shared" si="5"/>
        <v>0</v>
      </c>
      <c r="Q46" s="725">
        <f t="shared" si="5"/>
        <v>0</v>
      </c>
      <c r="R46" s="725">
        <f ca="1">SUM(R39:R45)</f>
        <v>8103.2625124803617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54.627406988409923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54.627406988409923</v>
      </c>
    </row>
    <row r="50" spans="1:18">
      <c r="A50" s="827" t="s">
        <v>306</v>
      </c>
      <c r="B50" s="837"/>
      <c r="C50" s="695">
        <f ca="1">transport!B18</f>
        <v>1.9627832389598265</v>
      </c>
      <c r="D50" s="695">
        <f>transport!C18</f>
        <v>0</v>
      </c>
      <c r="E50" s="695">
        <f>transport!D18</f>
        <v>11.593874489010012</v>
      </c>
      <c r="F50" s="695">
        <f>transport!E18</f>
        <v>6.8238612821087061</v>
      </c>
      <c r="G50" s="695">
        <f>transport!F18</f>
        <v>0</v>
      </c>
      <c r="H50" s="695">
        <f>transport!G18</f>
        <v>3204.3662968623685</v>
      </c>
      <c r="I50" s="695">
        <f>transport!H18</f>
        <v>904.60680887292563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4129.3536247453721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1.9627832389598265</v>
      </c>
      <c r="D52" s="725">
        <f t="shared" ref="D52:Q52" ca="1" si="6">SUM(D48:D51)</f>
        <v>0</v>
      </c>
      <c r="E52" s="725">
        <f t="shared" si="6"/>
        <v>11.593874489010012</v>
      </c>
      <c r="F52" s="725">
        <f t="shared" si="6"/>
        <v>6.8238612821087061</v>
      </c>
      <c r="G52" s="725">
        <f t="shared" si="6"/>
        <v>0</v>
      </c>
      <c r="H52" s="725">
        <f t="shared" si="6"/>
        <v>3258.9937038507783</v>
      </c>
      <c r="I52" s="725">
        <f t="shared" si="6"/>
        <v>904.60680887292563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4183.9810317337824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1024.9332323367585</v>
      </c>
      <c r="D54" s="695">
        <f ca="1">+landbouw!C12</f>
        <v>0</v>
      </c>
      <c r="E54" s="695">
        <f>+landbouw!D12</f>
        <v>23.4057737935081</v>
      </c>
      <c r="F54" s="695">
        <f>+landbouw!E12</f>
        <v>49.232002931609962</v>
      </c>
      <c r="G54" s="695">
        <f>+landbouw!F12</f>
        <v>5037.7600431469373</v>
      </c>
      <c r="H54" s="695">
        <f>+landbouw!G12</f>
        <v>0</v>
      </c>
      <c r="I54" s="695">
        <f>+landbouw!H12</f>
        <v>0</v>
      </c>
      <c r="J54" s="695">
        <f>+landbouw!I12</f>
        <v>0</v>
      </c>
      <c r="K54" s="695">
        <f>+landbouw!J12</f>
        <v>540.42369118036049</v>
      </c>
      <c r="L54" s="695">
        <f>+landbouw!K12</f>
        <v>0</v>
      </c>
      <c r="M54" s="695">
        <f>+landbouw!L12</f>
        <v>0</v>
      </c>
      <c r="N54" s="695">
        <f>+landbouw!M12</f>
        <v>0</v>
      </c>
      <c r="O54" s="695">
        <f>+landbouw!N12</f>
        <v>0</v>
      </c>
      <c r="P54" s="695">
        <f>+landbouw!O12</f>
        <v>0</v>
      </c>
      <c r="Q54" s="696">
        <f>+landbouw!P12</f>
        <v>0</v>
      </c>
      <c r="R54" s="724">
        <f ca="1">SUM(C54:Q54)</f>
        <v>6675.7547433891741</v>
      </c>
    </row>
    <row r="55" spans="1:18" ht="15" thickBot="1">
      <c r="A55" s="827" t="s">
        <v>714</v>
      </c>
      <c r="B55" s="837"/>
      <c r="C55" s="695">
        <f ca="1">C25*'EF ele_warmte'!B12</f>
        <v>31.655453033955954</v>
      </c>
      <c r="D55" s="695"/>
      <c r="E55" s="695">
        <f>E25*EF_CO2_aardgas</f>
        <v>101.19760083316109</v>
      </c>
      <c r="F55" s="695"/>
      <c r="G55" s="695"/>
      <c r="H55" s="695"/>
      <c r="I55" s="695"/>
      <c r="J55" s="695"/>
      <c r="K55" s="695"/>
      <c r="L55" s="695"/>
      <c r="M55" s="695"/>
      <c r="N55" s="695"/>
      <c r="O55" s="695"/>
      <c r="P55" s="695"/>
      <c r="Q55" s="696"/>
      <c r="R55" s="724">
        <f ca="1">SUM(C55:Q55)</f>
        <v>132.85305386711704</v>
      </c>
    </row>
    <row r="56" spans="1:18" ht="15.75" thickBot="1">
      <c r="A56" s="825" t="s">
        <v>715</v>
      </c>
      <c r="B56" s="838"/>
      <c r="C56" s="725">
        <f ca="1">SUM(C54:C55)</f>
        <v>1056.5886853707145</v>
      </c>
      <c r="D56" s="725">
        <f t="shared" ref="D56:Q56" ca="1" si="7">SUM(D54:D55)</f>
        <v>0</v>
      </c>
      <c r="E56" s="725">
        <f t="shared" si="7"/>
        <v>124.60337462666919</v>
      </c>
      <c r="F56" s="725">
        <f t="shared" si="7"/>
        <v>49.232002931609962</v>
      </c>
      <c r="G56" s="725">
        <f t="shared" si="7"/>
        <v>5037.7600431469373</v>
      </c>
      <c r="H56" s="725">
        <f t="shared" si="7"/>
        <v>0</v>
      </c>
      <c r="I56" s="725">
        <f t="shared" si="7"/>
        <v>0</v>
      </c>
      <c r="J56" s="725">
        <f t="shared" si="7"/>
        <v>0</v>
      </c>
      <c r="K56" s="725">
        <f t="shared" si="7"/>
        <v>540.42369118036049</v>
      </c>
      <c r="L56" s="725">
        <f t="shared" si="7"/>
        <v>0</v>
      </c>
      <c r="M56" s="725">
        <f t="shared" si="7"/>
        <v>0</v>
      </c>
      <c r="N56" s="725">
        <f t="shared" si="7"/>
        <v>0</v>
      </c>
      <c r="O56" s="725">
        <f t="shared" si="7"/>
        <v>0</v>
      </c>
      <c r="P56" s="725">
        <f t="shared" si="7"/>
        <v>0</v>
      </c>
      <c r="Q56" s="726">
        <f t="shared" si="7"/>
        <v>0</v>
      </c>
      <c r="R56" s="727">
        <f ca="1">SUM(R54:R55)</f>
        <v>6808.6077972562907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3724.1161286660808</v>
      </c>
      <c r="D61" s="733">
        <f t="shared" ref="D61:Q61" ca="1" si="8">D46+D52+D56</f>
        <v>0</v>
      </c>
      <c r="E61" s="733">
        <f t="shared" ca="1" si="8"/>
        <v>2485.2277539164147</v>
      </c>
      <c r="F61" s="733">
        <f t="shared" si="8"/>
        <v>1086.4900994191296</v>
      </c>
      <c r="G61" s="733">
        <f t="shared" ca="1" si="8"/>
        <v>6734.7239532188978</v>
      </c>
      <c r="H61" s="733">
        <f t="shared" si="8"/>
        <v>3258.9937038507783</v>
      </c>
      <c r="I61" s="733">
        <f t="shared" si="8"/>
        <v>904.60680887292563</v>
      </c>
      <c r="J61" s="733">
        <f t="shared" si="8"/>
        <v>0</v>
      </c>
      <c r="K61" s="733">
        <f t="shared" si="8"/>
        <v>901.69289352620831</v>
      </c>
      <c r="L61" s="733">
        <f t="shared" si="8"/>
        <v>0</v>
      </c>
      <c r="M61" s="733">
        <f t="shared" ca="1" si="8"/>
        <v>0</v>
      </c>
      <c r="N61" s="733">
        <f t="shared" si="8"/>
        <v>0</v>
      </c>
      <c r="O61" s="733">
        <f t="shared" ca="1" si="8"/>
        <v>0</v>
      </c>
      <c r="P61" s="733">
        <f t="shared" si="8"/>
        <v>0</v>
      </c>
      <c r="Q61" s="733">
        <f t="shared" si="8"/>
        <v>0</v>
      </c>
      <c r="R61" s="733">
        <f ca="1">R46+R52+R56</f>
        <v>19095.851341470436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0.17623896474067161</v>
      </c>
      <c r="D63" s="779">
        <f t="shared" ca="1" si="9"/>
        <v>0</v>
      </c>
      <c r="E63" s="973">
        <f t="shared" ca="1" si="9"/>
        <v>0.20200000000000004</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4236.205743380192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4279.8557433801916</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4236.205743380192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4279.8557433801916</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32030</v>
      </c>
      <c r="C28" s="794">
        <v>8647</v>
      </c>
      <c r="D28" s="643"/>
      <c r="E28" s="642"/>
      <c r="F28" s="642" t="s">
        <v>865</v>
      </c>
      <c r="G28" s="642" t="s">
        <v>866</v>
      </c>
      <c r="H28" s="642" t="s">
        <v>867</v>
      </c>
      <c r="I28" s="642" t="s">
        <v>868</v>
      </c>
      <c r="J28" s="793">
        <v>42298</v>
      </c>
      <c r="K28" s="793">
        <v>42298</v>
      </c>
      <c r="L28" s="642" t="s">
        <v>869</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5519.2330577296652</v>
      </c>
      <c r="C4" s="455">
        <f>huishoudens!C8</f>
        <v>0</v>
      </c>
      <c r="D4" s="455">
        <f>huishoudens!D8</f>
        <v>7385.9310671748308</v>
      </c>
      <c r="E4" s="455">
        <f>huishoudens!E8</f>
        <v>4514.772100778443</v>
      </c>
      <c r="F4" s="455">
        <f>huishoudens!F8</f>
        <v>5442.2058959417918</v>
      </c>
      <c r="G4" s="455">
        <f>huishoudens!G8</f>
        <v>0</v>
      </c>
      <c r="H4" s="455">
        <f>huishoudens!H8</f>
        <v>0</v>
      </c>
      <c r="I4" s="455">
        <f>huishoudens!I8</f>
        <v>0</v>
      </c>
      <c r="J4" s="455">
        <f>huishoudens!J8</f>
        <v>1019.5641290640233</v>
      </c>
      <c r="K4" s="455">
        <f>huishoudens!K8</f>
        <v>0</v>
      </c>
      <c r="L4" s="455">
        <f>huishoudens!L8</f>
        <v>0</v>
      </c>
      <c r="M4" s="455">
        <f>huishoudens!M8</f>
        <v>0</v>
      </c>
      <c r="N4" s="455">
        <f>huishoudens!N8</f>
        <v>5288.9162729239952</v>
      </c>
      <c r="O4" s="455">
        <f>huishoudens!O8</f>
        <v>154.7487411121885</v>
      </c>
      <c r="P4" s="456">
        <f>huishoudens!P8</f>
        <v>189.61126753833042</v>
      </c>
      <c r="Q4" s="457">
        <f>SUM(B4:P4)</f>
        <v>29514.982532263264</v>
      </c>
    </row>
    <row r="5" spans="1:17">
      <c r="A5" s="454" t="s">
        <v>155</v>
      </c>
      <c r="B5" s="455">
        <f ca="1">tertiair!B16</f>
        <v>3254.4350767689493</v>
      </c>
      <c r="C5" s="455">
        <f ca="1">tertiair!C16</f>
        <v>0</v>
      </c>
      <c r="D5" s="455">
        <f ca="1">tertiair!D16</f>
        <v>3798.9942539785457</v>
      </c>
      <c r="E5" s="455">
        <f>tertiair!E16</f>
        <v>10.247380633875851</v>
      </c>
      <c r="F5" s="455">
        <f ca="1">tertiair!F16</f>
        <v>484.09053558113777</v>
      </c>
      <c r="G5" s="455">
        <f>tertiair!G16</f>
        <v>0</v>
      </c>
      <c r="H5" s="455">
        <f>tertiair!H16</f>
        <v>0</v>
      </c>
      <c r="I5" s="455">
        <f>tertiair!I16</f>
        <v>0</v>
      </c>
      <c r="J5" s="455">
        <f>tertiair!J16</f>
        <v>3.5624914307917695E-3</v>
      </c>
      <c r="K5" s="455">
        <f>tertiair!K16</f>
        <v>0</v>
      </c>
      <c r="L5" s="455">
        <f ca="1">tertiair!L16</f>
        <v>0</v>
      </c>
      <c r="M5" s="455">
        <f>tertiair!M16</f>
        <v>0</v>
      </c>
      <c r="N5" s="455">
        <f ca="1">tertiair!N16</f>
        <v>131.38150823496468</v>
      </c>
      <c r="O5" s="455">
        <f>tertiair!O16</f>
        <v>4.8972607658411542</v>
      </c>
      <c r="P5" s="456">
        <f>tertiair!P16</f>
        <v>105.07827661299004</v>
      </c>
      <c r="Q5" s="454">
        <f t="shared" ref="Q5:Q14" ca="1" si="0">SUM(B5:P5)</f>
        <v>7789.1278550677343</v>
      </c>
    </row>
    <row r="6" spans="1:17">
      <c r="A6" s="454" t="s">
        <v>193</v>
      </c>
      <c r="B6" s="455">
        <f>'openbare verlichting'!B8</f>
        <v>199.35499999999999</v>
      </c>
      <c r="C6" s="455"/>
      <c r="D6" s="455"/>
      <c r="E6" s="455"/>
      <c r="F6" s="455"/>
      <c r="G6" s="455"/>
      <c r="H6" s="455"/>
      <c r="I6" s="455"/>
      <c r="J6" s="455"/>
      <c r="K6" s="455"/>
      <c r="L6" s="455"/>
      <c r="M6" s="455"/>
      <c r="N6" s="455"/>
      <c r="O6" s="455"/>
      <c r="P6" s="456"/>
      <c r="Q6" s="454">
        <f t="shared" si="0"/>
        <v>199.35499999999999</v>
      </c>
    </row>
    <row r="7" spans="1:17">
      <c r="A7" s="454" t="s">
        <v>111</v>
      </c>
      <c r="B7" s="455">
        <f>landbouw!B8</f>
        <v>5815.5881353757695</v>
      </c>
      <c r="C7" s="455">
        <f>landbouw!C8</f>
        <v>62.357142857142847</v>
      </c>
      <c r="D7" s="455">
        <f>landbouw!D8</f>
        <v>115.87016729459455</v>
      </c>
      <c r="E7" s="455">
        <f>landbouw!E8</f>
        <v>216.88107018330379</v>
      </c>
      <c r="F7" s="455">
        <f>landbouw!F8</f>
        <v>18868.015142872424</v>
      </c>
      <c r="G7" s="455">
        <f>landbouw!G8</f>
        <v>0</v>
      </c>
      <c r="H7" s="455">
        <f>landbouw!H8</f>
        <v>0</v>
      </c>
      <c r="I7" s="455">
        <f>landbouw!I8</f>
        <v>0</v>
      </c>
      <c r="J7" s="455">
        <f>landbouw!J8</f>
        <v>1526.6205965546908</v>
      </c>
      <c r="K7" s="455">
        <f>landbouw!K8</f>
        <v>0</v>
      </c>
      <c r="L7" s="455">
        <f>landbouw!L8</f>
        <v>0</v>
      </c>
      <c r="M7" s="455">
        <f>landbouw!M8</f>
        <v>0</v>
      </c>
      <c r="N7" s="455">
        <f>landbouw!N8</f>
        <v>0</v>
      </c>
      <c r="O7" s="455">
        <f>landbouw!O8</f>
        <v>0</v>
      </c>
      <c r="P7" s="456">
        <f>landbouw!P8</f>
        <v>0</v>
      </c>
      <c r="Q7" s="454">
        <f t="shared" si="0"/>
        <v>26605.332255137924</v>
      </c>
    </row>
    <row r="8" spans="1:17">
      <c r="A8" s="454" t="s">
        <v>626</v>
      </c>
      <c r="B8" s="455">
        <f>industrie!B18</f>
        <v>6151.6949661704148</v>
      </c>
      <c r="C8" s="455">
        <f>industrie!C18</f>
        <v>0</v>
      </c>
      <c r="D8" s="455">
        <f>industrie!D18</f>
        <v>443.93856399877728</v>
      </c>
      <c r="E8" s="455">
        <f>industrie!E18</f>
        <v>14.338382928698724</v>
      </c>
      <c r="F8" s="455">
        <f>industrie!F18</f>
        <v>429.37364365295258</v>
      </c>
      <c r="G8" s="455">
        <f>industrie!G18</f>
        <v>0</v>
      </c>
      <c r="H8" s="455">
        <f>industrie!H18</f>
        <v>0</v>
      </c>
      <c r="I8" s="455">
        <f>industrie!I18</f>
        <v>0</v>
      </c>
      <c r="J8" s="455">
        <f>industrie!J18</f>
        <v>0.96677834807079643</v>
      </c>
      <c r="K8" s="455">
        <f>industrie!K18</f>
        <v>0</v>
      </c>
      <c r="L8" s="455">
        <f>industrie!L18</f>
        <v>0</v>
      </c>
      <c r="M8" s="455">
        <f>industrie!M18</f>
        <v>0</v>
      </c>
      <c r="N8" s="455">
        <f>industrie!N18</f>
        <v>179.19440530343579</v>
      </c>
      <c r="O8" s="455">
        <f>industrie!O18</f>
        <v>0</v>
      </c>
      <c r="P8" s="456">
        <f>industrie!P18</f>
        <v>0</v>
      </c>
      <c r="Q8" s="454">
        <f t="shared" si="0"/>
        <v>7219.5067404023503</v>
      </c>
    </row>
    <row r="9" spans="1:17" s="460" customFormat="1">
      <c r="A9" s="458" t="s">
        <v>552</v>
      </c>
      <c r="B9" s="459">
        <f>transport!B14</f>
        <v>11.13705610928878</v>
      </c>
      <c r="C9" s="459">
        <f>transport!C14</f>
        <v>0</v>
      </c>
      <c r="D9" s="459">
        <f>transport!D14</f>
        <v>57.3954182624258</v>
      </c>
      <c r="E9" s="459">
        <f>transport!E14</f>
        <v>30.06106291677844</v>
      </c>
      <c r="F9" s="459">
        <f>transport!F14</f>
        <v>0</v>
      </c>
      <c r="G9" s="459">
        <f>transport!G14</f>
        <v>12001.371898360931</v>
      </c>
      <c r="H9" s="459">
        <f>transport!H14</f>
        <v>3632.9590717788178</v>
      </c>
      <c r="I9" s="459">
        <f>transport!I14</f>
        <v>0</v>
      </c>
      <c r="J9" s="459">
        <f>transport!J14</f>
        <v>0</v>
      </c>
      <c r="K9" s="459">
        <f>transport!K14</f>
        <v>0</v>
      </c>
      <c r="L9" s="459">
        <f>transport!L14</f>
        <v>0</v>
      </c>
      <c r="M9" s="459">
        <f>transport!M14</f>
        <v>928.24590480324468</v>
      </c>
      <c r="N9" s="459">
        <f>transport!N14</f>
        <v>0</v>
      </c>
      <c r="O9" s="459">
        <f>transport!O14</f>
        <v>0</v>
      </c>
      <c r="P9" s="459">
        <f>transport!P14</f>
        <v>0</v>
      </c>
      <c r="Q9" s="458">
        <f>SUM(B9:P9)</f>
        <v>16661.170412231484</v>
      </c>
    </row>
    <row r="10" spans="1:17">
      <c r="A10" s="454" t="s">
        <v>542</v>
      </c>
      <c r="B10" s="455">
        <f>transport!B54</f>
        <v>0</v>
      </c>
      <c r="C10" s="455">
        <f>transport!C54</f>
        <v>0</v>
      </c>
      <c r="D10" s="455">
        <f>transport!D54</f>
        <v>0</v>
      </c>
      <c r="E10" s="455">
        <f>transport!E54</f>
        <v>0</v>
      </c>
      <c r="F10" s="455">
        <f>transport!F54</f>
        <v>0</v>
      </c>
      <c r="G10" s="455">
        <f>transport!G54</f>
        <v>204.59702991913827</v>
      </c>
      <c r="H10" s="455">
        <f>transport!H54</f>
        <v>0</v>
      </c>
      <c r="I10" s="455">
        <f>transport!I54</f>
        <v>0</v>
      </c>
      <c r="J10" s="455">
        <f>transport!J54</f>
        <v>0</v>
      </c>
      <c r="K10" s="455">
        <f>transport!K54</f>
        <v>0</v>
      </c>
      <c r="L10" s="455">
        <f>transport!L54</f>
        <v>0</v>
      </c>
      <c r="M10" s="455">
        <f>transport!M54</f>
        <v>11.102600143872589</v>
      </c>
      <c r="N10" s="455">
        <f>transport!N54</f>
        <v>0</v>
      </c>
      <c r="O10" s="455">
        <f>transport!O54</f>
        <v>0</v>
      </c>
      <c r="P10" s="456">
        <f>transport!P54</f>
        <v>0</v>
      </c>
      <c r="Q10" s="454">
        <f t="shared" si="0"/>
        <v>215.69963006301086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179.616653335065</v>
      </c>
      <c r="C14" s="462"/>
      <c r="D14" s="462">
        <f>'SEAP template'!E25</f>
        <v>500.97822194634199</v>
      </c>
      <c r="E14" s="462"/>
      <c r="F14" s="462"/>
      <c r="G14" s="462"/>
      <c r="H14" s="462"/>
      <c r="I14" s="462"/>
      <c r="J14" s="462"/>
      <c r="K14" s="462"/>
      <c r="L14" s="462"/>
      <c r="M14" s="462"/>
      <c r="N14" s="462"/>
      <c r="O14" s="462"/>
      <c r="P14" s="463"/>
      <c r="Q14" s="454">
        <f t="shared" si="0"/>
        <v>680.59487528140698</v>
      </c>
    </row>
    <row r="15" spans="1:17" s="466" customFormat="1">
      <c r="A15" s="464" t="s">
        <v>546</v>
      </c>
      <c r="B15" s="465">
        <f ca="1">SUM(B4:B14)</f>
        <v>21131.059945489149</v>
      </c>
      <c r="C15" s="465">
        <f t="shared" ref="C15:Q15" ca="1" si="1">SUM(C4:C14)</f>
        <v>62.357142857142847</v>
      </c>
      <c r="D15" s="465">
        <f t="shared" ca="1" si="1"/>
        <v>12303.107692655516</v>
      </c>
      <c r="E15" s="465">
        <f t="shared" si="1"/>
        <v>4786.2999974410995</v>
      </c>
      <c r="F15" s="465">
        <f t="shared" ca="1" si="1"/>
        <v>25223.685218048307</v>
      </c>
      <c r="G15" s="465">
        <f t="shared" si="1"/>
        <v>12205.968928280068</v>
      </c>
      <c r="H15" s="465">
        <f t="shared" si="1"/>
        <v>3632.9590717788178</v>
      </c>
      <c r="I15" s="465">
        <f t="shared" si="1"/>
        <v>0</v>
      </c>
      <c r="J15" s="465">
        <f t="shared" si="1"/>
        <v>2547.1550664582155</v>
      </c>
      <c r="K15" s="465">
        <f t="shared" si="1"/>
        <v>0</v>
      </c>
      <c r="L15" s="465">
        <f t="shared" ca="1" si="1"/>
        <v>0</v>
      </c>
      <c r="M15" s="465">
        <f t="shared" si="1"/>
        <v>939.34850494711725</v>
      </c>
      <c r="N15" s="465">
        <f t="shared" ca="1" si="1"/>
        <v>5599.4921864623957</v>
      </c>
      <c r="O15" s="465">
        <f t="shared" si="1"/>
        <v>159.64600187802967</v>
      </c>
      <c r="P15" s="465">
        <f t="shared" si="1"/>
        <v>294.68954415132043</v>
      </c>
      <c r="Q15" s="465">
        <f t="shared" ca="1" si="1"/>
        <v>88885.76930044718</v>
      </c>
    </row>
    <row r="17" spans="1:17">
      <c r="A17" s="467" t="s">
        <v>547</v>
      </c>
      <c r="B17" s="784">
        <f ca="1">huishoudens!B10</f>
        <v>0.17623896474067161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972.70392025676756</v>
      </c>
      <c r="C22" s="455">
        <f t="shared" ref="C22:C32" ca="1" si="3">C4*$C$17</f>
        <v>0</v>
      </c>
      <c r="D22" s="455">
        <f t="shared" ref="D22:D32" si="4">D4*$D$17</f>
        <v>1491.958075569316</v>
      </c>
      <c r="E22" s="455">
        <f t="shared" ref="E22:E32" si="5">E4*$E$17</f>
        <v>1024.8532668767066</v>
      </c>
      <c r="F22" s="455">
        <f t="shared" ref="F22:F32" si="6">F4*$F$17</f>
        <v>1453.0689742164584</v>
      </c>
      <c r="G22" s="455">
        <f t="shared" ref="G22:G32" si="7">G4*$G$17</f>
        <v>0</v>
      </c>
      <c r="H22" s="455">
        <f t="shared" ref="H22:H32" si="8">H4*$H$17</f>
        <v>0</v>
      </c>
      <c r="I22" s="455">
        <f t="shared" ref="I22:I32" si="9">I4*$I$17</f>
        <v>0</v>
      </c>
      <c r="J22" s="455">
        <f t="shared" ref="J22:J32" si="10">J4*$J$17</f>
        <v>360.92570168866422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5303.5099386079128</v>
      </c>
    </row>
    <row r="23" spans="1:17">
      <c r="A23" s="454" t="s">
        <v>155</v>
      </c>
      <c r="B23" s="455">
        <f t="shared" ca="1" si="2"/>
        <v>573.55826874548779</v>
      </c>
      <c r="C23" s="455">
        <f t="shared" ca="1" si="3"/>
        <v>0</v>
      </c>
      <c r="D23" s="455">
        <f t="shared" ca="1" si="4"/>
        <v>767.3968393036663</v>
      </c>
      <c r="E23" s="455">
        <f t="shared" si="5"/>
        <v>2.3261554038898185</v>
      </c>
      <c r="F23" s="455">
        <f t="shared" ca="1" si="6"/>
        <v>129.25217300016379</v>
      </c>
      <c r="G23" s="455">
        <f t="shared" si="7"/>
        <v>0</v>
      </c>
      <c r="H23" s="455">
        <f t="shared" si="8"/>
        <v>0</v>
      </c>
      <c r="I23" s="455">
        <f t="shared" si="9"/>
        <v>0</v>
      </c>
      <c r="J23" s="455">
        <f t="shared" si="10"/>
        <v>1.2611219665002863E-3</v>
      </c>
      <c r="K23" s="455">
        <f t="shared" si="11"/>
        <v>0</v>
      </c>
      <c r="L23" s="455">
        <f t="shared" ca="1" si="12"/>
        <v>0</v>
      </c>
      <c r="M23" s="455">
        <f t="shared" si="13"/>
        <v>0</v>
      </c>
      <c r="N23" s="455">
        <f t="shared" ca="1" si="14"/>
        <v>0</v>
      </c>
      <c r="O23" s="455">
        <f t="shared" si="15"/>
        <v>0</v>
      </c>
      <c r="P23" s="456">
        <f t="shared" si="16"/>
        <v>0</v>
      </c>
      <c r="Q23" s="454">
        <f t="shared" ref="Q23:Q31" ca="1" si="17">SUM(B23:P23)</f>
        <v>1472.5346975751743</v>
      </c>
    </row>
    <row r="24" spans="1:17">
      <c r="A24" s="454" t="s">
        <v>193</v>
      </c>
      <c r="B24" s="455">
        <f t="shared" ca="1" si="2"/>
        <v>35.134118815876583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35.134118815876583</v>
      </c>
    </row>
    <row r="25" spans="1:17">
      <c r="A25" s="454" t="s">
        <v>111</v>
      </c>
      <c r="B25" s="455">
        <f t="shared" ca="1" si="2"/>
        <v>1024.9332323367585</v>
      </c>
      <c r="C25" s="455">
        <f t="shared" ca="1" si="3"/>
        <v>0</v>
      </c>
      <c r="D25" s="455">
        <f t="shared" si="4"/>
        <v>23.4057737935081</v>
      </c>
      <c r="E25" s="455">
        <f t="shared" si="5"/>
        <v>49.232002931609962</v>
      </c>
      <c r="F25" s="455">
        <f t="shared" si="6"/>
        <v>5037.7600431469373</v>
      </c>
      <c r="G25" s="455">
        <f t="shared" si="7"/>
        <v>0</v>
      </c>
      <c r="H25" s="455">
        <f t="shared" si="8"/>
        <v>0</v>
      </c>
      <c r="I25" s="455">
        <f t="shared" si="9"/>
        <v>0</v>
      </c>
      <c r="J25" s="455">
        <f t="shared" si="10"/>
        <v>540.42369118036049</v>
      </c>
      <c r="K25" s="455">
        <f t="shared" si="11"/>
        <v>0</v>
      </c>
      <c r="L25" s="455">
        <f t="shared" si="12"/>
        <v>0</v>
      </c>
      <c r="M25" s="455">
        <f t="shared" si="13"/>
        <v>0</v>
      </c>
      <c r="N25" s="455">
        <f t="shared" si="14"/>
        <v>0</v>
      </c>
      <c r="O25" s="455">
        <f t="shared" si="15"/>
        <v>0</v>
      </c>
      <c r="P25" s="456">
        <f t="shared" si="16"/>
        <v>0</v>
      </c>
      <c r="Q25" s="454">
        <f t="shared" ca="1" si="17"/>
        <v>6675.7547433891741</v>
      </c>
    </row>
    <row r="26" spans="1:17">
      <c r="A26" s="454" t="s">
        <v>626</v>
      </c>
      <c r="B26" s="455">
        <f t="shared" ca="1" si="2"/>
        <v>1084.1683522382748</v>
      </c>
      <c r="C26" s="455">
        <f t="shared" ca="1" si="3"/>
        <v>0</v>
      </c>
      <c r="D26" s="455">
        <f t="shared" si="4"/>
        <v>89.675589927753023</v>
      </c>
      <c r="E26" s="455">
        <f t="shared" si="5"/>
        <v>3.2548129248146105</v>
      </c>
      <c r="F26" s="455">
        <f t="shared" si="6"/>
        <v>114.64276285533835</v>
      </c>
      <c r="G26" s="455">
        <f t="shared" si="7"/>
        <v>0</v>
      </c>
      <c r="H26" s="455">
        <f t="shared" si="8"/>
        <v>0</v>
      </c>
      <c r="I26" s="455">
        <f t="shared" si="9"/>
        <v>0</v>
      </c>
      <c r="J26" s="455">
        <f t="shared" si="10"/>
        <v>0.34223953521706191</v>
      </c>
      <c r="K26" s="455">
        <f t="shared" si="11"/>
        <v>0</v>
      </c>
      <c r="L26" s="455">
        <f t="shared" si="12"/>
        <v>0</v>
      </c>
      <c r="M26" s="455">
        <f t="shared" si="13"/>
        <v>0</v>
      </c>
      <c r="N26" s="455">
        <f t="shared" si="14"/>
        <v>0</v>
      </c>
      <c r="O26" s="455">
        <f t="shared" si="15"/>
        <v>0</v>
      </c>
      <c r="P26" s="456">
        <f t="shared" si="16"/>
        <v>0</v>
      </c>
      <c r="Q26" s="454">
        <f t="shared" ca="1" si="17"/>
        <v>1292.0837574813977</v>
      </c>
    </row>
    <row r="27" spans="1:17" s="460" customFormat="1">
      <c r="A27" s="458" t="s">
        <v>552</v>
      </c>
      <c r="B27" s="778">
        <f t="shared" ca="1" si="2"/>
        <v>1.9627832389598265</v>
      </c>
      <c r="C27" s="459">
        <f t="shared" ca="1" si="3"/>
        <v>0</v>
      </c>
      <c r="D27" s="459">
        <f t="shared" si="4"/>
        <v>11.593874489010012</v>
      </c>
      <c r="E27" s="459">
        <f t="shared" si="5"/>
        <v>6.8238612821087061</v>
      </c>
      <c r="F27" s="459">
        <f t="shared" si="6"/>
        <v>0</v>
      </c>
      <c r="G27" s="459">
        <f t="shared" si="7"/>
        <v>3204.3662968623685</v>
      </c>
      <c r="H27" s="459">
        <f t="shared" si="8"/>
        <v>904.60680887292563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4129.3536247453721</v>
      </c>
    </row>
    <row r="28" spans="1:17" ht="16.5" customHeight="1">
      <c r="A28" s="454" t="s">
        <v>542</v>
      </c>
      <c r="B28" s="455">
        <f t="shared" ca="1" si="2"/>
        <v>0</v>
      </c>
      <c r="C28" s="455">
        <f t="shared" ca="1" si="3"/>
        <v>0</v>
      </c>
      <c r="D28" s="455">
        <f t="shared" si="4"/>
        <v>0</v>
      </c>
      <c r="E28" s="455">
        <f t="shared" si="5"/>
        <v>0</v>
      </c>
      <c r="F28" s="455">
        <f t="shared" si="6"/>
        <v>0</v>
      </c>
      <c r="G28" s="455">
        <f t="shared" si="7"/>
        <v>54.627406988409923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54.627406988409923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31.655453033955954</v>
      </c>
      <c r="C32" s="455">
        <f t="shared" ca="1" si="3"/>
        <v>0</v>
      </c>
      <c r="D32" s="455">
        <f t="shared" si="4"/>
        <v>101.19760083316109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132.85305386711704</v>
      </c>
    </row>
    <row r="33" spans="1:17" s="466" customFormat="1">
      <c r="A33" s="464" t="s">
        <v>546</v>
      </c>
      <c r="B33" s="465">
        <f ca="1">SUM(B22:B32)</f>
        <v>3724.1161286660804</v>
      </c>
      <c r="C33" s="465">
        <f t="shared" ref="C33:Q33" ca="1" si="19">SUM(C22:C32)</f>
        <v>0</v>
      </c>
      <c r="D33" s="465">
        <f t="shared" ca="1" si="19"/>
        <v>2485.2277539164147</v>
      </c>
      <c r="E33" s="465">
        <f t="shared" si="19"/>
        <v>1086.4900994191296</v>
      </c>
      <c r="F33" s="465">
        <f t="shared" ca="1" si="19"/>
        <v>6734.7239532188978</v>
      </c>
      <c r="G33" s="465">
        <f t="shared" si="19"/>
        <v>3258.9937038507783</v>
      </c>
      <c r="H33" s="465">
        <f t="shared" si="19"/>
        <v>904.60680887292563</v>
      </c>
      <c r="I33" s="465">
        <f t="shared" si="19"/>
        <v>0</v>
      </c>
      <c r="J33" s="465">
        <f t="shared" si="19"/>
        <v>901.69289352620831</v>
      </c>
      <c r="K33" s="465">
        <f t="shared" si="19"/>
        <v>0</v>
      </c>
      <c r="L33" s="465">
        <f t="shared" ca="1" si="19"/>
        <v>0</v>
      </c>
      <c r="M33" s="465">
        <f t="shared" si="19"/>
        <v>0</v>
      </c>
      <c r="N33" s="465">
        <f t="shared" ca="1" si="19"/>
        <v>0</v>
      </c>
      <c r="O33" s="465">
        <f t="shared" si="19"/>
        <v>0</v>
      </c>
      <c r="P33" s="465">
        <f t="shared" si="19"/>
        <v>0</v>
      </c>
      <c r="Q33" s="465">
        <f t="shared" ca="1" si="19"/>
        <v>19095.851341470436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4236.205743380192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4279.8557433801916</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0.17623896474067161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0.17623896474067161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2020-06-20T15:21:52Z</dcterms:modified>
</cp:coreProperties>
</file>