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56" i="22"/>
  <c r="C58" i="22" s="1"/>
  <c r="D49" i="14" s="1"/>
  <c r="D52" i="14" s="1"/>
  <c r="C20" i="16"/>
  <c r="C22" i="16" s="1"/>
  <c r="D43" i="14" s="1"/>
  <c r="C10" i="17"/>
  <c r="C12" i="17" s="1"/>
  <c r="D54" i="14" s="1"/>
  <c r="D56"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<sst xmlns="http://schemas.openxmlformats.org/spreadsheetml/2006/main" count="2374" uniqueCount="871">
  <si>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</si>
  <si>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</si>
  <si>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</si>
  <si>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</si>
  <si>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</si>
  <si>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</si>
  <si>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</si>
  <si>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</si>
  <si>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</si>
  <si>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</si>
  <si>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</si>
  <si>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</si>
  <si>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</si>
  <si>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</si>
  <si>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</si>
  <si>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</si>
  <si>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</si>
  <si>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</si>
  <si>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</si>
  <si>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</si>
  <si>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</si>
  <si>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</si>
  <si>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</si>
  <si>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</si>
  <si>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</si>
  <si>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</si>
  <si>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</si>
  <si>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</si>
  <si>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</si>
  <si>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</si>
  <si>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</si>
  <si>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</si>
  <si>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</si>
  <si>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</si>
  <si>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</si>
  <si>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</si>
  <si>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</si>
  <si>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</si>
  <si>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</si>
  <si>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</si>
  <si>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</si>
  <si>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</si>
  <si>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</si>
  <si>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</si>
  <si>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</si>
  <si>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</si>
  <si>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</si>
  <si>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</si>
  <si>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</si>
  <si>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</si>
  <si>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</si>
  <si>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</si>
  <si>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</si>
  <si>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</si>
  <si>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</si>
  <si>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</si>
  <si>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</si>
  <si>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</si>
  <si>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</si>
  <si>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</si>
  <si>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</si>
  <si>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</si>
  <si>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</si>
  <si>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</si>
  <si>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</si>
  <si>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</si>
  <si>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</si>
  <si>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</si>
  <si>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</si>
  <si>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</si>
  <si>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</si>
  <si>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</si>
  <si>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</si>
  <si>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</si>
  <si>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</si>
  <si>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</si>
  <si>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</si>
  <si>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</si>
  <si>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</si>
  <si>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</si>
  <si>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</si>
  <si>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</si>
  <si>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</si>
  <si>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</si>
  <si>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</si>
  <si>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</si>
  <si>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</si>
  <si>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</si>
  <si>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</si>
  <si>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</si>
  <si>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</si>
  <si>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</si>
  <si>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</si>
  <si>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</si>
  <si>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</si>
  <si>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</si>
  <si>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</si>
  <si>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</si>
  <si>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</si>
  <si>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</si>
  <si>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</si>
  <si>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</si>
  <si>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</si>
  <si>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</si>
  <si>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</si>
  <si>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</si>
  <si>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</si>
  <si>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</si>
  <si>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</si>
  <si>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</si>
  <si>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</si>
  <si>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</si>
  <si>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</si>
  <si>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</si>
  <si>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</si>
  <si>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</si>
  <si>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</si>
  <si>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</si>
  <si>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</si>
  <si>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</si>
  <si>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</si>
  <si>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</si>
  <si>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</si>
  <si>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</si>
  <si>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</si>
  <si>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</si>
  <si>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</si>
  <si>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</si>
  <si>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</si>
  <si>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</si>
  <si>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</si>
  <si>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</si>
  <si>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</si>
  <si>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</si>
  <si>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</si>
  <si>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</si>
  <si>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</si>
  <si>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</si>
  <si>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</si>
  <si>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</si>
  <si>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</si>
  <si>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</si>
  <si>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</si>
  <si>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</si>
  <si>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</si>
  <si>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</si>
  <si>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</si>
  <si>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</si>
  <si>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</si>
  <si>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</si>
  <si>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</si>
  <si>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</si>
  <si>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</si>
  <si>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</si>
  <si>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</si>
  <si>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</si>
  <si>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</si>
  <si>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</si>
  <si>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</si>
  <si>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</si>
  <si>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</si>
  <si>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</si>
  <si>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</si>
  <si>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</si>
  <si>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</si>
  <si>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</si>
  <si>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</si>
  <si>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</si>
  <si>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</si>
  <si>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</si>
  <si>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</si>
  <si>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</si>
  <si>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</si>
  <si>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</si>
  <si>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</si>
  <si>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</si>
  <si>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</si>
  <si>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</si>
  <si>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</si>
  <si>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</si>
  <si>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</si>
  <si>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</si>
  <si>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</si>
  <si>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</si>
  <si>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</si>
  <si>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</si>
  <si>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</si>
  <si>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</si>
  <si>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</si>
  <si>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</si>
  <si>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</si>
  <si>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</si>
  <si>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</si>
  <si>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</si>
  <si>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</si>
  <si>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</si>
  <si>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</si>
  <si>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</si>
  <si>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</si>
  <si>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</si>
  <si>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</si>
  <si>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</si>
  <si>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</si>
  <si>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</si>
  <si>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</si>
  <si>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</si>
  <si>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</si>
  <si>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</si>
  <si>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</si>
  <si>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</si>
  <si>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</si>
  <si>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</si>
  <si>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</si>
  <si>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</si>
  <si>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</si>
  <si>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</si>
  <si>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</si>
  <si>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</si>
  <si>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</si>
  <si>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</si>
  <si>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</si>
  <si>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</si>
  <si>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</si>
  <si>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</si>
  <si>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</si>
  <si>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</si>
  <si>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</si>
  <si>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</si>
  <si>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</si>
  <si>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</si>
  <si>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</si>
  <si>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</si>
  <si>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</si>
  <si>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</si>
  <si>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</si>
  <si>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</si>
  <si>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</si>
  <si>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</si>
  <si>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</si>
  <si>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</si>
  <si>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</si>
  <si>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</si>
  <si>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</si>
  <si>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</si>
  <si>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</si>
  <si>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</si>
  <si>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</si>
  <si>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</si>
  <si>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</si>
  <si>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</si>
  <si>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</si>
  <si>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</si>
  <si>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</si>
  <si>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</si>
  <si>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</si>
  <si>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</si>
  <si>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</si>
  <si>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</si>
  <si>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</si>
  <si>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</si>
  <si>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</si>
  <si>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</si>
  <si>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</si>
  <si>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</si>
  <si>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</si>
  <si>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</si>
  <si>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</si>
  <si>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</si>
  <si>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</si>
  <si>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</si>
  <si>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</si>
  <si>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</si>
  <si>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</si>
  <si>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</si>
  <si>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</si>
  <si>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</si>
  <si>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</si>
  <si>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</si>
  <si>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</si>
  <si>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</si>
  <si>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</si>
  <si>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</si>
  <si>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</si>
  <si>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</si>
  <si>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</si>
  <si>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</si>
  <si>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</si>
  <si>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</si>
  <si>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</si>
  <si>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</si>
  <si>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</si>
  <si>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</si>
  <si>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</si>
  <si>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</si>
  <si>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</si>
  <si>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</si>
  <si>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</si>
  <si>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</si>
  <si>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</si>
  <si>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</si>
  <si>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</si>
  <si>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</si>
  <si>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</si>
  <si>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</si>
  <si>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</si>
  <si>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</si>
  <si>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</si>
  <si>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</si>
  <si>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</si>
  <si>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</si>
  <si>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</si>
  <si>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</si>
  <si>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</si>
  <si>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</si>
  <si>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</si>
  <si>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</si>
  <si>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</si>
  <si>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</si>
  <si>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</si>
  <si>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</si>
  <si>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</si>
  <si>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</si>
  <si>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</si>
  <si>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</si>
  <si>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</si>
  <si>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</si>
  <si>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</si>
  <si>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</si>
  <si>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</si>
  <si>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</si>
  <si>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</si>
  <si>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</si>
  <si>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</si>
  <si>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</si>
  <si>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</si>
  <si>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</si>
  <si>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</si>
  <si>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</si>
  <si>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</si>
  <si>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</si>
  <si>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</si>
  <si>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</si>
  <si>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</si>
  <si>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</si>
  <si>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</si>
  <si>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</si>
  <si>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</si>
  <si>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</si>
  <si>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</si>
  <si>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</si>
  <si>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</si>
  <si>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</si>
  <si>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</si>
  <si>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</si>
  <si>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</si>
  <si>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</si>
  <si>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</si>
  <si>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</si>
  <si>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</si>
  <si>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</si>
  <si>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</si>
  <si>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</si>
  <si>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</si>
  <si>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</si>
  <si>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</si>
  <si>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</si>
  <si>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</si>
  <si>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</si>
  <si>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</si>
  <si>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</si>
  <si>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</si>
  <si>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</si>
  <si>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</si>
  <si>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</si>
  <si>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</si>
  <si>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</si>
  <si>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</si>
  <si>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</si>
  <si>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</si>
  <si>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</si>
  <si>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</si>
  <si>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</si>
  <si>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</si>
  <si>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</si>
  <si>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</si>
  <si>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</si>
  <si>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</si>
  <si>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</si>
  <si>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</si>
  <si>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</si>
  <si>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</si>
  <si>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</si>
  <si>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</si>
  <si>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</si>
  <si>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</si>
  <si>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</si>
  <si>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</si>
  <si>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</si>
  <si>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</si>
  <si>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</si>
  <si>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</si>
  <si>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</si>
  <si>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</si>
  <si>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</si>
  <si>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</si>
  <si>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</si>
  <si>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</si>
  <si>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</si>
  <si>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</si>
  <si>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</si>
  <si>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</si>
  <si>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</si>
  <si>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</si>
  <si>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</si>
  <si>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</si>
  <si>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</si>
  <si>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</si>
  <si>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</si>
  <si>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</si>
  <si>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</si>
  <si>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</si>
  <si>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</si>
  <si>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</si>
  <si>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</si>
  <si>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</si>
  <si>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</si>
  <si>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</si>
  <si>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</si>
  <si>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</si>
  <si>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</si>
  <si>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</si>
  <si>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</si>
  <si>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</si>
  <si>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</si>
  <si>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</si>
  <si>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</si>
  <si>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</si>
  <si>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</si>
  <si>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</si>
  <si>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</si>
  <si>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</si>
  <si>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</si>
  <si>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</si>
  <si>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</si>
  <si>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</si>
  <si>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</si>
  <si>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</si>
  <si>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</si>
  <si>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</si>
  <si>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</si>
  <si>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</si>
  <si>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</si>
  <si>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</si>
  <si>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</si>
  <si>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</si>
  <si>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</si>
  <si>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</si>
  <si>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</si>
  <si>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</si>
  <si>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</si>
  <si>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</si>
  <si>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</si>
  <si>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</si>
  <si>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</si>
  <si>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</si>
  <si>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</si>
  <si>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</si>
  <si>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</si>
  <si>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</si>
  <si>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</si>
  <si>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</si>
  <si>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</si>
  <si>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</si>
  <si>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</si>
  <si>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</si>
  <si>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</si>
  <si>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</si>
  <si>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</si>
  <si>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</si>
  <si>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</si>
  <si>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</si>
  <si>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</si>
  <si>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</si>
  <si>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</si>
  <si>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</si>
  <si>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</si>
  <si>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</si>
  <si>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</si>
  <si>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</si>
  <si>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</si>
  <si>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</si>
  <si>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</si>
  <si>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</si>
  <si>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</si>
  <si>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</si>
  <si>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</si>
  <si>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</si>
  <si>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</si>
  <si>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</si>
  <si>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</si>
  <si>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</si>
  <si>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</si>
  <si>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</si>
  <si>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</si>
  <si>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</si>
  <si>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</si>
  <si>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</si>
  <si>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</si>
  <si>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</si>
  <si>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</si>
  <si>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</si>
  <si>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</si>
  <si>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</si>
  <si>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</si>
  <si>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</si>
  <si>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</si>
  <si>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</si>
  <si>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</si>
  <si>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</si>
  <si>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</si>
  <si>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</si>
  <si>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</si>
  <si>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</si>
  <si>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</si>
  <si>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</si>
  <si>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</si>
  <si>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</si>
  <si>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</si>
  <si>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</si>
  <si>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</si>
  <si>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</si>
  <si>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</si>
  <si>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</si>
  <si>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</si>
  <si>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</si>
  <si>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</si>
  <si>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</si>
  <si>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</si>
  <si>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</si>
  <si>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</si>
  <si>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</si>
  <si>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</si>
  <si>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</si>
  <si>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</si>
  <si>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</si>
  <si>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</si>
  <si>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</si>
  <si>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</si>
  <si>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</si>
  <si>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</si>
  <si>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</si>
  <si>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</si>
  <si>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</si>
  <si>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</si>
  <si>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</si>
  <si>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</si>
  <si>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</si>
  <si>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</si>
  <si>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</si>
  <si>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</si>
  <si>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</si>
  <si>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</si>
  <si>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</si>
  <si>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</si>
  <si>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</si>
  <si>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</si>
  <si>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</si>
  <si>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</si>
  <si>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</si>
  <si>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</si>
  <si>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</si>
  <si>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</si>
  <si>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</si>
  <si>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</si>
  <si>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</si>
  <si>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</si>
  <si>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</si>
  <si>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</si>
  <si>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</si>
  <si>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</si>
  <si>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</si>
  <si>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</si>
  <si>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</si>
  <si>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</si>
  <si>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</si>
  <si>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</si>
  <si>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</si>
  <si>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</si>
  <si>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</si>
  <si>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</si>
  <si>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</si>
  <si>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</si>
  <si>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</si>
  <si>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</si>
  <si>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</si>
  <si>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</si>
  <si>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</si>
  <si>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</si>
  <si>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</si>
  <si>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</si>
  <si>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</si>
  <si>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</si>
  <si>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</si>
  <si>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</si>
  <si>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</si>
  <si>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</si>
  <si>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</si>
  <si>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</si>
  <si>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</si>
  <si>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</si>
  <si>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</si>
  <si>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</si>
  <si>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</si>
  <si>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</si>
  <si>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</si>
  <si>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</si>
  <si>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</si>
  <si>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</si>
  <si>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</si>
  <si>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</si>
  <si>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</si>
  <si>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</si>
  <si>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</si>
  <si>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</si>
  <si>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</si>
  <si>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</si>
  <si>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</si>
  <si>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</si>
  <si>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</si>
  <si>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</si>
  <si>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</si>
  <si>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</si>
  <si>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</si>
  <si>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</si>
  <si>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</si>
  <si>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</si>
  <si>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</si>
  <si>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</si>
  <si>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</si>
  <si>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</si>
  <si>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</si>
  <si>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</si>
  <si>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</si>
  <si>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</si>
  <si>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</si>
  <si>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</si>
  <si>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</si>
  <si>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</si>
  <si>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</si>
  <si>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</si>
  <si>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</si>
  <si>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</si>
  <si>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</si>
  <si>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</si>
  <si>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</si>
  <si>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</si>
  <si>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</si>
  <si>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</si>
  <si>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</si>
  <si>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</si>
  <si>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</si>
  <si>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</si>
  <si>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</si>
  <si>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</si>
  <si>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</si>
  <si>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</si>
  <si>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</si>
  <si>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</si>
  <si>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</si>
  <si>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</si>
  <si>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</si>
  <si>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</si>
  <si>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</si>
  <si>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</si>
  <si>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</si>
  <si>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</si>
  <si>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</si>
  <si>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</si>
  <si>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</si>
  <si>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</si>
  <si>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</si>
  <si>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</si>
  <si>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</si>
  <si>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</si>
  <si>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</si>
  <si>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</si>
  <si>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</si>
  <si>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</si>
  <si>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</si>
  <si>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</si>
  <si>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</si>
  <si>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</si>
  <si>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</si>
  <si>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</si>
  <si>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</si>
  <si>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</si>
  <si>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</si>
  <si>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</si>
  <si>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</si>
  <si>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</si>
  <si>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</si>
  <si>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</si>
  <si>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</si>
  <si>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</si>
  <si>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</si>
  <si>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</si>
  <si>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</si>
  <si>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</si>
  <si>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</si>
  <si>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</si>
  <si>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</si>
  <si>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</si>
  <si>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</si>
  <si>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</si>
  <si>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</si>
  <si>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</si>
  <si>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</si>
  <si>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</si>
  <si>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</si>
  <si>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</si>
  <si>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</si>
  <si>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</si>
  <si>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</si>
  <si>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</si>
  <si>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</si>
  <si>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</si>
  <si>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</si>
  <si>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</si>
  <si>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</si>
  <si>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</si>
  <si>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</si>
  <si>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</si>
  <si>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</si>
  <si>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</si>
  <si>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</si>
  <si>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</si>
  <si>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</si>
  <si>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</si>
  <si>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</si>
  <si>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</si>
  <si>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</si>
  <si>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</si>
  <si>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</si>
  <si>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</si>
  <si>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</si>
  <si>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</si>
  <si>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</si>
  <si>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</si>
  <si>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</si>
  <si>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</si>
  <si>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</si>
  <si>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</si>
  <si>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</si>
  <si>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</si>
  <si>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</si>
  <si>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</si>
  <si>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</si>
  <si>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</si>
  <si>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</si>
  <si>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</si>
  <si>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</si>
  <si>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</si>
  <si>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</si>
  <si>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</si>
  <si>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</si>
  <si>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</si>
  <si>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</si>
  <si>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</si>
  <si>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</si>
  <si>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</si>
  <si>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</si>
  <si>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</si>
  <si>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</si>
  <si>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</si>
  <si>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</si>
  <si>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</si>
  <si>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</si>
  <si>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</si>
  <si>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</si>
  <si>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</si>
  <si>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</si>
  <si>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</si>
  <si>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</si>
  <si>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</si>
  <si>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</si>
  <si>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</si>
  <si>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</si>
  <si>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</si>
  <si>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</si>
  <si>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</si>
  <si>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</si>
  <si>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</si>
  <si>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</si>
  <si>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</si>
  <si>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</si>
  <si>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</si>
  <si>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</si>
  <si>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</si>
  <si>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</si>
  <si>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</si>
  <si>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</si>
  <si>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</si>
  <si>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</si>
  <si>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</si>
  <si>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</si>
  <si>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</si>
  <si>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</si>
  <si>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</si>
  <si>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</si>
  <si>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</si>
  <si>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</si>
  <si>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</si>
  <si>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</si>
  <si>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</si>
  <si>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</si>
  <si>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</si>
  <si>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</si>
  <si>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</si>
  <si>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</si>
  <si>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</si>
  <si>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</si>
  <si>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</si>
  <si>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</si>
  <si>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</si>
  <si>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</si>
  <si>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</si>
  <si>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</si>
  <si>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</si>
  <si>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</si>
  <si>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</si>
  <si>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</si>
  <si>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</si>
  <si>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</si>
  <si>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</si>
  <si>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</si>
  <si>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</si>
  <si>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</si>
  <si>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</si>
  <si>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</si>
  <si>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</si>
  <si>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</si>
  <si>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</si>
  <si>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</si>
  <si>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</si>
  <si>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</si>
  <si>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</si>
  <si>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</si>
  <si>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</si>
  <si>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</si>
  <si>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</si>
  <si>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</si>
  <si>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</si>
  <si>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</si>
  <si>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</si>
  <si>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</si>
  <si>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</si>
  <si>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</si>
  <si>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</si>
  <si>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</si>
  <si>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</si>
  <si>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</si>
  <si>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</si>
  <si>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32006</t>
  </si>
  <si>
    <t>HOUTHULST</t>
  </si>
  <si>
    <t>referentietaak LNE (2017); Jaarverslag De Lijn</t>
  </si>
  <si>
    <t>Tom Debacker</t>
  </si>
  <si>
    <t>WKK-0768</t>
  </si>
  <si>
    <t>Interne verbrandingsmotor</t>
  </si>
  <si>
    <t>WKK interne verbrandinsgmotor (gas)</t>
  </si>
  <si>
    <t>Westbroekstraat 94 / X</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</si>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</sst>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93426.35458047784</c:v>
                </c:pt>
                <c:pt idx="1">
                  <c:v>40149.644584533911</c:v>
                </c:pt>
                <c:pt idx="2">
                  <c:v>664.28599999999994</c:v>
                </c:pt>
                <c:pt idx="3">
                  <c:v>23999.757024641272</c:v>
                </c:pt>
                <c:pt idx="4">
                  <c:v>7637.6160528496448</c:v>
                </c:pt>
                <c:pt idx="5">
                  <c:v>50303.671133287011</c:v>
                </c:pt>
                <c:pt idx="6">
                  <c:v>612.72950227528497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93426.35458047784</c:v>
                </c:pt>
                <c:pt idx="1">
                  <c:v>40149.644584533911</c:v>
                </c:pt>
                <c:pt idx="2">
                  <c:v>664.28599999999994</c:v>
                </c:pt>
                <c:pt idx="3">
                  <c:v>23999.757024641272</c:v>
                </c:pt>
                <c:pt idx="4">
                  <c:v>7637.6160528496448</c:v>
                </c:pt>
                <c:pt idx="5">
                  <c:v>50303.671133287011</c:v>
                </c:pt>
                <c:pt idx="6">
                  <c:v>612.72950227528497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16897.212790538895</c:v>
                </c:pt>
                <c:pt idx="1">
                  <c:v>7432.1222630271732</c:v>
                </c:pt>
                <c:pt idx="2">
                  <c:v>123.86420616119528</c:v>
                </c:pt>
                <c:pt idx="3">
                  <c:v>6022.6645974292323</c:v>
                </c:pt>
                <c:pt idx="4">
                  <c:v>1584.7445781534716</c:v>
                </c:pt>
                <c:pt idx="5">
                  <c:v>12474.223225667447</c:v>
                </c:pt>
                <c:pt idx="6">
                  <c:v>155.17793834333392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16897.212790538895</c:v>
                </c:pt>
                <c:pt idx="1">
                  <c:v>7432.1222630271732</c:v>
                </c:pt>
                <c:pt idx="2">
                  <c:v>123.86420616119528</c:v>
                </c:pt>
                <c:pt idx="3">
                  <c:v>6022.6645974292323</c:v>
                </c:pt>
                <c:pt idx="4">
                  <c:v>1584.7445781534716</c:v>
                </c:pt>
                <c:pt idx="5">
                  <c:v>12474.223225667447</c:v>
                </c:pt>
                <c:pt idx="6">
                  <c:v>155.17793834333392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32006</v>
      </c>
      <c r="B6" s="392"/>
      <c r="C6" s="393"/>
    </row>
    <row r="7" spans="1:7" s="390" customFormat="1" ht="15.75" customHeight="1">
      <c r="A7" s="394" t="str">
        <f>txtMunicipality</f>
        <v>HOUTHULST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19322.796238605868</v>
      </c>
      <c r="D10" s="689">
        <f ca="1">tertiair!C16</f>
        <v>0</v>
      </c>
      <c r="E10" s="689">
        <f ca="1">tertiair!D16</f>
        <v>8865.005781419859</v>
      </c>
      <c r="F10" s="689">
        <f>tertiair!E16</f>
        <v>185.71912196331499</v>
      </c>
      <c r="G10" s="689">
        <f ca="1">tertiair!F16</f>
        <v>7940.3886995538105</v>
      </c>
      <c r="H10" s="689">
        <f>tertiair!G16</f>
        <v>0</v>
      </c>
      <c r="I10" s="689">
        <f>tertiair!H16</f>
        <v>0</v>
      </c>
      <c r="J10" s="689">
        <f>tertiair!I16</f>
        <v>0</v>
      </c>
      <c r="K10" s="689">
        <f>tertiair!J16</f>
        <v>0.12103134291342849</v>
      </c>
      <c r="L10" s="689">
        <f>tertiair!K16</f>
        <v>0</v>
      </c>
      <c r="M10" s="689">
        <f ca="1">tertiair!L16</f>
        <v>0</v>
      </c>
      <c r="N10" s="689">
        <f>tertiair!M16</f>
        <v>0</v>
      </c>
      <c r="O10" s="689">
        <f ca="1">tertiair!N16</f>
        <v>4389.9241742693102</v>
      </c>
      <c r="P10" s="689">
        <f>tertiair!O16</f>
        <v>4.8972607658411542</v>
      </c>
      <c r="Q10" s="690">
        <f>tertiair!P16</f>
        <v>105.07827661299004</v>
      </c>
      <c r="R10" s="692">
        <f ca="1">SUM(C10:Q10)</f>
        <v>40813.930584533911</v>
      </c>
      <c r="S10" s="67"/>
    </row>
    <row r="11" spans="1:19" s="451" customFormat="1">
      <c r="A11" s="811" t="s">
        <v>224</v>
      </c>
      <c r="B11" s="816"/>
      <c r="C11" s="689">
        <f>huishoudens!B8</f>
        <v>16696.405966554808</v>
      </c>
      <c r="D11" s="689">
        <f>huishoudens!C8</f>
        <v>0</v>
      </c>
      <c r="E11" s="689">
        <f>huishoudens!D8</f>
        <v>21332.317304623051</v>
      </c>
      <c r="F11" s="689">
        <f>huishoudens!E8</f>
        <v>22567.953113518273</v>
      </c>
      <c r="G11" s="689">
        <f>huishoudens!F8</f>
        <v>12999.903413019494</v>
      </c>
      <c r="H11" s="689">
        <f>huishoudens!G8</f>
        <v>0</v>
      </c>
      <c r="I11" s="689">
        <f>huishoudens!H8</f>
        <v>0</v>
      </c>
      <c r="J11" s="689">
        <f>huishoudens!I8</f>
        <v>0</v>
      </c>
      <c r="K11" s="689">
        <f>huishoudens!J8</f>
        <v>2488.5229155667348</v>
      </c>
      <c r="L11" s="689">
        <f>huishoudens!K8</f>
        <v>0</v>
      </c>
      <c r="M11" s="689">
        <f>huishoudens!L8</f>
        <v>0</v>
      </c>
      <c r="N11" s="689">
        <f>huishoudens!M8</f>
        <v>0</v>
      </c>
      <c r="O11" s="689">
        <f>huishoudens!N8</f>
        <v>16672.088524914026</v>
      </c>
      <c r="P11" s="689">
        <f>huishoudens!O8</f>
        <v>353.14456305089169</v>
      </c>
      <c r="Q11" s="690">
        <f>huishoudens!P8</f>
        <v>316.01877923055071</v>
      </c>
      <c r="R11" s="692">
        <f>SUM(C11:Q11)</f>
        <v>93426.35458047784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4256.5249611331265</v>
      </c>
      <c r="D13" s="689">
        <f>industrie!C18</f>
        <v>0</v>
      </c>
      <c r="E13" s="689">
        <f>industrie!D18</f>
        <v>1026.2052795086261</v>
      </c>
      <c r="F13" s="689">
        <f>industrie!E18</f>
        <v>13.311550433770027</v>
      </c>
      <c r="G13" s="689">
        <f>industrie!F18</f>
        <v>2174.7858804230468</v>
      </c>
      <c r="H13" s="689">
        <f>industrie!G18</f>
        <v>0</v>
      </c>
      <c r="I13" s="689">
        <f>industrie!H18</f>
        <v>0</v>
      </c>
      <c r="J13" s="689">
        <f>industrie!I18</f>
        <v>0</v>
      </c>
      <c r="K13" s="689">
        <f>industrie!J18</f>
        <v>0.227958581400206</v>
      </c>
      <c r="L13" s="689">
        <f>industrie!K18</f>
        <v>0</v>
      </c>
      <c r="M13" s="689">
        <f>industrie!L18</f>
        <v>0</v>
      </c>
      <c r="N13" s="689">
        <f>industrie!M18</f>
        <v>0</v>
      </c>
      <c r="O13" s="689">
        <f>industrie!N18</f>
        <v>166.56042276967503</v>
      </c>
      <c r="P13" s="689">
        <f>industrie!O18</f>
        <v>0</v>
      </c>
      <c r="Q13" s="690">
        <f>industrie!P18</f>
        <v>0</v>
      </c>
      <c r="R13" s="692">
        <f>SUM(C13:Q13)</f>
        <v>7637.6160528496448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40275.7271662938</v>
      </c>
      <c r="D16" s="725">
        <f t="shared" ref="D16:R16" ca="1" si="0">SUM(D9:D15)</f>
        <v>0</v>
      </c>
      <c r="E16" s="725">
        <f t="shared" ca="1" si="0"/>
        <v>31223.528365551538</v>
      </c>
      <c r="F16" s="725">
        <f t="shared" si="0"/>
        <v>22766.983785915356</v>
      </c>
      <c r="G16" s="725">
        <f t="shared" ca="1" si="0"/>
        <v>23115.07799299635</v>
      </c>
      <c r="H16" s="725">
        <f t="shared" si="0"/>
        <v>0</v>
      </c>
      <c r="I16" s="725">
        <f t="shared" si="0"/>
        <v>0</v>
      </c>
      <c r="J16" s="725">
        <f t="shared" si="0"/>
        <v>0</v>
      </c>
      <c r="K16" s="725">
        <f t="shared" si="0"/>
        <v>2488.8719054910484</v>
      </c>
      <c r="L16" s="725">
        <f t="shared" si="0"/>
        <v>0</v>
      </c>
      <c r="M16" s="725">
        <f t="shared" ca="1" si="0"/>
        <v>0</v>
      </c>
      <c r="N16" s="725">
        <f t="shared" si="0"/>
        <v>0</v>
      </c>
      <c r="O16" s="725">
        <f t="shared" ca="1" si="0"/>
        <v>21228.573121953013</v>
      </c>
      <c r="P16" s="725">
        <f t="shared" si="0"/>
        <v>358.04182381673286</v>
      </c>
      <c r="Q16" s="725">
        <f t="shared" si="0"/>
        <v>421.09705584354072</v>
      </c>
      <c r="R16" s="725">
        <f t="shared" ca="1" si="0"/>
        <v>141877.90121786142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581.190780312112</v>
      </c>
      <c r="I19" s="689">
        <f>transport!H54</f>
        <v>0</v>
      </c>
      <c r="J19" s="689">
        <f>transport!I54</f>
        <v>0</v>
      </c>
      <c r="K19" s="689">
        <f>transport!J54</f>
        <v>0</v>
      </c>
      <c r="L19" s="689">
        <f>transport!K54</f>
        <v>0</v>
      </c>
      <c r="M19" s="689">
        <f>transport!L54</f>
        <v>0</v>
      </c>
      <c r="N19" s="689">
        <f>transport!M54</f>
        <v>31.538721963172943</v>
      </c>
      <c r="O19" s="689">
        <f>transport!N54</f>
        <v>0</v>
      </c>
      <c r="P19" s="689">
        <f>transport!O54</f>
        <v>0</v>
      </c>
      <c r="Q19" s="690">
        <f>transport!P54</f>
        <v>0</v>
      </c>
      <c r="R19" s="692">
        <f>SUM(C19:Q19)</f>
        <v>612.72950227528497</v>
      </c>
      <c r="S19" s="67"/>
    </row>
    <row r="20" spans="1:19" s="451" customFormat="1">
      <c r="A20" s="811" t="s">
        <v>306</v>
      </c>
      <c r="B20" s="816"/>
      <c r="C20" s="689">
        <f>transport!B14</f>
        <v>35.679438234655258</v>
      </c>
      <c r="D20" s="689">
        <f>transport!C14</f>
        <v>0</v>
      </c>
      <c r="E20" s="689">
        <f>transport!D14</f>
        <v>168.21463206766123</v>
      </c>
      <c r="F20" s="689">
        <f>transport!E14</f>
        <v>88.826496082523718</v>
      </c>
      <c r="G20" s="689">
        <f>transport!F14</f>
        <v>0</v>
      </c>
      <c r="H20" s="689">
        <f>transport!G14</f>
        <v>36538.226359309308</v>
      </c>
      <c r="I20" s="689">
        <f>transport!H14</f>
        <v>10673.578120970185</v>
      </c>
      <c r="J20" s="689">
        <f>transport!I14</f>
        <v>0</v>
      </c>
      <c r="K20" s="689">
        <f>transport!J14</f>
        <v>0</v>
      </c>
      <c r="L20" s="689">
        <f>transport!K14</f>
        <v>0</v>
      </c>
      <c r="M20" s="689">
        <f>transport!L14</f>
        <v>0</v>
      </c>
      <c r="N20" s="689">
        <f>transport!M14</f>
        <v>2799.1460866226785</v>
      </c>
      <c r="O20" s="689">
        <f>transport!N14</f>
        <v>0</v>
      </c>
      <c r="P20" s="689">
        <f>transport!O14</f>
        <v>0</v>
      </c>
      <c r="Q20" s="690">
        <f>transport!P14</f>
        <v>0</v>
      </c>
      <c r="R20" s="692">
        <f>SUM(C20:Q20)</f>
        <v>50303.671133287011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35.679438234655258</v>
      </c>
      <c r="D22" s="814">
        <f t="shared" ref="D22:R22" si="1">SUM(D18:D21)</f>
        <v>0</v>
      </c>
      <c r="E22" s="814">
        <f t="shared" si="1"/>
        <v>168.21463206766123</v>
      </c>
      <c r="F22" s="814">
        <f t="shared" si="1"/>
        <v>88.826496082523718</v>
      </c>
      <c r="G22" s="814">
        <f t="shared" si="1"/>
        <v>0</v>
      </c>
      <c r="H22" s="814">
        <f t="shared" si="1"/>
        <v>37119.417139621422</v>
      </c>
      <c r="I22" s="814">
        <f t="shared" si="1"/>
        <v>10673.578120970185</v>
      </c>
      <c r="J22" s="814">
        <f t="shared" si="1"/>
        <v>0</v>
      </c>
      <c r="K22" s="814">
        <f t="shared" si="1"/>
        <v>0</v>
      </c>
      <c r="L22" s="814">
        <f t="shared" si="1"/>
        <v>0</v>
      </c>
      <c r="M22" s="814">
        <f t="shared" si="1"/>
        <v>0</v>
      </c>
      <c r="N22" s="814">
        <f t="shared" si="1"/>
        <v>2830.6848085858514</v>
      </c>
      <c r="O22" s="814">
        <f t="shared" si="1"/>
        <v>0</v>
      </c>
      <c r="P22" s="814">
        <f t="shared" si="1"/>
        <v>0</v>
      </c>
      <c r="Q22" s="814">
        <f t="shared" si="1"/>
        <v>0</v>
      </c>
      <c r="R22" s="814">
        <f t="shared" si="1"/>
        <v>50916.400635562299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5027.1319080272997</v>
      </c>
      <c r="D24" s="689">
        <f>+landbouw!C8</f>
        <v>62.357142857142847</v>
      </c>
      <c r="E24" s="689">
        <f>+landbouw!D8</f>
        <v>1093.185433791421</v>
      </c>
      <c r="F24" s="689">
        <f>+landbouw!E8</f>
        <v>187.47712574992156</v>
      </c>
      <c r="G24" s="689">
        <f>+landbouw!F8</f>
        <v>16309.958469874942</v>
      </c>
      <c r="H24" s="689">
        <f>+landbouw!G8</f>
        <v>0</v>
      </c>
      <c r="I24" s="689">
        <f>+landbouw!H8</f>
        <v>0</v>
      </c>
      <c r="J24" s="689">
        <f>+landbouw!I8</f>
        <v>0</v>
      </c>
      <c r="K24" s="689">
        <f>+landbouw!J8</f>
        <v>1319.6469443405447</v>
      </c>
      <c r="L24" s="689">
        <f>+landbouw!K8</f>
        <v>0</v>
      </c>
      <c r="M24" s="689">
        <f>+landbouw!L8</f>
        <v>0</v>
      </c>
      <c r="N24" s="689">
        <f>+landbouw!M8</f>
        <v>0</v>
      </c>
      <c r="O24" s="689">
        <f>+landbouw!N8</f>
        <v>0</v>
      </c>
      <c r="P24" s="689">
        <f>+landbouw!O8</f>
        <v>0</v>
      </c>
      <c r="Q24" s="690">
        <f>+landbouw!P8</f>
        <v>0</v>
      </c>
      <c r="R24" s="692">
        <f>SUM(C24:Q24)</f>
        <v>23999.757024641272</v>
      </c>
      <c r="S24" s="67"/>
    </row>
    <row r="25" spans="1:19" s="451" customFormat="1" ht="15" thickBot="1">
      <c r="A25" s="833" t="s">
        <v>714</v>
      </c>
      <c r="B25" s="947"/>
      <c r="C25" s="948">
        <f>IF(Onbekend_ele_kWh="---",0,Onbekend_ele_kWh)/1000+IF(REST_rest_ele_kWh="---",0,REST_rest_ele_kWh)/1000</f>
        <v>504.20536074325599</v>
      </c>
      <c r="D25" s="948"/>
      <c r="E25" s="948">
        <f>IF(onbekend_gas_kWh="---",0,onbekend_gas_kWh)/1000+IF(REST_rest_gas_kWh="---",0,REST_rest_gas_kWh)/1000</f>
        <v>658.86737626823003</v>
      </c>
      <c r="F25" s="948"/>
      <c r="G25" s="948"/>
      <c r="H25" s="948"/>
      <c r="I25" s="948"/>
      <c r="J25" s="948"/>
      <c r="K25" s="948"/>
      <c r="L25" s="948"/>
      <c r="M25" s="948"/>
      <c r="N25" s="948"/>
      <c r="O25" s="948"/>
      <c r="P25" s="948"/>
      <c r="Q25" s="949"/>
      <c r="R25" s="692">
        <f>SUM(C25:Q25)</f>
        <v>1163.072737011486</v>
      </c>
      <c r="S25" s="67"/>
    </row>
    <row r="26" spans="1:19" s="451" customFormat="1" ht="15.75" thickBot="1">
      <c r="A26" s="697" t="s">
        <v>715</v>
      </c>
      <c r="B26" s="819"/>
      <c r="C26" s="814">
        <f>SUM(C24:C25)</f>
        <v>5531.337268770556</v>
      </c>
      <c r="D26" s="814">
        <f t="shared" ref="D26:R26" si="2">SUM(D24:D25)</f>
        <v>62.357142857142847</v>
      </c>
      <c r="E26" s="814">
        <f t="shared" si="2"/>
        <v>1752.0528100596512</v>
      </c>
      <c r="F26" s="814">
        <f t="shared" si="2"/>
        <v>187.47712574992156</v>
      </c>
      <c r="G26" s="814">
        <f t="shared" si="2"/>
        <v>16309.958469874942</v>
      </c>
      <c r="H26" s="814">
        <f t="shared" si="2"/>
        <v>0</v>
      </c>
      <c r="I26" s="814">
        <f t="shared" si="2"/>
        <v>0</v>
      </c>
      <c r="J26" s="814">
        <f t="shared" si="2"/>
        <v>0</v>
      </c>
      <c r="K26" s="814">
        <f t="shared" si="2"/>
        <v>1319.6469443405447</v>
      </c>
      <c r="L26" s="814">
        <f t="shared" si="2"/>
        <v>0</v>
      </c>
      <c r="M26" s="814">
        <f t="shared" si="2"/>
        <v>0</v>
      </c>
      <c r="N26" s="814">
        <f t="shared" si="2"/>
        <v>0</v>
      </c>
      <c r="O26" s="814">
        <f t="shared" si="2"/>
        <v>0</v>
      </c>
      <c r="P26" s="814">
        <f t="shared" si="2"/>
        <v>0</v>
      </c>
      <c r="Q26" s="814">
        <f t="shared" si="2"/>
        <v>0</v>
      </c>
      <c r="R26" s="814">
        <f t="shared" si="2"/>
        <v>25162.82976165276</v>
      </c>
      <c r="S26" s="67"/>
    </row>
    <row r="27" spans="1:19" s="451" customFormat="1" ht="17.25" thickTop="1" thickBot="1">
      <c r="A27" s="698" t="s">
        <v>115</v>
      </c>
      <c r="B27" s="806"/>
      <c r="C27" s="699">
        <f ca="1">C22+C16+C26</f>
        <v>45842.743873299012</v>
      </c>
      <c r="D27" s="699">
        <f t="shared" ref="D27:R27" ca="1" si="3">D22+D16+D26</f>
        <v>62.357142857142847</v>
      </c>
      <c r="E27" s="699">
        <f t="shared" ca="1" si="3"/>
        <v>33143.795807678849</v>
      </c>
      <c r="F27" s="699">
        <f t="shared" si="3"/>
        <v>23043.287407747805</v>
      </c>
      <c r="G27" s="699">
        <f t="shared" ca="1" si="3"/>
        <v>39425.036462871292</v>
      </c>
      <c r="H27" s="699">
        <f t="shared" si="3"/>
        <v>37119.417139621422</v>
      </c>
      <c r="I27" s="699">
        <f t="shared" si="3"/>
        <v>10673.578120970185</v>
      </c>
      <c r="J27" s="699">
        <f t="shared" si="3"/>
        <v>0</v>
      </c>
      <c r="K27" s="699">
        <f t="shared" si="3"/>
        <v>3808.5188498315929</v>
      </c>
      <c r="L27" s="699">
        <f t="shared" si="3"/>
        <v>0</v>
      </c>
      <c r="M27" s="699">
        <f t="shared" ca="1" si="3"/>
        <v>0</v>
      </c>
      <c r="N27" s="699">
        <f t="shared" si="3"/>
        <v>2830.6848085858514</v>
      </c>
      <c r="O27" s="699">
        <f t="shared" ca="1" si="3"/>
        <v>21228.573121953013</v>
      </c>
      <c r="P27" s="699">
        <f t="shared" si="3"/>
        <v>358.04182381673286</v>
      </c>
      <c r="Q27" s="699">
        <f t="shared" si="3"/>
        <v>421.09705584354072</v>
      </c>
      <c r="R27" s="699">
        <f t="shared" ca="1" si="3"/>
        <v>217957.13161507648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3602.9704327796253</v>
      </c>
      <c r="D40" s="689">
        <f ca="1">tertiair!C20</f>
        <v>0</v>
      </c>
      <c r="E40" s="689">
        <f ca="1">tertiair!D20</f>
        <v>1790.7311678468116</v>
      </c>
      <c r="F40" s="689">
        <f>tertiair!E20</f>
        <v>42.158240685672503</v>
      </c>
      <c r="G40" s="689">
        <f ca="1">tertiair!F20</f>
        <v>2120.0837827808678</v>
      </c>
      <c r="H40" s="689">
        <f>tertiair!G20</f>
        <v>0</v>
      </c>
      <c r="I40" s="689">
        <f>tertiair!H20</f>
        <v>0</v>
      </c>
      <c r="J40" s="689">
        <f>tertiair!I20</f>
        <v>0</v>
      </c>
      <c r="K40" s="689">
        <f>tertiair!J20</f>
        <v>4.2845095391353678E-2</v>
      </c>
      <c r="L40" s="689">
        <f>tertiair!K20</f>
        <v>0</v>
      </c>
      <c r="M40" s="689">
        <f ca="1">tertiair!L20</f>
        <v>0</v>
      </c>
      <c r="N40" s="689">
        <f>tertiair!M20</f>
        <v>0</v>
      </c>
      <c r="O40" s="689">
        <f ca="1">tertiair!N20</f>
        <v>0</v>
      </c>
      <c r="P40" s="689">
        <f>tertiair!O20</f>
        <v>0</v>
      </c>
      <c r="Q40" s="772">
        <f>tertiair!P20</f>
        <v>0</v>
      </c>
      <c r="R40" s="852">
        <f t="shared" ca="1" si="4"/>
        <v>7555.9864691883686</v>
      </c>
    </row>
    <row r="41" spans="1:18">
      <c r="A41" s="824" t="s">
        <v>224</v>
      </c>
      <c r="B41" s="831"/>
      <c r="C41" s="689">
        <f ca="1">huishoudens!B12</f>
        <v>3113.2480148495615</v>
      </c>
      <c r="D41" s="689">
        <f ca="1">huishoudens!C12</f>
        <v>0</v>
      </c>
      <c r="E41" s="689">
        <f>huishoudens!D12</f>
        <v>4309.128095533857</v>
      </c>
      <c r="F41" s="689">
        <f>huishoudens!E12</f>
        <v>5122.9253567686483</v>
      </c>
      <c r="G41" s="689">
        <f>huishoudens!F12</f>
        <v>3470.9742112762051</v>
      </c>
      <c r="H41" s="689">
        <f>huishoudens!G12</f>
        <v>0</v>
      </c>
      <c r="I41" s="689">
        <f>huishoudens!H12</f>
        <v>0</v>
      </c>
      <c r="J41" s="689">
        <f>huishoudens!I12</f>
        <v>0</v>
      </c>
      <c r="K41" s="689">
        <f>huishoudens!J12</f>
        <v>880.93711211062407</v>
      </c>
      <c r="L41" s="689">
        <f>huishoudens!K12</f>
        <v>0</v>
      </c>
      <c r="M41" s="689">
        <f>huishoudens!L12</f>
        <v>0</v>
      </c>
      <c r="N41" s="689">
        <f>huishoudens!M12</f>
        <v>0</v>
      </c>
      <c r="O41" s="689">
        <f>huishoudens!N12</f>
        <v>0</v>
      </c>
      <c r="P41" s="689">
        <f>huishoudens!O12</f>
        <v>0</v>
      </c>
      <c r="Q41" s="772">
        <f>huishoudens!P12</f>
        <v>0</v>
      </c>
      <c r="R41" s="852">
        <f t="shared" ca="1" si="4"/>
        <v>16897.212790538895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793.68086233349391</v>
      </c>
      <c r="D43" s="689">
        <f ca="1">industrie!C22</f>
        <v>0</v>
      </c>
      <c r="E43" s="689">
        <f>industrie!D22</f>
        <v>207.29346646074248</v>
      </c>
      <c r="F43" s="689">
        <f>industrie!E22</f>
        <v>3.021721948465796</v>
      </c>
      <c r="G43" s="689">
        <f>industrie!F22</f>
        <v>580.66783007295351</v>
      </c>
      <c r="H43" s="689">
        <f>industrie!G22</f>
        <v>0</v>
      </c>
      <c r="I43" s="689">
        <f>industrie!H22</f>
        <v>0</v>
      </c>
      <c r="J43" s="689">
        <f>industrie!I22</f>
        <v>0</v>
      </c>
      <c r="K43" s="689">
        <f>industrie!J22</f>
        <v>8.0697337815672926E-2</v>
      </c>
      <c r="L43" s="689">
        <f>industrie!K22</f>
        <v>0</v>
      </c>
      <c r="M43" s="689">
        <f>industrie!L22</f>
        <v>0</v>
      </c>
      <c r="N43" s="689">
        <f>industrie!M22</f>
        <v>0</v>
      </c>
      <c r="O43" s="689">
        <f>industrie!N22</f>
        <v>0</v>
      </c>
      <c r="P43" s="689">
        <f>industrie!O22</f>
        <v>0</v>
      </c>
      <c r="Q43" s="772">
        <f>industrie!P22</f>
        <v>0</v>
      </c>
      <c r="R43" s="851">
        <f t="shared" ca="1" si="4"/>
        <v>1584.7445781534716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7509.8993099626805</v>
      </c>
      <c r="D46" s="725">
        <f t="shared" ref="D46:Q46" ca="1" si="5">SUM(D39:D45)</f>
        <v>0</v>
      </c>
      <c r="E46" s="725">
        <f t="shared" ca="1" si="5"/>
        <v>6307.1527298414112</v>
      </c>
      <c r="F46" s="725">
        <f t="shared" si="5"/>
        <v>5168.1053194027863</v>
      </c>
      <c r="G46" s="725">
        <f t="shared" ca="1" si="5"/>
        <v>6171.7258241300269</v>
      </c>
      <c r="H46" s="725">
        <f t="shared" si="5"/>
        <v>0</v>
      </c>
      <c r="I46" s="725">
        <f t="shared" si="5"/>
        <v>0</v>
      </c>
      <c r="J46" s="725">
        <f t="shared" si="5"/>
        <v>0</v>
      </c>
      <c r="K46" s="725">
        <f t="shared" si="5"/>
        <v>881.06065454383111</v>
      </c>
      <c r="L46" s="725">
        <f t="shared" si="5"/>
        <v>0</v>
      </c>
      <c r="M46" s="725">
        <f t="shared" ca="1" si="5"/>
        <v>0</v>
      </c>
      <c r="N46" s="725">
        <f t="shared" si="5"/>
        <v>0</v>
      </c>
      <c r="O46" s="725">
        <f t="shared" ca="1" si="5"/>
        <v>0</v>
      </c>
      <c r="P46" s="725">
        <f t="shared" si="5"/>
        <v>0</v>
      </c>
      <c r="Q46" s="725">
        <f t="shared" si="5"/>
        <v>0</v>
      </c>
      <c r="R46" s="725">
        <f ca="1">SUM(R39:R45)</f>
        <v>26037.943837880732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155.17793834333392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155.17793834333392</v>
      </c>
    </row>
    <row r="50" spans="1:18">
      <c r="A50" s="827" t="s">
        <v>306</v>
      </c>
      <c r="B50" s="837"/>
      <c r="C50" s="695">
        <f ca="1">transport!B18</f>
        <v>6.6528653218839064</v>
      </c>
      <c r="D50" s="695">
        <f>transport!C18</f>
        <v>0</v>
      </c>
      <c r="E50" s="695">
        <f>transport!D18</f>
        <v>33.97935567766757</v>
      </c>
      <c r="F50" s="695">
        <f>transport!E18</f>
        <v>20.163614610732886</v>
      </c>
      <c r="G50" s="695">
        <f>transport!F18</f>
        <v>0</v>
      </c>
      <c r="H50" s="695">
        <f>transport!G18</f>
        <v>9755.7064379355852</v>
      </c>
      <c r="I50" s="695">
        <f>transport!H18</f>
        <v>2657.7209521215764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12474.223225667447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6.6528653218839064</v>
      </c>
      <c r="D52" s="725">
        <f t="shared" ref="D52:Q52" ca="1" si="6">SUM(D48:D51)</f>
        <v>0</v>
      </c>
      <c r="E52" s="725">
        <f t="shared" si="6"/>
        <v>33.97935567766757</v>
      </c>
      <c r="F52" s="725">
        <f t="shared" si="6"/>
        <v>20.163614610732886</v>
      </c>
      <c r="G52" s="725">
        <f t="shared" si="6"/>
        <v>0</v>
      </c>
      <c r="H52" s="725">
        <f t="shared" si="6"/>
        <v>9910.8843762789184</v>
      </c>
      <c r="I52" s="725">
        <f t="shared" si="6"/>
        <v>2657.7209521215764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12629.40116401078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937.36990250497001</v>
      </c>
      <c r="D54" s="695">
        <f ca="1">+landbouw!C12</f>
        <v>0</v>
      </c>
      <c r="E54" s="695">
        <f>+landbouw!D12</f>
        <v>220.82345762586706</v>
      </c>
      <c r="F54" s="695">
        <f>+landbouw!E12</f>
        <v>42.557307545232192</v>
      </c>
      <c r="G54" s="695">
        <f>+landbouw!F12</f>
        <v>4354.7589114566099</v>
      </c>
      <c r="H54" s="695">
        <f>+landbouw!G12</f>
        <v>0</v>
      </c>
      <c r="I54" s="695">
        <f>+landbouw!H12</f>
        <v>0</v>
      </c>
      <c r="J54" s="695">
        <f>+landbouw!I12</f>
        <v>0</v>
      </c>
      <c r="K54" s="695">
        <f>+landbouw!J12</f>
        <v>467.15501829655278</v>
      </c>
      <c r="L54" s="695">
        <f>+landbouw!K12</f>
        <v>0</v>
      </c>
      <c r="M54" s="695">
        <f>+landbouw!L12</f>
        <v>0</v>
      </c>
      <c r="N54" s="695">
        <f>+landbouw!M12</f>
        <v>0</v>
      </c>
      <c r="O54" s="695">
        <f>+landbouw!N12</f>
        <v>0</v>
      </c>
      <c r="P54" s="695">
        <f>+landbouw!O12</f>
        <v>0</v>
      </c>
      <c r="Q54" s="696">
        <f>+landbouw!P12</f>
        <v>0</v>
      </c>
      <c r="R54" s="724">
        <f ca="1">SUM(C54:Q54)</f>
        <v>6022.6645974292323</v>
      </c>
    </row>
    <row r="55" spans="1:18" ht="15" thickBot="1">
      <c r="A55" s="827" t="s">
        <v>714</v>
      </c>
      <c r="B55" s="837"/>
      <c r="C55" s="695">
        <f ca="1">C25*'EF ele_warmte'!B12</f>
        <v>94.015223489103349</v>
      </c>
      <c r="D55" s="695"/>
      <c r="E55" s="695">
        <f>E25*EF_CO2_aardgas</f>
        <v>133.09121000618248</v>
      </c>
      <c r="F55" s="695"/>
      <c r="G55" s="695"/>
      <c r="H55" s="695"/>
      <c r="I55" s="695"/>
      <c r="J55" s="695"/>
      <c r="K55" s="695"/>
      <c r="L55" s="695"/>
      <c r="M55" s="695"/>
      <c r="N55" s="695"/>
      <c r="O55" s="695"/>
      <c r="P55" s="695"/>
      <c r="Q55" s="696"/>
      <c r="R55" s="724">
        <f ca="1">SUM(C55:Q55)</f>
        <v>227.10643349528584</v>
      </c>
    </row>
    <row r="56" spans="1:18" ht="15.75" thickBot="1">
      <c r="A56" s="825" t="s">
        <v>715</v>
      </c>
      <c r="B56" s="838"/>
      <c r="C56" s="725">
        <f ca="1">SUM(C54:C55)</f>
        <v>1031.3851259940734</v>
      </c>
      <c r="D56" s="725">
        <f t="shared" ref="D56:Q56" ca="1" si="7">SUM(D54:D55)</f>
        <v>0</v>
      </c>
      <c r="E56" s="725">
        <f t="shared" si="7"/>
        <v>353.91466763204954</v>
      </c>
      <c r="F56" s="725">
        <f t="shared" si="7"/>
        <v>42.557307545232192</v>
      </c>
      <c r="G56" s="725">
        <f t="shared" si="7"/>
        <v>4354.7589114566099</v>
      </c>
      <c r="H56" s="725">
        <f t="shared" si="7"/>
        <v>0</v>
      </c>
      <c r="I56" s="725">
        <f t="shared" si="7"/>
        <v>0</v>
      </c>
      <c r="J56" s="725">
        <f t="shared" si="7"/>
        <v>0</v>
      </c>
      <c r="K56" s="725">
        <f t="shared" si="7"/>
        <v>467.15501829655278</v>
      </c>
      <c r="L56" s="725">
        <f t="shared" si="7"/>
        <v>0</v>
      </c>
      <c r="M56" s="725">
        <f t="shared" si="7"/>
        <v>0</v>
      </c>
      <c r="N56" s="725">
        <f t="shared" si="7"/>
        <v>0</v>
      </c>
      <c r="O56" s="725">
        <f t="shared" si="7"/>
        <v>0</v>
      </c>
      <c r="P56" s="725">
        <f t="shared" si="7"/>
        <v>0</v>
      </c>
      <c r="Q56" s="726">
        <f t="shared" si="7"/>
        <v>0</v>
      </c>
      <c r="R56" s="727">
        <f ca="1">SUM(R54:R55)</f>
        <v>6249.7710309245185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8547.9373012786382</v>
      </c>
      <c r="D61" s="733">
        <f t="shared" ref="D61:Q61" ca="1" si="8">D46+D52+D56</f>
        <v>0</v>
      </c>
      <c r="E61" s="733">
        <f t="shared" ca="1" si="8"/>
        <v>6695.0467531511285</v>
      </c>
      <c r="F61" s="733">
        <f t="shared" si="8"/>
        <v>5230.8262415587515</v>
      </c>
      <c r="G61" s="733">
        <f t="shared" ca="1" si="8"/>
        <v>10526.484735586637</v>
      </c>
      <c r="H61" s="733">
        <f t="shared" si="8"/>
        <v>9910.8843762789184</v>
      </c>
      <c r="I61" s="733">
        <f t="shared" si="8"/>
        <v>2657.7209521215764</v>
      </c>
      <c r="J61" s="733">
        <f t="shared" si="8"/>
        <v>0</v>
      </c>
      <c r="K61" s="733">
        <f t="shared" si="8"/>
        <v>1348.2156728403838</v>
      </c>
      <c r="L61" s="733">
        <f t="shared" si="8"/>
        <v>0</v>
      </c>
      <c r="M61" s="733">
        <f t="shared" ca="1" si="8"/>
        <v>0</v>
      </c>
      <c r="N61" s="733">
        <f t="shared" si="8"/>
        <v>0</v>
      </c>
      <c r="O61" s="733">
        <f t="shared" ca="1" si="8"/>
        <v>0</v>
      </c>
      <c r="P61" s="733">
        <f t="shared" si="8"/>
        <v>0</v>
      </c>
      <c r="Q61" s="733">
        <f t="shared" si="8"/>
        <v>0</v>
      </c>
      <c r="R61" s="733">
        <f ca="1">R46+R52+R56</f>
        <v>44917.116032816026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0.18646216563527651</v>
      </c>
      <c r="D63" s="779">
        <f t="shared" ca="1" si="9"/>
        <v>0</v>
      </c>
      <c r="E63" s="973">
        <f t="shared" ca="1" si="9"/>
        <v>0.20200000000000004</v>
      </c>
      <c r="F63" s="779">
        <f t="shared" si="9"/>
        <v>0.22699999999999998</v>
      </c>
      <c r="G63" s="779">
        <f t="shared" ca="1" si="9"/>
        <v>0.26700000000000007</v>
      </c>
      <c r="H63" s="779">
        <f t="shared" si="9"/>
        <v>0.26699999999999996</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7120.6445462463516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7164.2945462463513</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16696.405966554808</v>
      </c>
      <c r="C4" s="455">
        <f>huishoudens!C8</f>
        <v>0</v>
      </c>
      <c r="D4" s="455">
        <f>huishoudens!D8</f>
        <v>21332.317304623051</v>
      </c>
      <c r="E4" s="455">
        <f>huishoudens!E8</f>
        <v>22567.953113518273</v>
      </c>
      <c r="F4" s="455">
        <f>huishoudens!F8</f>
        <v>12999.903413019494</v>
      </c>
      <c r="G4" s="455">
        <f>huishoudens!G8</f>
        <v>0</v>
      </c>
      <c r="H4" s="455">
        <f>huishoudens!H8</f>
        <v>0</v>
      </c>
      <c r="I4" s="455">
        <f>huishoudens!I8</f>
        <v>0</v>
      </c>
      <c r="J4" s="455">
        <f>huishoudens!J8</f>
        <v>2488.5229155667348</v>
      </c>
      <c r="K4" s="455">
        <f>huishoudens!K8</f>
        <v>0</v>
      </c>
      <c r="L4" s="455">
        <f>huishoudens!L8</f>
        <v>0</v>
      </c>
      <c r="M4" s="455">
        <f>huishoudens!M8</f>
        <v>0</v>
      </c>
      <c r="N4" s="455">
        <f>huishoudens!N8</f>
        <v>16672.088524914026</v>
      </c>
      <c r="O4" s="455">
        <f>huishoudens!O8</f>
        <v>353.14456305089169</v>
      </c>
      <c r="P4" s="456">
        <f>huishoudens!P8</f>
        <v>316.01877923055071</v>
      </c>
      <c r="Q4" s="457">
        <f>SUM(B4:P4)</f>
        <v>93426.35458047784</v>
      </c>
    </row>
    <row r="5" spans="1:17">
      <c r="A5" s="454" t="s">
        <v>155</v>
      </c>
      <c r="B5" s="455">
        <f ca="1">tertiair!B16</f>
        <v>18658.510238605868</v>
      </c>
      <c r="C5" s="455">
        <f ca="1">tertiair!C16</f>
        <v>0</v>
      </c>
      <c r="D5" s="455">
        <f ca="1">tertiair!D16</f>
        <v>8865.005781419859</v>
      </c>
      <c r="E5" s="455">
        <f>tertiair!E16</f>
        <v>185.71912196331499</v>
      </c>
      <c r="F5" s="455">
        <f ca="1">tertiair!F16</f>
        <v>7940.3886995538105</v>
      </c>
      <c r="G5" s="455">
        <f>tertiair!G16</f>
        <v>0</v>
      </c>
      <c r="H5" s="455">
        <f>tertiair!H16</f>
        <v>0</v>
      </c>
      <c r="I5" s="455">
        <f>tertiair!I16</f>
        <v>0</v>
      </c>
      <c r="J5" s="455">
        <f>tertiair!J16</f>
        <v>0.12103134291342849</v>
      </c>
      <c r="K5" s="455">
        <f>tertiair!K16</f>
        <v>0</v>
      </c>
      <c r="L5" s="455">
        <f ca="1">tertiair!L16</f>
        <v>0</v>
      </c>
      <c r="M5" s="455">
        <f>tertiair!M16</f>
        <v>0</v>
      </c>
      <c r="N5" s="455">
        <f ca="1">tertiair!N16</f>
        <v>4389.9241742693102</v>
      </c>
      <c r="O5" s="455">
        <f>tertiair!O16</f>
        <v>4.8972607658411542</v>
      </c>
      <c r="P5" s="456">
        <f>tertiair!P16</f>
        <v>105.07827661299004</v>
      </c>
      <c r="Q5" s="454">
        <f t="shared" ref="Q5:Q14" ca="1" si="0">SUM(B5:P5)</f>
        <v>40149.644584533911</v>
      </c>
    </row>
    <row r="6" spans="1:17">
      <c r="A6" s="454" t="s">
        <v>193</v>
      </c>
      <c r="B6" s="455">
        <f>'openbare verlichting'!B8</f>
        <v>664.28599999999994</v>
      </c>
      <c r="C6" s="455"/>
      <c r="D6" s="455"/>
      <c r="E6" s="455"/>
      <c r="F6" s="455"/>
      <c r="G6" s="455"/>
      <c r="H6" s="455"/>
      <c r="I6" s="455"/>
      <c r="J6" s="455"/>
      <c r="K6" s="455"/>
      <c r="L6" s="455"/>
      <c r="M6" s="455"/>
      <c r="N6" s="455"/>
      <c r="O6" s="455"/>
      <c r="P6" s="456"/>
      <c r="Q6" s="454">
        <f t="shared" si="0"/>
        <v>664.28599999999994</v>
      </c>
    </row>
    <row r="7" spans="1:17">
      <c r="A7" s="454" t="s">
        <v>111</v>
      </c>
      <c r="B7" s="455">
        <f>landbouw!B8</f>
        <v>5027.1319080272997</v>
      </c>
      <c r="C7" s="455">
        <f>landbouw!C8</f>
        <v>62.357142857142847</v>
      </c>
      <c r="D7" s="455">
        <f>landbouw!D8</f>
        <v>1093.185433791421</v>
      </c>
      <c r="E7" s="455">
        <f>landbouw!E8</f>
        <v>187.47712574992156</v>
      </c>
      <c r="F7" s="455">
        <f>landbouw!F8</f>
        <v>16309.958469874942</v>
      </c>
      <c r="G7" s="455">
        <f>landbouw!G8</f>
        <v>0</v>
      </c>
      <c r="H7" s="455">
        <f>landbouw!H8</f>
        <v>0</v>
      </c>
      <c r="I7" s="455">
        <f>landbouw!I8</f>
        <v>0</v>
      </c>
      <c r="J7" s="455">
        <f>landbouw!J8</f>
        <v>1319.6469443405447</v>
      </c>
      <c r="K7" s="455">
        <f>landbouw!K8</f>
        <v>0</v>
      </c>
      <c r="L7" s="455">
        <f>landbouw!L8</f>
        <v>0</v>
      </c>
      <c r="M7" s="455">
        <f>landbouw!M8</f>
        <v>0</v>
      </c>
      <c r="N7" s="455">
        <f>landbouw!N8</f>
        <v>0</v>
      </c>
      <c r="O7" s="455">
        <f>landbouw!O8</f>
        <v>0</v>
      </c>
      <c r="P7" s="456">
        <f>landbouw!P8</f>
        <v>0</v>
      </c>
      <c r="Q7" s="454">
        <f t="shared" si="0"/>
        <v>23999.757024641272</v>
      </c>
    </row>
    <row r="8" spans="1:17">
      <c r="A8" s="454" t="s">
        <v>626</v>
      </c>
      <c r="B8" s="455">
        <f>industrie!B18</f>
        <v>4256.5249611331265</v>
      </c>
      <c r="C8" s="455">
        <f>industrie!C18</f>
        <v>0</v>
      </c>
      <c r="D8" s="455">
        <f>industrie!D18</f>
        <v>1026.2052795086261</v>
      </c>
      <c r="E8" s="455">
        <f>industrie!E18</f>
        <v>13.311550433770027</v>
      </c>
      <c r="F8" s="455">
        <f>industrie!F18</f>
        <v>2174.7858804230468</v>
      </c>
      <c r="G8" s="455">
        <f>industrie!G18</f>
        <v>0</v>
      </c>
      <c r="H8" s="455">
        <f>industrie!H18</f>
        <v>0</v>
      </c>
      <c r="I8" s="455">
        <f>industrie!I18</f>
        <v>0</v>
      </c>
      <c r="J8" s="455">
        <f>industrie!J18</f>
        <v>0.227958581400206</v>
      </c>
      <c r="K8" s="455">
        <f>industrie!K18</f>
        <v>0</v>
      </c>
      <c r="L8" s="455">
        <f>industrie!L18</f>
        <v>0</v>
      </c>
      <c r="M8" s="455">
        <f>industrie!M18</f>
        <v>0</v>
      </c>
      <c r="N8" s="455">
        <f>industrie!N18</f>
        <v>166.56042276967503</v>
      </c>
      <c r="O8" s="455">
        <f>industrie!O18</f>
        <v>0</v>
      </c>
      <c r="P8" s="456">
        <f>industrie!P18</f>
        <v>0</v>
      </c>
      <c r="Q8" s="454">
        <f t="shared" si="0"/>
        <v>7637.6160528496448</v>
      </c>
    </row>
    <row r="9" spans="1:17" s="460" customFormat="1">
      <c r="A9" s="458" t="s">
        <v>552</v>
      </c>
      <c r="B9" s="459">
        <f>transport!B14</f>
        <v>35.679438234655258</v>
      </c>
      <c r="C9" s="459">
        <f>transport!C14</f>
        <v>0</v>
      </c>
      <c r="D9" s="459">
        <f>transport!D14</f>
        <v>168.21463206766123</v>
      </c>
      <c r="E9" s="459">
        <f>transport!E14</f>
        <v>88.826496082523718</v>
      </c>
      <c r="F9" s="459">
        <f>transport!F14</f>
        <v>0</v>
      </c>
      <c r="G9" s="459">
        <f>transport!G14</f>
        <v>36538.226359309308</v>
      </c>
      <c r="H9" s="459">
        <f>transport!H14</f>
        <v>10673.578120970185</v>
      </c>
      <c r="I9" s="459">
        <f>transport!I14</f>
        <v>0</v>
      </c>
      <c r="J9" s="459">
        <f>transport!J14</f>
        <v>0</v>
      </c>
      <c r="K9" s="459">
        <f>transport!K14</f>
        <v>0</v>
      </c>
      <c r="L9" s="459">
        <f>transport!L14</f>
        <v>0</v>
      </c>
      <c r="M9" s="459">
        <f>transport!M14</f>
        <v>2799.1460866226785</v>
      </c>
      <c r="N9" s="459">
        <f>transport!N14</f>
        <v>0</v>
      </c>
      <c r="O9" s="459">
        <f>transport!O14</f>
        <v>0</v>
      </c>
      <c r="P9" s="459">
        <f>transport!P14</f>
        <v>0</v>
      </c>
      <c r="Q9" s="458">
        <f>SUM(B9:P9)</f>
        <v>50303.671133287011</v>
      </c>
    </row>
    <row r="10" spans="1:17">
      <c r="A10" s="454" t="s">
        <v>542</v>
      </c>
      <c r="B10" s="455">
        <f>transport!B54</f>
        <v>0</v>
      </c>
      <c r="C10" s="455">
        <f>transport!C54</f>
        <v>0</v>
      </c>
      <c r="D10" s="455">
        <f>transport!D54</f>
        <v>0</v>
      </c>
      <c r="E10" s="455">
        <f>transport!E54</f>
        <v>0</v>
      </c>
      <c r="F10" s="455">
        <f>transport!F54</f>
        <v>0</v>
      </c>
      <c r="G10" s="455">
        <f>transport!G54</f>
        <v>581.190780312112</v>
      </c>
      <c r="H10" s="455">
        <f>transport!H54</f>
        <v>0</v>
      </c>
      <c r="I10" s="455">
        <f>transport!I54</f>
        <v>0</v>
      </c>
      <c r="J10" s="455">
        <f>transport!J54</f>
        <v>0</v>
      </c>
      <c r="K10" s="455">
        <f>transport!K54</f>
        <v>0</v>
      </c>
      <c r="L10" s="455">
        <f>transport!L54</f>
        <v>0</v>
      </c>
      <c r="M10" s="455">
        <f>transport!M54</f>
        <v>31.538721963172943</v>
      </c>
      <c r="N10" s="455">
        <f>transport!N54</f>
        <v>0</v>
      </c>
      <c r="O10" s="455">
        <f>transport!O54</f>
        <v>0</v>
      </c>
      <c r="P10" s="456">
        <f>transport!P54</f>
        <v>0</v>
      </c>
      <c r="Q10" s="454">
        <f t="shared" si="0"/>
        <v>612.72950227528497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504.20536074325599</v>
      </c>
      <c r="C14" s="462"/>
      <c r="D14" s="462">
        <f>'SEAP template'!E25</f>
        <v>658.86737626823003</v>
      </c>
      <c r="E14" s="462"/>
      <c r="F14" s="462"/>
      <c r="G14" s="462"/>
      <c r="H14" s="462"/>
      <c r="I14" s="462"/>
      <c r="J14" s="462"/>
      <c r="K14" s="462"/>
      <c r="L14" s="462"/>
      <c r="M14" s="462"/>
      <c r="N14" s="462"/>
      <c r="O14" s="462"/>
      <c r="P14" s="463"/>
      <c r="Q14" s="454">
        <f t="shared" si="0"/>
        <v>1163.072737011486</v>
      </c>
    </row>
    <row r="15" spans="1:17" s="466" customFormat="1">
      <c r="A15" s="464" t="s">
        <v>546</v>
      </c>
      <c r="B15" s="465">
        <f ca="1">SUM(B4:B14)</f>
        <v>45842.743873299012</v>
      </c>
      <c r="C15" s="465">
        <f t="shared" ref="C15:Q15" ca="1" si="1">SUM(C4:C14)</f>
        <v>62.357142857142847</v>
      </c>
      <c r="D15" s="465">
        <f t="shared" ca="1" si="1"/>
        <v>33143.795807678849</v>
      </c>
      <c r="E15" s="465">
        <f t="shared" si="1"/>
        <v>23043.287407747805</v>
      </c>
      <c r="F15" s="465">
        <f t="shared" ca="1" si="1"/>
        <v>39425.0364628713</v>
      </c>
      <c r="G15" s="465">
        <f t="shared" si="1"/>
        <v>37119.417139621422</v>
      </c>
      <c r="H15" s="465">
        <f t="shared" si="1"/>
        <v>10673.578120970185</v>
      </c>
      <c r="I15" s="465">
        <f t="shared" si="1"/>
        <v>0</v>
      </c>
      <c r="J15" s="465">
        <f t="shared" si="1"/>
        <v>3808.5188498315929</v>
      </c>
      <c r="K15" s="465">
        <f t="shared" si="1"/>
        <v>0</v>
      </c>
      <c r="L15" s="465">
        <f t="shared" ca="1" si="1"/>
        <v>0</v>
      </c>
      <c r="M15" s="465">
        <f t="shared" si="1"/>
        <v>2830.6848085858514</v>
      </c>
      <c r="N15" s="465">
        <f t="shared" ca="1" si="1"/>
        <v>21228.573121953013</v>
      </c>
      <c r="O15" s="465">
        <f t="shared" si="1"/>
        <v>358.04182381673286</v>
      </c>
      <c r="P15" s="465">
        <f t="shared" si="1"/>
        <v>421.09705584354072</v>
      </c>
      <c r="Q15" s="465">
        <f t="shared" ca="1" si="1"/>
        <v>217957.13161507645</v>
      </c>
    </row>
    <row r="17" spans="1:17">
      <c r="A17" s="467" t="s">
        <v>547</v>
      </c>
      <c r="B17" s="784">
        <f ca="1">huishoudens!B10</f>
        <v>0.18646216563527651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3113.2480148495615</v>
      </c>
      <c r="C22" s="455">
        <f t="shared" ref="C22:C32" ca="1" si="3">C4*$C$17</f>
        <v>0</v>
      </c>
      <c r="D22" s="455">
        <f t="shared" ref="D22:D32" si="4">D4*$D$17</f>
        <v>4309.128095533857</v>
      </c>
      <c r="E22" s="455">
        <f t="shared" ref="E22:E32" si="5">E4*$E$17</f>
        <v>5122.9253567686483</v>
      </c>
      <c r="F22" s="455">
        <f t="shared" ref="F22:F32" si="6">F4*$F$17</f>
        <v>3470.9742112762051</v>
      </c>
      <c r="G22" s="455">
        <f t="shared" ref="G22:G32" si="7">G4*$G$17</f>
        <v>0</v>
      </c>
      <c r="H22" s="455">
        <f t="shared" ref="H22:H32" si="8">H4*$H$17</f>
        <v>0</v>
      </c>
      <c r="I22" s="455">
        <f t="shared" ref="I22:I32" si="9">I4*$I$17</f>
        <v>0</v>
      </c>
      <c r="J22" s="455">
        <f t="shared" ref="J22:J32" si="10">J4*$J$17</f>
        <v>880.93711211062407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16897.212790538895</v>
      </c>
    </row>
    <row r="23" spans="1:17">
      <c r="A23" s="454" t="s">
        <v>155</v>
      </c>
      <c r="B23" s="455">
        <f t="shared" ca="1" si="2"/>
        <v>3479.1062266184299</v>
      </c>
      <c r="C23" s="455">
        <f t="shared" ca="1" si="3"/>
        <v>0</v>
      </c>
      <c r="D23" s="455">
        <f t="shared" ca="1" si="4"/>
        <v>1790.7311678468116</v>
      </c>
      <c r="E23" s="455">
        <f t="shared" si="5"/>
        <v>42.158240685672503</v>
      </c>
      <c r="F23" s="455">
        <f t="shared" ca="1" si="6"/>
        <v>2120.0837827808678</v>
      </c>
      <c r="G23" s="455">
        <f t="shared" si="7"/>
        <v>0</v>
      </c>
      <c r="H23" s="455">
        <f t="shared" si="8"/>
        <v>0</v>
      </c>
      <c r="I23" s="455">
        <f t="shared" si="9"/>
        <v>0</v>
      </c>
      <c r="J23" s="455">
        <f t="shared" si="10"/>
        <v>4.2845095391353678E-2</v>
      </c>
      <c r="K23" s="455">
        <f t="shared" si="11"/>
        <v>0</v>
      </c>
      <c r="L23" s="455">
        <f t="shared" ca="1" si="12"/>
        <v>0</v>
      </c>
      <c r="M23" s="455">
        <f t="shared" si="13"/>
        <v>0</v>
      </c>
      <c r="N23" s="455">
        <f t="shared" ca="1" si="14"/>
        <v>0</v>
      </c>
      <c r="O23" s="455">
        <f t="shared" si="15"/>
        <v>0</v>
      </c>
      <c r="P23" s="456">
        <f t="shared" si="16"/>
        <v>0</v>
      </c>
      <c r="Q23" s="454">
        <f t="shared" ref="Q23:Q31" ca="1" si="17">SUM(B23:P23)</f>
        <v>7432.1222630271732</v>
      </c>
    </row>
    <row r="24" spans="1:17">
      <c r="A24" s="454" t="s">
        <v>193</v>
      </c>
      <c r="B24" s="455">
        <f t="shared" ca="1" si="2"/>
        <v>123.86420616119528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123.86420616119528</v>
      </c>
    </row>
    <row r="25" spans="1:17">
      <c r="A25" s="454" t="s">
        <v>111</v>
      </c>
      <c r="B25" s="455">
        <f t="shared" ca="1" si="2"/>
        <v>937.36990250497001</v>
      </c>
      <c r="C25" s="455">
        <f t="shared" ca="1" si="3"/>
        <v>0</v>
      </c>
      <c r="D25" s="455">
        <f t="shared" si="4"/>
        <v>220.82345762586706</v>
      </c>
      <c r="E25" s="455">
        <f t="shared" si="5"/>
        <v>42.557307545232192</v>
      </c>
      <c r="F25" s="455">
        <f t="shared" si="6"/>
        <v>4354.7589114566099</v>
      </c>
      <c r="G25" s="455">
        <f t="shared" si="7"/>
        <v>0</v>
      </c>
      <c r="H25" s="455">
        <f t="shared" si="8"/>
        <v>0</v>
      </c>
      <c r="I25" s="455">
        <f t="shared" si="9"/>
        <v>0</v>
      </c>
      <c r="J25" s="455">
        <f t="shared" si="10"/>
        <v>467.15501829655278</v>
      </c>
      <c r="K25" s="455">
        <f t="shared" si="11"/>
        <v>0</v>
      </c>
      <c r="L25" s="455">
        <f t="shared" si="12"/>
        <v>0</v>
      </c>
      <c r="M25" s="455">
        <f t="shared" si="13"/>
        <v>0</v>
      </c>
      <c r="N25" s="455">
        <f t="shared" si="14"/>
        <v>0</v>
      </c>
      <c r="O25" s="455">
        <f t="shared" si="15"/>
        <v>0</v>
      </c>
      <c r="P25" s="456">
        <f t="shared" si="16"/>
        <v>0</v>
      </c>
      <c r="Q25" s="454">
        <f t="shared" ca="1" si="17"/>
        <v>6022.6645974292323</v>
      </c>
    </row>
    <row r="26" spans="1:17">
      <c r="A26" s="454" t="s">
        <v>626</v>
      </c>
      <c r="B26" s="455">
        <f t="shared" ca="1" si="2"/>
        <v>793.68086233349391</v>
      </c>
      <c r="C26" s="455">
        <f t="shared" ca="1" si="3"/>
        <v>0</v>
      </c>
      <c r="D26" s="455">
        <f t="shared" si="4"/>
        <v>207.29346646074248</v>
      </c>
      <c r="E26" s="455">
        <f t="shared" si="5"/>
        <v>3.021721948465796</v>
      </c>
      <c r="F26" s="455">
        <f t="shared" si="6"/>
        <v>580.66783007295351</v>
      </c>
      <c r="G26" s="455">
        <f t="shared" si="7"/>
        <v>0</v>
      </c>
      <c r="H26" s="455">
        <f t="shared" si="8"/>
        <v>0</v>
      </c>
      <c r="I26" s="455">
        <f t="shared" si="9"/>
        <v>0</v>
      </c>
      <c r="J26" s="455">
        <f t="shared" si="10"/>
        <v>8.0697337815672926E-2</v>
      </c>
      <c r="K26" s="455">
        <f t="shared" si="11"/>
        <v>0</v>
      </c>
      <c r="L26" s="455">
        <f t="shared" si="12"/>
        <v>0</v>
      </c>
      <c r="M26" s="455">
        <f t="shared" si="13"/>
        <v>0</v>
      </c>
      <c r="N26" s="455">
        <f t="shared" si="14"/>
        <v>0</v>
      </c>
      <c r="O26" s="455">
        <f t="shared" si="15"/>
        <v>0</v>
      </c>
      <c r="P26" s="456">
        <f t="shared" si="16"/>
        <v>0</v>
      </c>
      <c r="Q26" s="454">
        <f t="shared" ca="1" si="17"/>
        <v>1584.7445781534716</v>
      </c>
    </row>
    <row r="27" spans="1:17" s="460" customFormat="1">
      <c r="A27" s="458" t="s">
        <v>552</v>
      </c>
      <c r="B27" s="778">
        <f t="shared" ca="1" si="2"/>
        <v>6.6528653218839064</v>
      </c>
      <c r="C27" s="459">
        <f t="shared" ca="1" si="3"/>
        <v>0</v>
      </c>
      <c r="D27" s="459">
        <f t="shared" si="4"/>
        <v>33.97935567766757</v>
      </c>
      <c r="E27" s="459">
        <f t="shared" si="5"/>
        <v>20.163614610732886</v>
      </c>
      <c r="F27" s="459">
        <f t="shared" si="6"/>
        <v>0</v>
      </c>
      <c r="G27" s="459">
        <f t="shared" si="7"/>
        <v>9755.7064379355852</v>
      </c>
      <c r="H27" s="459">
        <f t="shared" si="8"/>
        <v>2657.7209521215764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12474.223225667447</v>
      </c>
    </row>
    <row r="28" spans="1:17" ht="16.5" customHeight="1">
      <c r="A28" s="454" t="s">
        <v>542</v>
      </c>
      <c r="B28" s="455">
        <f t="shared" ca="1" si="2"/>
        <v>0</v>
      </c>
      <c r="C28" s="455">
        <f t="shared" ca="1" si="3"/>
        <v>0</v>
      </c>
      <c r="D28" s="455">
        <f t="shared" si="4"/>
        <v>0</v>
      </c>
      <c r="E28" s="455">
        <f t="shared" si="5"/>
        <v>0</v>
      </c>
      <c r="F28" s="455">
        <f t="shared" si="6"/>
        <v>0</v>
      </c>
      <c r="G28" s="455">
        <f t="shared" si="7"/>
        <v>155.17793834333392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155.17793834333392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94.015223489103349</v>
      </c>
      <c r="C32" s="455">
        <f t="shared" ca="1" si="3"/>
        <v>0</v>
      </c>
      <c r="D32" s="455">
        <f t="shared" si="4"/>
        <v>133.09121000618248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227.10643349528584</v>
      </c>
    </row>
    <row r="33" spans="1:17" s="466" customFormat="1">
      <c r="A33" s="464" t="s">
        <v>546</v>
      </c>
      <c r="B33" s="465">
        <f ca="1">SUM(B22:B32)</f>
        <v>8547.9373012786382</v>
      </c>
      <c r="C33" s="465">
        <f t="shared" ref="C33:Q33" ca="1" si="19">SUM(C22:C32)</f>
        <v>0</v>
      </c>
      <c r="D33" s="465">
        <f t="shared" ca="1" si="19"/>
        <v>6695.0467531511285</v>
      </c>
      <c r="E33" s="465">
        <f t="shared" si="19"/>
        <v>5230.8262415587515</v>
      </c>
      <c r="F33" s="465">
        <f t="shared" ca="1" si="19"/>
        <v>10526.484735586635</v>
      </c>
      <c r="G33" s="465">
        <f t="shared" si="19"/>
        <v>9910.8843762789184</v>
      </c>
      <c r="H33" s="465">
        <f t="shared" si="19"/>
        <v>2657.7209521215764</v>
      </c>
      <c r="I33" s="465">
        <f t="shared" si="19"/>
        <v>0</v>
      </c>
      <c r="J33" s="465">
        <f t="shared" si="19"/>
        <v>1348.2156728403841</v>
      </c>
      <c r="K33" s="465">
        <f t="shared" si="19"/>
        <v>0</v>
      </c>
      <c r="L33" s="465">
        <f t="shared" ca="1" si="19"/>
        <v>0</v>
      </c>
      <c r="M33" s="465">
        <f t="shared" si="19"/>
        <v>0</v>
      </c>
      <c r="N33" s="465">
        <f t="shared" ca="1" si="19"/>
        <v>0</v>
      </c>
      <c r="O33" s="465">
        <f t="shared" si="19"/>
        <v>0</v>
      </c>
      <c r="P33" s="465">
        <f t="shared" si="19"/>
        <v>0</v>
      </c>
      <c r="Q33" s="465">
        <f t="shared" ca="1" si="19"/>
        <v>44917.116032816026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7120.6445462463516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7164.2945462463513</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0.18646216563527651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0.18646216563527651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0.18646216563527651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0.18646216563527651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4082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4077.16</v>
      </c>
      <c r="C14" s="332"/>
      <c r="D14" s="332"/>
      <c r="E14" s="332"/>
      <c r="F14" s="332"/>
    </row>
    <row r="15" spans="1:6">
      <c r="A15" s="1310" t="s">
        <v>183</v>
      </c>
      <c r="B15" s="1311">
        <v>65</v>
      </c>
      <c r="C15" s="332"/>
      <c r="D15" s="332"/>
      <c r="E15" s="332"/>
      <c r="F15" s="332"/>
    </row>
    <row r="16" spans="1:6">
      <c r="A16" s="1310" t="s">
        <v>6</v>
      </c>
      <c r="B16" s="1311">
        <v>1863</v>
      </c>
      <c r="C16" s="332"/>
      <c r="D16" s="332"/>
      <c r="E16" s="332"/>
      <c r="F16" s="332"/>
    </row>
    <row r="17" spans="1:6">
      <c r="A17" s="1310" t="s">
        <v>7</v>
      </c>
      <c r="B17" s="1311">
        <v>1092</v>
      </c>
      <c r="C17" s="332"/>
      <c r="D17" s="332"/>
      <c r="E17" s="332"/>
      <c r="F17" s="332"/>
    </row>
    <row r="18" spans="1:6">
      <c r="A18" s="1310" t="s">
        <v>8</v>
      </c>
      <c r="B18" s="1311">
        <v>1689</v>
      </c>
      <c r="C18" s="332"/>
      <c r="D18" s="332"/>
      <c r="E18" s="332"/>
      <c r="F18" s="332"/>
    </row>
    <row r="19" spans="1:6">
      <c r="A19" s="1310" t="s">
        <v>9</v>
      </c>
      <c r="B19" s="1311">
        <v>1540</v>
      </c>
      <c r="C19" s="332"/>
      <c r="D19" s="332"/>
      <c r="E19" s="332"/>
      <c r="F19" s="332"/>
    </row>
    <row r="20" spans="1:6">
      <c r="A20" s="1310" t="s">
        <v>10</v>
      </c>
      <c r="B20" s="1311">
        <v>1237</v>
      </c>
      <c r="C20" s="332"/>
      <c r="D20" s="332"/>
      <c r="E20" s="332"/>
      <c r="F20" s="332"/>
    </row>
    <row r="21" spans="1:6">
      <c r="A21" s="1310" t="s">
        <v>11</v>
      </c>
      <c r="B21" s="1311">
        <v>20599</v>
      </c>
      <c r="C21" s="332"/>
      <c r="D21" s="332"/>
      <c r="E21" s="332"/>
      <c r="F21" s="332"/>
    </row>
    <row r="22" spans="1:6">
      <c r="A22" s="1310" t="s">
        <v>12</v>
      </c>
      <c r="B22" s="1311">
        <v>40705</v>
      </c>
      <c r="C22" s="332"/>
      <c r="D22" s="332"/>
      <c r="E22" s="332"/>
      <c r="F22" s="332"/>
    </row>
    <row r="23" spans="1:6">
      <c r="A23" s="1310" t="s">
        <v>13</v>
      </c>
      <c r="B23" s="1311">
        <v>1064</v>
      </c>
      <c r="C23" s="332"/>
      <c r="D23" s="332"/>
      <c r="E23" s="332"/>
      <c r="F23" s="332"/>
    </row>
    <row r="24" spans="1:6">
      <c r="A24" s="1310" t="s">
        <v>14</v>
      </c>
      <c r="B24" s="1311">
        <v>49</v>
      </c>
      <c r="C24" s="332"/>
      <c r="D24" s="332"/>
      <c r="E24" s="332"/>
      <c r="F24" s="332"/>
    </row>
    <row r="25" spans="1:6">
      <c r="A25" s="1310" t="s">
        <v>15</v>
      </c>
      <c r="B25" s="1311">
        <v>6310</v>
      </c>
      <c r="C25" s="332"/>
      <c r="D25" s="332"/>
      <c r="E25" s="332"/>
      <c r="F25" s="332"/>
    </row>
    <row r="26" spans="1:6">
      <c r="A26" s="1310" t="s">
        <v>16</v>
      </c>
      <c r="B26" s="1311">
        <v>372</v>
      </c>
      <c r="C26" s="332"/>
      <c r="D26" s="332"/>
      <c r="E26" s="332"/>
      <c r="F26" s="332"/>
    </row>
    <row r="27" spans="1:6">
      <c r="A27" s="1310" t="s">
        <v>17</v>
      </c>
      <c r="B27" s="1311">
        <v>18</v>
      </c>
      <c r="C27" s="332"/>
      <c r="D27" s="332"/>
      <c r="E27" s="332"/>
      <c r="F27" s="332"/>
    </row>
    <row r="28" spans="1:6" s="43" customFormat="1">
      <c r="A28" s="1312" t="s">
        <v>18</v>
      </c>
      <c r="B28" s="1313">
        <v>123519</v>
      </c>
      <c r="C28" s="338"/>
      <c r="D28" s="338"/>
      <c r="E28" s="338"/>
      <c r="F28" s="338"/>
    </row>
    <row r="29" spans="1:6">
      <c r="A29" s="1312" t="s">
        <v>699</v>
      </c>
      <c r="B29" s="1313">
        <v>66</v>
      </c>
      <c r="C29" s="338"/>
      <c r="D29" s="338"/>
      <c r="E29" s="338"/>
      <c r="F29" s="338"/>
    </row>
    <row r="30" spans="1:6">
      <c r="A30" s="1305" t="s">
        <v>700</v>
      </c>
      <c r="B30" s="1314">
        <v>15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214063.641938513</v>
      </c>
      <c r="E38" s="1311">
        <v>2</v>
      </c>
      <c r="F38" s="1311">
        <v>27913.612824764601</v>
      </c>
    </row>
    <row r="39" spans="1:6">
      <c r="A39" s="1310" t="s">
        <v>29</v>
      </c>
      <c r="B39" s="1310" t="s">
        <v>30</v>
      </c>
      <c r="C39" s="1311">
        <v>1768</v>
      </c>
      <c r="D39" s="1311">
        <v>23623828.687290199</v>
      </c>
      <c r="E39" s="1311">
        <v>3760</v>
      </c>
      <c r="F39" s="1311">
        <v>13149540.085009899</v>
      </c>
    </row>
    <row r="40" spans="1:6">
      <c r="A40" s="1310" t="s">
        <v>29</v>
      </c>
      <c r="B40" s="1310" t="s">
        <v>28</v>
      </c>
      <c r="C40" s="1311">
        <v>0</v>
      </c>
      <c r="D40" s="1311">
        <v>0</v>
      </c>
      <c r="E40" s="1311">
        <v>0</v>
      </c>
      <c r="F40" s="1311">
        <v>0</v>
      </c>
    </row>
    <row r="41" spans="1:6">
      <c r="A41" s="1310" t="s">
        <v>31</v>
      </c>
      <c r="B41" s="1310" t="s">
        <v>32</v>
      </c>
      <c r="C41" s="1311">
        <v>57</v>
      </c>
      <c r="D41" s="1311">
        <v>871472.03916560696</v>
      </c>
      <c r="E41" s="1311">
        <v>130</v>
      </c>
      <c r="F41" s="1311">
        <v>3511930.24310923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80592.300560691307</v>
      </c>
      <c r="E44" s="1311">
        <v>19</v>
      </c>
      <c r="F44" s="1311">
        <v>232234.223534149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3</v>
      </c>
      <c r="F48" s="1311">
        <v>10807</v>
      </c>
    </row>
    <row r="49" spans="1:6">
      <c r="A49" s="1310" t="s">
        <v>31</v>
      </c>
      <c r="B49" s="1310" t="s">
        <v>39</v>
      </c>
      <c r="C49" s="1311">
        <v>0</v>
      </c>
      <c r="D49" s="1311">
        <v>0</v>
      </c>
      <c r="E49" s="1311">
        <v>4</v>
      </c>
      <c r="F49" s="1311">
        <v>11081.237777234301</v>
      </c>
    </row>
    <row r="50" spans="1:6">
      <c r="A50" s="1310" t="s">
        <v>31</v>
      </c>
      <c r="B50" s="1310" t="s">
        <v>40</v>
      </c>
      <c r="C50" s="1311">
        <v>4</v>
      </c>
      <c r="D50" s="1311">
        <v>184375.61543275599</v>
      </c>
      <c r="E50" s="1311">
        <v>11</v>
      </c>
      <c r="F50" s="1311">
        <v>490472.25671251299</v>
      </c>
    </row>
    <row r="51" spans="1:6">
      <c r="A51" s="1310" t="s">
        <v>41</v>
      </c>
      <c r="B51" s="1310" t="s">
        <v>42</v>
      </c>
      <c r="C51" s="1311">
        <v>8</v>
      </c>
      <c r="D51" s="1311">
        <v>1210615.0983293699</v>
      </c>
      <c r="E51" s="1311">
        <v>182</v>
      </c>
      <c r="F51" s="1311">
        <v>5027131.9080272997</v>
      </c>
    </row>
    <row r="52" spans="1:6">
      <c r="A52" s="1310" t="s">
        <v>41</v>
      </c>
      <c r="B52" s="1310" t="s">
        <v>28</v>
      </c>
      <c r="C52" s="1311">
        <v>0</v>
      </c>
      <c r="D52" s="1311">
        <v>0</v>
      </c>
      <c r="E52" s="1311">
        <v>0</v>
      </c>
      <c r="F52" s="1311">
        <v>0</v>
      </c>
    </row>
    <row r="53" spans="1:6">
      <c r="A53" s="1310" t="s">
        <v>43</v>
      </c>
      <c r="B53" s="1310" t="s">
        <v>44</v>
      </c>
      <c r="C53" s="1311">
        <v>40</v>
      </c>
      <c r="D53" s="1311">
        <v>658867.37626823003</v>
      </c>
      <c r="E53" s="1311">
        <v>127</v>
      </c>
      <c r="F53" s="1311">
        <v>504205.36074325599</v>
      </c>
    </row>
    <row r="54" spans="1:6">
      <c r="A54" s="1310" t="s">
        <v>45</v>
      </c>
      <c r="B54" s="1310" t="s">
        <v>46</v>
      </c>
      <c r="C54" s="1311">
        <v>0</v>
      </c>
      <c r="D54" s="1311">
        <v>0</v>
      </c>
      <c r="E54" s="1311">
        <v>1</v>
      </c>
      <c r="F54" s="1311">
        <v>664286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54</v>
      </c>
      <c r="D57" s="1311">
        <v>2031942.98192683</v>
      </c>
      <c r="E57" s="1311">
        <v>105</v>
      </c>
      <c r="F57" s="1311">
        <v>12255320.732938601</v>
      </c>
    </row>
    <row r="58" spans="1:6">
      <c r="A58" s="1310" t="s">
        <v>48</v>
      </c>
      <c r="B58" s="1310" t="s">
        <v>50</v>
      </c>
      <c r="C58" s="1311">
        <v>24</v>
      </c>
      <c r="D58" s="1311">
        <v>5130428.1147951102</v>
      </c>
      <c r="E58" s="1311">
        <v>35</v>
      </c>
      <c r="F58" s="1311">
        <v>1896247.2860926001</v>
      </c>
    </row>
    <row r="59" spans="1:6">
      <c r="A59" s="1310" t="s">
        <v>48</v>
      </c>
      <c r="B59" s="1310" t="s">
        <v>51</v>
      </c>
      <c r="C59" s="1311">
        <v>45</v>
      </c>
      <c r="D59" s="1311">
        <v>943065.55334780097</v>
      </c>
      <c r="E59" s="1311">
        <v>111</v>
      </c>
      <c r="F59" s="1311">
        <v>2833164.0137912901</v>
      </c>
    </row>
    <row r="60" spans="1:6">
      <c r="A60" s="1310" t="s">
        <v>48</v>
      </c>
      <c r="B60" s="1310" t="s">
        <v>52</v>
      </c>
      <c r="C60" s="1311">
        <v>17</v>
      </c>
      <c r="D60" s="1311">
        <v>562507.79302839795</v>
      </c>
      <c r="E60" s="1311">
        <v>31</v>
      </c>
      <c r="F60" s="1311">
        <v>600412.13404340297</v>
      </c>
    </row>
    <row r="61" spans="1:6">
      <c r="A61" s="1310" t="s">
        <v>48</v>
      </c>
      <c r="B61" s="1310" t="s">
        <v>53</v>
      </c>
      <c r="C61" s="1311">
        <v>67</v>
      </c>
      <c r="D61" s="1311">
        <v>864847.83676674799</v>
      </c>
      <c r="E61" s="1311">
        <v>156</v>
      </c>
      <c r="F61" s="1311">
        <v>996989.85167383298</v>
      </c>
    </row>
    <row r="62" spans="1:6">
      <c r="A62" s="1310" t="s">
        <v>48</v>
      </c>
      <c r="B62" s="1310" t="s">
        <v>54</v>
      </c>
      <c r="C62" s="1311">
        <v>4</v>
      </c>
      <c r="D62" s="1311">
        <v>284489.87010173302</v>
      </c>
      <c r="E62" s="1311">
        <v>5</v>
      </c>
      <c r="F62" s="1311">
        <v>76376.220066139693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58216.648343869398</v>
      </c>
      <c r="E65" s="1311">
        <v>2</v>
      </c>
      <c r="F65" s="1311">
        <v>1672.4649803877001</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84255.641468564805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29612839</v>
      </c>
      <c r="E73" s="453"/>
      <c r="F73" s="332"/>
    </row>
    <row r="74" spans="1:6">
      <c r="A74" s="1310" t="s">
        <v>63</v>
      </c>
      <c r="B74" s="1310" t="s">
        <v>648</v>
      </c>
      <c r="C74" s="1324" t="s">
        <v>650</v>
      </c>
      <c r="D74" s="1325">
        <v>2363788.8588338573</v>
      </c>
      <c r="E74" s="453"/>
      <c r="F74" s="332"/>
    </row>
    <row r="75" spans="1:6">
      <c r="A75" s="1310" t="s">
        <v>64</v>
      </c>
      <c r="B75" s="1310" t="s">
        <v>647</v>
      </c>
      <c r="C75" s="1324" t="s">
        <v>651</v>
      </c>
      <c r="D75" s="1325">
        <v>23205432</v>
      </c>
      <c r="E75" s="453"/>
      <c r="F75" s="332"/>
    </row>
    <row r="76" spans="1:6">
      <c r="A76" s="1310" t="s">
        <v>64</v>
      </c>
      <c r="B76" s="1310" t="s">
        <v>648</v>
      </c>
      <c r="C76" s="1324" t="s">
        <v>652</v>
      </c>
      <c r="D76" s="1325">
        <v>1154802.8588338576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169956.28233228499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3546.865881544908</v>
      </c>
      <c r="C91" s="332"/>
      <c r="D91" s="332"/>
      <c r="E91" s="332"/>
      <c r="F91" s="332"/>
    </row>
    <row r="92" spans="1:6">
      <c r="A92" s="1305" t="s">
        <v>68</v>
      </c>
      <c r="B92" s="1306">
        <v>3573.7786647014436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340</v>
      </c>
      <c r="C97" s="332"/>
      <c r="D97" s="332"/>
      <c r="E97" s="332"/>
      <c r="F97" s="332"/>
    </row>
    <row r="98" spans="1:6">
      <c r="A98" s="1310" t="s">
        <v>71</v>
      </c>
      <c r="B98" s="1311">
        <v>1</v>
      </c>
      <c r="C98" s="332"/>
      <c r="D98" s="332"/>
      <c r="E98" s="332"/>
      <c r="F98" s="332"/>
    </row>
    <row r="99" spans="1:6">
      <c r="A99" s="1310" t="s">
        <v>72</v>
      </c>
      <c r="B99" s="1311">
        <v>307</v>
      </c>
      <c r="C99" s="332"/>
      <c r="D99" s="332"/>
      <c r="E99" s="332"/>
      <c r="F99" s="332"/>
    </row>
    <row r="100" spans="1:6">
      <c r="A100" s="1310" t="s">
        <v>73</v>
      </c>
      <c r="B100" s="1311">
        <v>296</v>
      </c>
      <c r="C100" s="332"/>
      <c r="D100" s="332"/>
      <c r="E100" s="332"/>
      <c r="F100" s="332"/>
    </row>
    <row r="101" spans="1:6">
      <c r="A101" s="1310" t="s">
        <v>74</v>
      </c>
      <c r="B101" s="1311">
        <v>121</v>
      </c>
      <c r="C101" s="332"/>
      <c r="D101" s="332"/>
      <c r="E101" s="332"/>
      <c r="F101" s="332"/>
    </row>
    <row r="102" spans="1:6">
      <c r="A102" s="1310" t="s">
        <v>75</v>
      </c>
      <c r="B102" s="1311">
        <v>54</v>
      </c>
      <c r="C102" s="332"/>
      <c r="D102" s="332"/>
      <c r="E102" s="332"/>
      <c r="F102" s="332"/>
    </row>
    <row r="103" spans="1:6">
      <c r="A103" s="1310" t="s">
        <v>76</v>
      </c>
      <c r="B103" s="1311">
        <v>320</v>
      </c>
      <c r="C103" s="332"/>
      <c r="D103" s="332"/>
      <c r="E103" s="332"/>
      <c r="F103" s="332"/>
    </row>
    <row r="104" spans="1:6">
      <c r="A104" s="1310" t="s">
        <v>77</v>
      </c>
      <c r="B104" s="1311">
        <v>1912</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19</v>
      </c>
      <c r="C123" s="1311">
        <v>15</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162</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11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45842.743873299012</v>
      </c>
      <c r="C3" s="43" t="s">
        <v>169</v>
      </c>
      <c r="D3" s="43"/>
      <c r="E3" s="154"/>
      <c r="F3" s="43"/>
      <c r="G3" s="43"/>
      <c r="H3" s="43"/>
      <c r="I3" s="43"/>
      <c r="J3" s="43"/>
      <c r="K3" s="96"/>
    </row>
    <row r="4" spans="1:11">
      <c r="A4" s="360" t="s">
        <v>170</v>
      </c>
      <c r="B4" s="49">
        <f>IF(ISERROR('SEAP template'!B78+'SEAP template'!C78),0,'SEAP template'!B78+'SEAP template'!C78)</f>
        <v>7164.2945462463513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0.18646216563527651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664.28599999999994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664.28599999999994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0.18646216563527651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123.86420616119528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13149.540085009899</v>
      </c>
      <c r="C5" s="17">
        <f>IF(ISERROR('Eigen informatie GS &amp; warmtenet'!B59),0,'Eigen informatie GS &amp; warmtenet'!B59)</f>
        <v>0</v>
      </c>
      <c r="D5" s="30">
        <f>(SUM(HH_hh_gas_kWh,HH_rest_gas_kWh)/1000)*0.903</f>
        <v>21332.317304623051</v>
      </c>
      <c r="E5" s="17">
        <f>B46*B57</f>
        <v>22567.953113518273</v>
      </c>
      <c r="F5" s="17">
        <f>B51*B62</f>
        <v>12999.903413019494</v>
      </c>
      <c r="G5" s="18"/>
      <c r="H5" s="17"/>
      <c r="I5" s="17"/>
      <c r="J5" s="17">
        <f>B50*B61+C50*C61</f>
        <v>2488.5229155667348</v>
      </c>
      <c r="K5" s="17"/>
      <c r="L5" s="17"/>
      <c r="M5" s="17"/>
      <c r="N5" s="17">
        <f>B48*B59+C48*C59</f>
        <v>16672.088524914026</v>
      </c>
      <c r="O5" s="17">
        <f>B69*B70*B71</f>
        <v>353.14456305089169</v>
      </c>
      <c r="P5" s="17">
        <f>B77*B78*B79/1000-B77*B78*B79/1000/B80</f>
        <v>316.01877923055071</v>
      </c>
    </row>
    <row r="6" spans="1:16">
      <c r="A6" s="16" t="s">
        <v>612</v>
      </c>
      <c r="B6" s="786">
        <f>kWh_PV_kleiner_dan_10kW</f>
        <v>3546.865881544908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16696.405966554808</v>
      </c>
      <c r="C8" s="21">
        <f>C5</f>
        <v>0</v>
      </c>
      <c r="D8" s="21">
        <f>D5</f>
        <v>21332.317304623051</v>
      </c>
      <c r="E8" s="21">
        <f>E5</f>
        <v>22567.953113518273</v>
      </c>
      <c r="F8" s="21">
        <f>F5</f>
        <v>12999.903413019494</v>
      </c>
      <c r="G8" s="21"/>
      <c r="H8" s="21"/>
      <c r="I8" s="21"/>
      <c r="J8" s="21">
        <f>J5</f>
        <v>2488.5229155667348</v>
      </c>
      <c r="K8" s="21"/>
      <c r="L8" s="21">
        <f>L5</f>
        <v>0</v>
      </c>
      <c r="M8" s="21">
        <f>M5</f>
        <v>0</v>
      </c>
      <c r="N8" s="21">
        <f>N5</f>
        <v>16672.088524914026</v>
      </c>
      <c r="O8" s="21">
        <f>O5</f>
        <v>353.14456305089169</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0.18646216563527651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3113.2480148495615</v>
      </c>
      <c r="C12" s="23">
        <f ca="1">C10*C8</f>
        <v>0</v>
      </c>
      <c r="D12" s="23">
        <f>D8*D10</f>
        <v>4309.128095533857</v>
      </c>
      <c r="E12" s="23">
        <f>E10*E8</f>
        <v>5122.9253567686483</v>
      </c>
      <c r="F12" s="23">
        <f>F10*F8</f>
        <v>3470.9742112762051</v>
      </c>
      <c r="G12" s="23"/>
      <c r="H12" s="23"/>
      <c r="I12" s="23"/>
      <c r="J12" s="23">
        <f>J10*J8</f>
        <v>880.93711211062407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307</v>
      </c>
      <c r="C20" s="167">
        <f>IF(ISERROR(B20/SUM($B$20,$B$21,$B$22)*100),0,B20/SUM($B$20,$B$21,$B$22)*100)</f>
        <v>42.403314917127069</v>
      </c>
      <c r="D20" s="229"/>
      <c r="E20" s="15"/>
    </row>
    <row r="21" spans="1:7">
      <c r="A21" s="171" t="s">
        <v>73</v>
      </c>
      <c r="B21" s="37">
        <f>aantalw2001_elektriciteit</f>
        <v>296</v>
      </c>
      <c r="C21" s="167">
        <f>IF(ISERROR(B21/SUM($B$20,$B$21,$B$22)*100),0,B21/SUM($B$20,$B$21,$B$22)*100)</f>
        <v>40.883977900552487</v>
      </c>
      <c r="D21" s="229"/>
      <c r="E21" s="15"/>
    </row>
    <row r="22" spans="1:7">
      <c r="A22" s="171" t="s">
        <v>74</v>
      </c>
      <c r="B22" s="37">
        <f>aantalw2001_hout</f>
        <v>121</v>
      </c>
      <c r="C22" s="167">
        <f>IF(ISERROR(B22/SUM($B$20,$B$21,$B$22)*100),0,B22/SUM($B$20,$B$21,$B$22)*100)</f>
        <v>16.71270718232044</v>
      </c>
      <c r="D22" s="229"/>
      <c r="E22" s="15"/>
    </row>
    <row r="23" spans="1:7">
      <c r="A23" s="171" t="s">
        <v>75</v>
      </c>
      <c r="B23" s="37">
        <f>aantalw2001_niet_gespec</f>
        <v>54</v>
      </c>
      <c r="C23" s="166" t="s">
        <v>110</v>
      </c>
      <c r="D23" s="228"/>
      <c r="E23" s="15"/>
    </row>
    <row r="24" spans="1:7">
      <c r="A24" s="171" t="s">
        <v>76</v>
      </c>
      <c r="B24" s="37">
        <f>aantalw2001_steenkool</f>
        <v>320</v>
      </c>
      <c r="C24" s="166" t="s">
        <v>110</v>
      </c>
      <c r="D24" s="229"/>
      <c r="E24" s="15"/>
    </row>
    <row r="25" spans="1:7">
      <c r="A25" s="171" t="s">
        <v>77</v>
      </c>
      <c r="B25" s="37">
        <f>aantalw2001_stookolie</f>
        <v>1912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4082</v>
      </c>
      <c r="C28" s="36"/>
      <c r="D28" s="228"/>
    </row>
    <row r="29" spans="1:7" s="15" customFormat="1">
      <c r="A29" s="230" t="s">
        <v>839</v>
      </c>
      <c r="B29" s="37">
        <f>SUM(HH_hh_gas_aantal,HH_rest_gas_aantal)</f>
        <v>1768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1768</v>
      </c>
      <c r="C32" s="167">
        <f>IF(ISERROR(B32/SUM($B$32,$B$34,$B$35,$B$36,$B$38,$B$39)*100),0,B32/SUM($B$32,$B$34,$B$35,$B$36,$B$38,$B$39)*100)</f>
        <v>43.632773938795665</v>
      </c>
      <c r="D32" s="233"/>
      <c r="G32" s="15"/>
    </row>
    <row r="33" spans="1:7">
      <c r="A33" s="171" t="s">
        <v>71</v>
      </c>
      <c r="B33" s="34" t="s">
        <v>110</v>
      </c>
      <c r="C33" s="167"/>
      <c r="D33" s="233"/>
      <c r="G33" s="15"/>
    </row>
    <row r="34" spans="1:7">
      <c r="A34" s="171" t="s">
        <v>72</v>
      </c>
      <c r="B34" s="33">
        <f>IF((($B$28-$B$32-$B$39-$B$77-$B$38)*C20/100)&lt;0,0,($B$28-$B$32-$B$39-$B$77-$B$38)*C20/100)</f>
        <v>627.5690607734806</v>
      </c>
      <c r="C34" s="167">
        <f>IF(ISERROR(B34/SUM($B$32,$B$34,$B$35,$B$36,$B$38,$B$39)*100),0,B34/SUM($B$32,$B$34,$B$35,$B$36,$B$38,$B$39)*100)</f>
        <v>15.487884026986197</v>
      </c>
      <c r="D34" s="233"/>
      <c r="G34" s="15"/>
    </row>
    <row r="35" spans="1:7">
      <c r="A35" s="171" t="s">
        <v>73</v>
      </c>
      <c r="B35" s="33">
        <f>IF((($B$28-$B$32-$B$39-$B$77-$B$38)*C21/100)&lt;0,0,($B$28-$B$32-$B$39-$B$77-$B$38)*C21/100)</f>
        <v>605.08287292817681</v>
      </c>
      <c r="C35" s="167">
        <f>IF(ISERROR(B35/SUM($B$32,$B$34,$B$35,$B$36,$B$38,$B$39)*100),0,B35/SUM($B$32,$B$34,$B$35,$B$36,$B$38,$B$39)*100)</f>
        <v>14.932943556963894</v>
      </c>
      <c r="D35" s="233"/>
      <c r="G35" s="15"/>
    </row>
    <row r="36" spans="1:7">
      <c r="A36" s="171" t="s">
        <v>74</v>
      </c>
      <c r="B36" s="33">
        <f>IF((($B$28-$B$32-$B$39-$B$77-$B$38)*C22/100)&lt;0,0,($B$28-$B$32-$B$39-$B$77-$B$38)*C22/100)</f>
        <v>247.3480662983425</v>
      </c>
      <c r="C36" s="167">
        <f>IF(ISERROR(B36/SUM($B$32,$B$34,$B$35,$B$36,$B$38,$B$39)*100),0,B36/SUM($B$32,$B$34,$B$35,$B$36,$B$38,$B$39)*100)</f>
        <v>6.1043451702453737</v>
      </c>
      <c r="D36" s="233"/>
      <c r="G36" s="15"/>
    </row>
    <row r="37" spans="1:7">
      <c r="A37" s="171" t="s">
        <v>75</v>
      </c>
      <c r="B37" s="34" t="s">
        <v>110</v>
      </c>
      <c r="C37" s="167"/>
      <c r="D37" s="173"/>
      <c r="G37" s="15"/>
    </row>
    <row r="38" spans="1:7">
      <c r="A38" s="171" t="s">
        <v>76</v>
      </c>
      <c r="B38" s="33">
        <f>IF((B24-(B29-B18)*0.1)&lt;0,0,B24-(B29-B18)*0.1)</f>
        <v>177.2</v>
      </c>
      <c r="C38" s="167">
        <f>IF(ISERROR(B38/SUM($B$32,$B$34,$B$35,$B$36,$B$38,$B$39)*100),0,B38/SUM($B$32,$B$34,$B$35,$B$36,$B$38,$B$39)*100)</f>
        <v>4.3731490621915103</v>
      </c>
      <c r="D38" s="234"/>
      <c r="G38" s="15"/>
    </row>
    <row r="39" spans="1:7">
      <c r="A39" s="171" t="s">
        <v>77</v>
      </c>
      <c r="B39" s="33">
        <f>IF((B25-(B29-B18))&lt;0,0,B25-(B29-B18)*0.9)</f>
        <v>626.79999999999995</v>
      </c>
      <c r="C39" s="167">
        <f>IF(ISERROR(B39/SUM($B$32,$B$34,$B$35,$B$36,$B$38,$B$39)*100),0,B39/SUM($B$32,$B$34,$B$35,$B$36,$B$38,$B$39)*100)</f>
        <v>15.468904244817377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1768</v>
      </c>
      <c r="C44" s="34" t="s">
        <v>110</v>
      </c>
      <c r="D44" s="174"/>
    </row>
    <row r="45" spans="1:7">
      <c r="A45" s="171" t="s">
        <v>71</v>
      </c>
      <c r="B45" s="33" t="str">
        <f t="shared" si="0"/>
        <v>-</v>
      </c>
      <c r="C45" s="34" t="s">
        <v>110</v>
      </c>
      <c r="D45" s="174"/>
    </row>
    <row r="46" spans="1:7">
      <c r="A46" s="171" t="s">
        <v>72</v>
      </c>
      <c r="B46" s="33">
        <f t="shared" si="0"/>
        <v>627.5690607734806</v>
      </c>
      <c r="C46" s="34" t="s">
        <v>110</v>
      </c>
      <c r="D46" s="174"/>
    </row>
    <row r="47" spans="1:7">
      <c r="A47" s="171" t="s">
        <v>73</v>
      </c>
      <c r="B47" s="33">
        <f t="shared" si="0"/>
        <v>605.08287292817681</v>
      </c>
      <c r="C47" s="34" t="s">
        <v>110</v>
      </c>
      <c r="D47" s="174"/>
    </row>
    <row r="48" spans="1:7">
      <c r="A48" s="171" t="s">
        <v>74</v>
      </c>
      <c r="B48" s="33">
        <f t="shared" si="0"/>
        <v>247.3480662983425</v>
      </c>
      <c r="C48" s="33">
        <f>B48*10</f>
        <v>2473.4806629834252</v>
      </c>
      <c r="D48" s="234"/>
    </row>
    <row r="49" spans="1:6">
      <c r="A49" s="171" t="s">
        <v>75</v>
      </c>
      <c r="B49" s="33" t="str">
        <f t="shared" si="0"/>
        <v>-</v>
      </c>
      <c r="C49" s="34" t="s">
        <v>110</v>
      </c>
      <c r="D49" s="234"/>
    </row>
    <row r="50" spans="1:6">
      <c r="A50" s="171" t="s">
        <v>76</v>
      </c>
      <c r="B50" s="33">
        <f t="shared" si="0"/>
        <v>177.2</v>
      </c>
      <c r="C50" s="33">
        <f>B50*2</f>
        <v>354.4</v>
      </c>
      <c r="D50" s="234"/>
    </row>
    <row r="51" spans="1:6">
      <c r="A51" s="171" t="s">
        <v>77</v>
      </c>
      <c r="B51" s="33">
        <f t="shared" si="0"/>
        <v>626.79999999999995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18658.510238605868</v>
      </c>
      <c r="C5" s="17">
        <f>IF(ISERROR('Eigen informatie GS &amp; warmtenet'!B60),0,'Eigen informatie GS &amp; warmtenet'!B60)</f>
        <v>0</v>
      </c>
      <c r="D5" s="30">
        <f>SUM(D6:D12)</f>
        <v>8865.005781419859</v>
      </c>
      <c r="E5" s="17">
        <f>SUM(E6:E12)</f>
        <v>185.71912196331499</v>
      </c>
      <c r="F5" s="17">
        <f>SUM(F6:F12)</f>
        <v>7940.3886995538105</v>
      </c>
      <c r="G5" s="18"/>
      <c r="H5" s="17"/>
      <c r="I5" s="17"/>
      <c r="J5" s="17">
        <f>SUM(J6:J12)</f>
        <v>0.12103134291342849</v>
      </c>
      <c r="K5" s="17"/>
      <c r="L5" s="17"/>
      <c r="M5" s="17"/>
      <c r="N5" s="17">
        <f>SUM(N6:N12)</f>
        <v>4389.9241742693102</v>
      </c>
      <c r="O5" s="17">
        <f>B38*B39*B40</f>
        <v>4.8972607658411542</v>
      </c>
      <c r="P5" s="17">
        <f>B46*B47*B48/1000-B46*B47*B48/1000/B49</f>
        <v>105.07827661299004</v>
      </c>
      <c r="R5" s="32"/>
    </row>
    <row r="6" spans="1:18">
      <c r="A6" s="32" t="s">
        <v>53</v>
      </c>
      <c r="B6" s="37">
        <f>B26</f>
        <v>996.98985167383296</v>
      </c>
      <c r="C6" s="33"/>
      <c r="D6" s="37">
        <f>IF(ISERROR(TER_kantoor_gas_kWh/1000),0,TER_kantoor_gas_kWh/1000)*0.903</f>
        <v>780.95759660037345</v>
      </c>
      <c r="E6" s="33">
        <f>$C$26*'E Balans VL '!I12/100/3.6*1000000</f>
        <v>0.23885507039209289</v>
      </c>
      <c r="F6" s="33">
        <f>$C$26*('E Balans VL '!L12+'E Balans VL '!N12)/100/3.6*1000000</f>
        <v>94.543376638366496</v>
      </c>
      <c r="G6" s="34"/>
      <c r="H6" s="33"/>
      <c r="I6" s="33"/>
      <c r="J6" s="33">
        <f>$C$26*('E Balans VL '!D12+'E Balans VL '!E12)/100/3.6*1000000</f>
        <v>0</v>
      </c>
      <c r="K6" s="33"/>
      <c r="L6" s="33"/>
      <c r="M6" s="33"/>
      <c r="N6" s="33">
        <f>$C$26*'E Balans VL '!Y12/100/3.6*1000000</f>
        <v>0.50641927665047803</v>
      </c>
      <c r="O6" s="33"/>
      <c r="P6" s="33"/>
      <c r="R6" s="32"/>
    </row>
    <row r="7" spans="1:18">
      <c r="A7" s="32" t="s">
        <v>52</v>
      </c>
      <c r="B7" s="37">
        <f t="shared" ref="B7:B12" si="0">B27</f>
        <v>600.41213404340294</v>
      </c>
      <c r="C7" s="33"/>
      <c r="D7" s="37">
        <f>IF(ISERROR(TER_horeca_gas_kWh/1000),0,TER_horeca_gas_kWh/1000)*0.903</f>
        <v>507.94453710464336</v>
      </c>
      <c r="E7" s="33">
        <f>$C$27*'E Balans VL '!I9/100/3.6*1000000</f>
        <v>0</v>
      </c>
      <c r="F7" s="33">
        <f>$C$27*('E Balans VL '!L9+'E Balans VL '!N9)/100/3.6*1000000</f>
        <v>49.232383609180943</v>
      </c>
      <c r="G7" s="34"/>
      <c r="H7" s="33"/>
      <c r="I7" s="33"/>
      <c r="J7" s="33">
        <f>$C$27*('E Balans VL '!D9+'E Balans VL '!E9)/100/3.6*1000000</f>
        <v>0</v>
      </c>
      <c r="K7" s="33"/>
      <c r="L7" s="33"/>
      <c r="M7" s="33"/>
      <c r="N7" s="33">
        <f>$C$27*'E Balans VL '!Y9/100/3.6*1000000</f>
        <v>0.18405044187483591</v>
      </c>
      <c r="O7" s="33"/>
      <c r="P7" s="33"/>
      <c r="R7" s="32"/>
    </row>
    <row r="8" spans="1:18">
      <c r="A8" s="6" t="s">
        <v>51</v>
      </c>
      <c r="B8" s="37">
        <f t="shared" si="0"/>
        <v>2833.16401379129</v>
      </c>
      <c r="C8" s="33"/>
      <c r="D8" s="37">
        <f>IF(ISERROR(TER_handel_gas_kWh/1000),0,TER_handel_gas_kWh/1000)*0.903</f>
        <v>851.58819467306432</v>
      </c>
      <c r="E8" s="33">
        <f>$C$28*'E Balans VL '!I13/100/3.6*1000000</f>
        <v>9.957023033895199</v>
      </c>
      <c r="F8" s="33">
        <f>$C$28*('E Balans VL '!L13+'E Balans VL '!N13)/100/3.6*1000000</f>
        <v>259.2294193741684</v>
      </c>
      <c r="G8" s="34"/>
      <c r="H8" s="33"/>
      <c r="I8" s="33"/>
      <c r="J8" s="33">
        <f>$C$28*('E Balans VL '!D13+'E Balans VL '!E13)/100/3.6*1000000</f>
        <v>0</v>
      </c>
      <c r="K8" s="33"/>
      <c r="L8" s="33"/>
      <c r="M8" s="33"/>
      <c r="N8" s="33">
        <f>$C$28*'E Balans VL '!Y13/100/3.6*1000000</f>
        <v>1.0260500335196439</v>
      </c>
      <c r="O8" s="33"/>
      <c r="P8" s="33"/>
      <c r="R8" s="32"/>
    </row>
    <row r="9" spans="1:18">
      <c r="A9" s="32" t="s">
        <v>50</v>
      </c>
      <c r="B9" s="37">
        <f t="shared" si="0"/>
        <v>1896.2472860926</v>
      </c>
      <c r="C9" s="33"/>
      <c r="D9" s="37">
        <f>IF(ISERROR(TER_gezond_gas_kWh/1000),0,TER_gezond_gas_kWh/1000)*0.903</f>
        <v>4632.7765876599851</v>
      </c>
      <c r="E9" s="33">
        <f>$C$29*'E Balans VL '!I10/100/3.6*1000000</f>
        <v>0</v>
      </c>
      <c r="F9" s="33">
        <f>$C$29*('E Balans VL '!L10+'E Balans VL '!N10)/100/3.6*1000000</f>
        <v>232.44509658411263</v>
      </c>
      <c r="G9" s="34"/>
      <c r="H9" s="33"/>
      <c r="I9" s="33"/>
      <c r="J9" s="33">
        <f>$C$29*('E Balans VL '!D10+'E Balans VL '!E10)/100/3.6*1000000</f>
        <v>0</v>
      </c>
      <c r="K9" s="33"/>
      <c r="L9" s="33"/>
      <c r="M9" s="33"/>
      <c r="N9" s="33">
        <f>$C$29*'E Balans VL '!Y10/100/3.6*1000000</f>
        <v>13.983502325842633</v>
      </c>
      <c r="O9" s="33"/>
      <c r="P9" s="33"/>
      <c r="R9" s="32"/>
    </row>
    <row r="10" spans="1:18">
      <c r="A10" s="32" t="s">
        <v>49</v>
      </c>
      <c r="B10" s="37">
        <f t="shared" si="0"/>
        <v>12255.3207329386</v>
      </c>
      <c r="C10" s="33"/>
      <c r="D10" s="37">
        <f>IF(ISERROR(TER_ander_gas_kWh/1000),0,TER_ander_gas_kWh/1000)*0.903</f>
        <v>1834.8445126799277</v>
      </c>
      <c r="E10" s="33">
        <f>$C$30*'E Balans VL '!I14/100/3.6*1000000</f>
        <v>175.5232438590277</v>
      </c>
      <c r="F10" s="33">
        <f>$C$30*('E Balans VL '!L14+'E Balans VL '!N14)/100/3.6*1000000</f>
        <v>7296.0091337026952</v>
      </c>
      <c r="G10" s="34"/>
      <c r="H10" s="33"/>
      <c r="I10" s="33"/>
      <c r="J10" s="33">
        <f>$C$30*('E Balans VL '!D14+'E Balans VL '!E14)/100/3.6*1000000</f>
        <v>0.12103134291342849</v>
      </c>
      <c r="K10" s="33"/>
      <c r="L10" s="33"/>
      <c r="M10" s="33"/>
      <c r="N10" s="33">
        <f>$C$30*'E Balans VL '!Y14/100/3.6*1000000</f>
        <v>4374.0090855260914</v>
      </c>
      <c r="O10" s="33"/>
      <c r="P10" s="33"/>
      <c r="R10" s="32"/>
    </row>
    <row r="11" spans="1:18">
      <c r="A11" s="32" t="s">
        <v>54</v>
      </c>
      <c r="B11" s="37">
        <f t="shared" si="0"/>
        <v>76.376220066139695</v>
      </c>
      <c r="C11" s="33"/>
      <c r="D11" s="37">
        <f>IF(ISERROR(TER_onderwijs_gas_kWh/1000),0,TER_onderwijs_gas_kWh/1000)*0.903</f>
        <v>256.89435270186493</v>
      </c>
      <c r="E11" s="33">
        <f>$C$31*'E Balans VL '!I11/100/3.6*1000000</f>
        <v>0</v>
      </c>
      <c r="F11" s="33">
        <f>$C$31*('E Balans VL '!L11+'E Balans VL '!N11)/100/3.6*1000000</f>
        <v>8.9292896452874917</v>
      </c>
      <c r="G11" s="34"/>
      <c r="H11" s="33"/>
      <c r="I11" s="33"/>
      <c r="J11" s="33">
        <f>$C$31*('E Balans VL '!D11+'E Balans VL '!E11)/100/3.6*1000000</f>
        <v>0</v>
      </c>
      <c r="K11" s="33"/>
      <c r="L11" s="33"/>
      <c r="M11" s="33"/>
      <c r="N11" s="33">
        <f>$C$31*'E Balans VL '!Y11/100/3.6*1000000</f>
        <v>0.21506666533192717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18658.510238605868</v>
      </c>
      <c r="C16" s="21">
        <f t="shared" ca="1" si="1"/>
        <v>0</v>
      </c>
      <c r="D16" s="21">
        <f t="shared" ca="1" si="1"/>
        <v>8865.005781419859</v>
      </c>
      <c r="E16" s="21">
        <f t="shared" si="1"/>
        <v>185.71912196331499</v>
      </c>
      <c r="F16" s="21">
        <f t="shared" ca="1" si="1"/>
        <v>7940.3886995538105</v>
      </c>
      <c r="G16" s="21">
        <f t="shared" si="1"/>
        <v>0</v>
      </c>
      <c r="H16" s="21">
        <f t="shared" si="1"/>
        <v>0</v>
      </c>
      <c r="I16" s="21">
        <f t="shared" si="1"/>
        <v>0</v>
      </c>
      <c r="J16" s="21">
        <f t="shared" si="1"/>
        <v>0.12103134291342849</v>
      </c>
      <c r="K16" s="21">
        <f t="shared" si="1"/>
        <v>0</v>
      </c>
      <c r="L16" s="21">
        <f t="shared" ca="1" si="1"/>
        <v>0</v>
      </c>
      <c r="M16" s="21">
        <f t="shared" si="1"/>
        <v>0</v>
      </c>
      <c r="N16" s="21">
        <f t="shared" ca="1" si="1"/>
        <v>4389.9241742693102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0.18646216563527651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3479.1062266184299</v>
      </c>
      <c r="C20" s="23">
        <f t="shared" ref="C20:P20" ca="1" si="2">C16*C18</f>
        <v>0</v>
      </c>
      <c r="D20" s="23">
        <f t="shared" ca="1" si="2"/>
        <v>1790.7311678468116</v>
      </c>
      <c r="E20" s="23">
        <f t="shared" si="2"/>
        <v>42.158240685672503</v>
      </c>
      <c r="F20" s="23">
        <f t="shared" ca="1" si="2"/>
        <v>2120.0837827808678</v>
      </c>
      <c r="G20" s="23">
        <f t="shared" si="2"/>
        <v>0</v>
      </c>
      <c r="H20" s="23">
        <f t="shared" si="2"/>
        <v>0</v>
      </c>
      <c r="I20" s="23">
        <f t="shared" si="2"/>
        <v>0</v>
      </c>
      <c r="J20" s="23">
        <f t="shared" si="2"/>
        <v>4.2845095391353678E-2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996.98985167383296</v>
      </c>
      <c r="C26" s="39">
        <f>IF(ISERROR(B26*3.6/1000000/'E Balans VL '!Z12*100),0,B26*3.6/1000000/'E Balans VL '!Z12*100)</f>
        <v>2.8117753980001232E-2</v>
      </c>
      <c r="D26" s="237" t="s">
        <v>702</v>
      </c>
      <c r="F26" s="6"/>
    </row>
    <row r="27" spans="1:18">
      <c r="A27" s="231" t="s">
        <v>52</v>
      </c>
      <c r="B27" s="33">
        <f>IF(ISERROR(TER_horeca_ele_kWh/1000),0,TER_horeca_ele_kWh/1000)</f>
        <v>600.41213404340294</v>
      </c>
      <c r="C27" s="39">
        <f>IF(ISERROR(B27*3.6/1000000/'E Balans VL '!Z9*100),0,B27*3.6/1000000/'E Balans VL '!Z9*100)</f>
        <v>4.4513183870046449E-2</v>
      </c>
      <c r="D27" s="237" t="s">
        <v>702</v>
      </c>
      <c r="F27" s="6"/>
    </row>
    <row r="28" spans="1:18">
      <c r="A28" s="171" t="s">
        <v>51</v>
      </c>
      <c r="B28" s="33">
        <f>IF(ISERROR(TER_handel_ele_kWh/1000),0,TER_handel_ele_kWh/1000)</f>
        <v>2833.16401379129</v>
      </c>
      <c r="C28" s="39">
        <f>IF(ISERROR(B28*3.6/1000000/'E Balans VL '!Z13*100),0,B28*3.6/1000000/'E Balans VL '!Z13*100)</f>
        <v>8.4874857754246635E-2</v>
      </c>
      <c r="D28" s="237" t="s">
        <v>702</v>
      </c>
      <c r="F28" s="6"/>
    </row>
    <row r="29" spans="1:18">
      <c r="A29" s="231" t="s">
        <v>50</v>
      </c>
      <c r="B29" s="33">
        <f>IF(ISERROR(TER_gezond_ele_kWh/1000),0,TER_gezond_ele_kWh/1000)</f>
        <v>1896.2472860926</v>
      </c>
      <c r="C29" s="39">
        <f>IF(ISERROR(B29*3.6/1000000/'E Balans VL '!Z10*100),0,B29*3.6/1000000/'E Balans VL '!Z10*100)</f>
        <v>0.18750167487937974</v>
      </c>
      <c r="D29" s="237" t="s">
        <v>702</v>
      </c>
      <c r="F29" s="6"/>
    </row>
    <row r="30" spans="1:18">
      <c r="A30" s="231" t="s">
        <v>49</v>
      </c>
      <c r="B30" s="33">
        <f>IF(ISERROR(TER_ander_ele_kWh/1000),0,TER_ander_ele_kWh/1000)</f>
        <v>12255.3207329386</v>
      </c>
      <c r="C30" s="39">
        <f>IF(ISERROR(B30*3.6/1000000/'E Balans VL '!Z14*100),0,B30*3.6/1000000/'E Balans VL '!Z14*100)</f>
        <v>0.49569150681267637</v>
      </c>
      <c r="D30" s="237" t="s">
        <v>702</v>
      </c>
      <c r="F30" s="6"/>
    </row>
    <row r="31" spans="1:18">
      <c r="A31" s="231" t="s">
        <v>54</v>
      </c>
      <c r="B31" s="33">
        <f>IF(ISERROR(TER_onderwijs_ele_kWh/1000),0,TER_onderwijs_ele_kWh/1000)</f>
        <v>76.376220066139695</v>
      </c>
      <c r="C31" s="39">
        <f>IF(ISERROR(B31*3.6/1000000/'E Balans VL '!Z11*100),0,B31*3.6/1000000/'E Balans VL '!Z11*100)</f>
        <v>2.0983887938355157E-2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4256.5249611331265</v>
      </c>
      <c r="C5" s="17">
        <f>IF(ISERROR('Eigen informatie GS &amp; warmtenet'!B61),0,'Eigen informatie GS &amp; warmtenet'!B61)</f>
        <v>0</v>
      </c>
      <c r="D5" s="30">
        <f>SUM(D6:D15)</f>
        <v>1026.2052795086261</v>
      </c>
      <c r="E5" s="17">
        <f>SUM(E6:E15)</f>
        <v>13.311550433770027</v>
      </c>
      <c r="F5" s="17">
        <f>SUM(F6:F15)</f>
        <v>2174.7858804230468</v>
      </c>
      <c r="G5" s="18"/>
      <c r="H5" s="17"/>
      <c r="I5" s="17"/>
      <c r="J5" s="17">
        <f>SUM(J6:J15)</f>
        <v>0.227958581400206</v>
      </c>
      <c r="K5" s="17"/>
      <c r="L5" s="17"/>
      <c r="M5" s="17"/>
      <c r="N5" s="17">
        <f>SUM(N6:N15)</f>
        <v>166.56042276967503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232.23422353414901</v>
      </c>
      <c r="C8" s="33"/>
      <c r="D8" s="37">
        <f>IF( ISERROR(IND_metaal_Gas_kWH/1000),0,IND_metaal_Gas_kWH/1000)*0.903</f>
        <v>72.774847406304261</v>
      </c>
      <c r="E8" s="33">
        <f>C30*'E Balans VL '!I18/100/3.6*1000000</f>
        <v>1.1709654751299314</v>
      </c>
      <c r="F8" s="33">
        <f>C30*'E Balans VL '!L18/100/3.6*1000000+C30*'E Balans VL '!N18/100/3.6*1000000</f>
        <v>15.866716711115702</v>
      </c>
      <c r="G8" s="34"/>
      <c r="H8" s="33"/>
      <c r="I8" s="33"/>
      <c r="J8" s="40">
        <f>C30*'E Balans VL '!D18/100/3.6*1000000+C30*'E Balans VL '!E18/100/3.6*1000000</f>
        <v>0.20589544899749035</v>
      </c>
      <c r="K8" s="33"/>
      <c r="L8" s="33"/>
      <c r="M8" s="33"/>
      <c r="N8" s="33">
        <f>C30*'E Balans VL '!Y18/100/3.6*1000000</f>
        <v>3.0863942089691778</v>
      </c>
      <c r="O8" s="33"/>
      <c r="P8" s="33"/>
      <c r="R8" s="32"/>
    </row>
    <row r="9" spans="1:18">
      <c r="A9" s="6" t="s">
        <v>32</v>
      </c>
      <c r="B9" s="37">
        <f t="shared" si="0"/>
        <v>3511.9302431092301</v>
      </c>
      <c r="C9" s="33"/>
      <c r="D9" s="37">
        <f>IF( ISERROR(IND_andere_gas_kWh/1000),0,IND_andere_gas_kWh/1000)*0.903</f>
        <v>786.93925136654309</v>
      </c>
      <c r="E9" s="33">
        <f>C31*'E Balans VL '!I19/100/3.6*1000000</f>
        <v>11.070434147482711</v>
      </c>
      <c r="F9" s="33">
        <f>C31*'E Balans VL '!L19/100/3.6*1000000+C31*'E Balans VL '!N19/100/3.6*1000000</f>
        <v>2149.8559875708993</v>
      </c>
      <c r="G9" s="34"/>
      <c r="H9" s="33"/>
      <c r="I9" s="33"/>
      <c r="J9" s="40">
        <f>C31*'E Balans VL '!D19/100/3.6*1000000+C31*'E Balans VL '!E19/100/3.6*1000000</f>
        <v>0</v>
      </c>
      <c r="K9" s="33"/>
      <c r="L9" s="33"/>
      <c r="M9" s="33"/>
      <c r="N9" s="33">
        <f>C31*'E Balans VL '!Y19/100/3.6*1000000</f>
        <v>147.26000366572535</v>
      </c>
      <c r="O9" s="33"/>
      <c r="P9" s="33"/>
      <c r="R9" s="32"/>
    </row>
    <row r="10" spans="1:18">
      <c r="A10" s="6" t="s">
        <v>40</v>
      </c>
      <c r="B10" s="37">
        <f t="shared" si="0"/>
        <v>490.472256712513</v>
      </c>
      <c r="C10" s="33"/>
      <c r="D10" s="37">
        <f>IF( ISERROR(IND_voed_gas_kWh/1000),0,IND_voed_gas_kWh/1000)*0.903</f>
        <v>166.49118073577864</v>
      </c>
      <c r="E10" s="33">
        <f>C32*'E Balans VL '!I20/100/3.6*1000000</f>
        <v>0.78167503139885242</v>
      </c>
      <c r="F10" s="33">
        <f>C32*'E Balans VL '!L20/100/3.6*1000000+C32*'E Balans VL '!N20/100/3.6*1000000</f>
        <v>7.9689826794062339</v>
      </c>
      <c r="G10" s="34"/>
      <c r="H10" s="33"/>
      <c r="I10" s="33"/>
      <c r="J10" s="40">
        <f>C32*'E Balans VL '!D20/100/3.6*1000000+C32*'E Balans VL '!E20/100/3.6*1000000</f>
        <v>0</v>
      </c>
      <c r="K10" s="33"/>
      <c r="L10" s="33"/>
      <c r="M10" s="33"/>
      <c r="N10" s="33">
        <f>C32*'E Balans VL '!Y20/100/3.6*1000000</f>
        <v>15.491563467848296</v>
      </c>
      <c r="O10" s="33"/>
      <c r="P10" s="33"/>
      <c r="R10" s="32"/>
    </row>
    <row r="11" spans="1:18">
      <c r="A11" s="6" t="s">
        <v>39</v>
      </c>
      <c r="B11" s="37">
        <f t="shared" si="0"/>
        <v>11.0812377772343</v>
      </c>
      <c r="C11" s="33"/>
      <c r="D11" s="37">
        <f>IF( ISERROR(IND_textiel_gas_kWh/1000),0,IND_textiel_gas_kWh/1000)*0.903</f>
        <v>0</v>
      </c>
      <c r="E11" s="33">
        <f>C33*'E Balans VL '!I21/100/3.6*1000000</f>
        <v>1.6076851155222456E-2</v>
      </c>
      <c r="F11" s="33">
        <f>C33*'E Balans VL '!L21/100/3.6*1000000+C33*'E Balans VL '!N21/100/3.6*1000000</f>
        <v>0.21686694318591987</v>
      </c>
      <c r="G11" s="34"/>
      <c r="H11" s="33"/>
      <c r="I11" s="33"/>
      <c r="J11" s="40">
        <f>C33*'E Balans VL '!D21/100/3.6*1000000+C33*'E Balans VL '!E21/100/3.6*1000000</f>
        <v>0</v>
      </c>
      <c r="K11" s="33"/>
      <c r="L11" s="33"/>
      <c r="M11" s="33"/>
      <c r="N11" s="33">
        <f>C33*'E Balans VL '!Y21/100/3.6*1000000</f>
        <v>0.53985275516064946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10.807</v>
      </c>
      <c r="C15" s="33"/>
      <c r="D15" s="37">
        <f>IF( ISERROR(IND_rest_gas_kWh/1000),0,IND_rest_gas_kWh/1000)*0.903</f>
        <v>0</v>
      </c>
      <c r="E15" s="33">
        <f>C37*'E Balans VL '!I15/100/3.6*1000000</f>
        <v>0.27239892860330961</v>
      </c>
      <c r="F15" s="33">
        <f>C37*'E Balans VL '!L15/100/3.6*1000000+C37*'E Balans VL '!N15/100/3.6*1000000</f>
        <v>0.87732651844000709</v>
      </c>
      <c r="G15" s="34"/>
      <c r="H15" s="33"/>
      <c r="I15" s="33"/>
      <c r="J15" s="40">
        <f>C37*'E Balans VL '!D15/100/3.6*1000000+C37*'E Balans VL '!E15/100/3.6*1000000</f>
        <v>2.2063132402715641E-2</v>
      </c>
      <c r="K15" s="33"/>
      <c r="L15" s="33"/>
      <c r="M15" s="33"/>
      <c r="N15" s="33">
        <f>C37*'E Balans VL '!Y15/100/3.6*1000000</f>
        <v>0.18260867197156616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4256.5249611331265</v>
      </c>
      <c r="C18" s="21">
        <f>C5+C16</f>
        <v>0</v>
      </c>
      <c r="D18" s="21">
        <f>MAX((D5+D16),0)</f>
        <v>1026.2052795086261</v>
      </c>
      <c r="E18" s="21">
        <f>MAX((E5+E16),0)</f>
        <v>13.311550433770027</v>
      </c>
      <c r="F18" s="21">
        <f>MAX((F5+F16),0)</f>
        <v>2174.7858804230468</v>
      </c>
      <c r="G18" s="21"/>
      <c r="H18" s="21"/>
      <c r="I18" s="21"/>
      <c r="J18" s="21">
        <f>MAX((J5+J16),0)</f>
        <v>0.227958581400206</v>
      </c>
      <c r="K18" s="21"/>
      <c r="L18" s="21">
        <f>MAX((L5+L16),0)</f>
        <v>0</v>
      </c>
      <c r="M18" s="21"/>
      <c r="N18" s="21">
        <f>MAX((N5+N16),0)</f>
        <v>166.56042276967503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0.18646216563527651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793.68086233349391</v>
      </c>
      <c r="C22" s="23">
        <f ca="1">C18*C20</f>
        <v>0</v>
      </c>
      <c r="D22" s="23">
        <f>D18*D20</f>
        <v>207.29346646074248</v>
      </c>
      <c r="E22" s="23">
        <f>E18*E20</f>
        <v>3.021721948465796</v>
      </c>
      <c r="F22" s="23">
        <f>F18*F20</f>
        <v>580.66783007295351</v>
      </c>
      <c r="G22" s="23"/>
      <c r="H22" s="23"/>
      <c r="I22" s="23"/>
      <c r="J22" s="23">
        <f>J18*J20</f>
        <v>8.0697337815672926E-2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232.23422353414901</v>
      </c>
      <c r="C30" s="39">
        <f>IF(ISERROR(B30*3.6/1000000/'E Balans VL '!Z18*100),0,B30*3.6/1000000/'E Balans VL '!Z18*100)</f>
        <v>1.1527583458646393E-2</v>
      </c>
      <c r="D30" s="237" t="s">
        <v>702</v>
      </c>
    </row>
    <row r="31" spans="1:18">
      <c r="A31" s="6" t="s">
        <v>32</v>
      </c>
      <c r="B31" s="37">
        <f>IF( ISERROR(IND_ander_ele_kWh/1000),0,IND_ander_ele_kWh/1000)</f>
        <v>3511.9302431092301</v>
      </c>
      <c r="C31" s="39">
        <f>IF(ISERROR(B31*3.6/1000000/'E Balans VL '!Z19*100),0,B31*3.6/1000000/'E Balans VL '!Z19*100)</f>
        <v>0.11850964946085286</v>
      </c>
      <c r="D31" s="237" t="s">
        <v>702</v>
      </c>
    </row>
    <row r="32" spans="1:18">
      <c r="A32" s="171" t="s">
        <v>40</v>
      </c>
      <c r="B32" s="37">
        <f>IF( ISERROR(IND_voed_ele_kWh/1000),0,IND_voed_ele_kWh/1000)</f>
        <v>490.472256712513</v>
      </c>
      <c r="C32" s="39">
        <f>IF(ISERROR(B32*3.6/1000000/'E Balans VL '!Z20*100),0,B32*3.6/1000000/'E Balans VL '!Z20*100)</f>
        <v>1.1518404033831149E-2</v>
      </c>
      <c r="D32" s="237" t="s">
        <v>702</v>
      </c>
    </row>
    <row r="33" spans="1:5">
      <c r="A33" s="171" t="s">
        <v>39</v>
      </c>
      <c r="B33" s="37">
        <f>IF( ISERROR(IND_textiel_ele_kWh/1000),0,IND_textiel_ele_kWh/1000)</f>
        <v>11.0812377772343</v>
      </c>
      <c r="C33" s="39">
        <f>IF(ISERROR(B33*3.6/1000000/'E Balans VL '!Z21*100),0,B33*3.6/1000000/'E Balans VL '!Z21*100)</f>
        <v>1.2161517999327764E-3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10.807</v>
      </c>
      <c r="C37" s="39">
        <f>IF(ISERROR(B37*3.6/1000000/'E Balans VL '!Z15*100),0,B37*3.6/1000000/'E Balans VL '!Z15*100)</f>
        <v>4.0499548093462861E-5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5027.1319080272997</v>
      </c>
      <c r="C5" s="17">
        <f>'Eigen informatie GS &amp; warmtenet'!B62</f>
        <v>0</v>
      </c>
      <c r="D5" s="30">
        <f>IF(ISERROR(SUM(LB_lb_gas_kWh,LB_rest_gas_kWh)/1000),0,SUM(LB_lb_gas_kWh,LB_rest_gas_kWh)/1000)*0.903</f>
        <v>1093.185433791421</v>
      </c>
      <c r="E5" s="17">
        <f>B17*'E Balans VL '!I25/3.6*1000000/100</f>
        <v>187.47712574992156</v>
      </c>
      <c r="F5" s="17">
        <f>B17*('E Balans VL '!L25/3.6*1000000+'E Balans VL '!N25/3.6*1000000)/100</f>
        <v>16309.958469874942</v>
      </c>
      <c r="G5" s="18"/>
      <c r="H5" s="17"/>
      <c r="I5" s="17"/>
      <c r="J5" s="17">
        <f>('E Balans VL '!D25+'E Balans VL '!E25)/3.6*1000000*landbouw!B17/100</f>
        <v>1319.6469443405447</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5027.1319080272997</v>
      </c>
      <c r="C8" s="21">
        <f>C5+C6</f>
        <v>62.357142857142847</v>
      </c>
      <c r="D8" s="21">
        <f>MAX((D5+D6),0)</f>
        <v>1093.185433791421</v>
      </c>
      <c r="E8" s="21">
        <f>MAX((E5+E6),0)</f>
        <v>187.47712574992156</v>
      </c>
      <c r="F8" s="21">
        <f>MAX((F5+F6),0)</f>
        <v>16309.958469874942</v>
      </c>
      <c r="G8" s="21"/>
      <c r="H8" s="21"/>
      <c r="I8" s="21"/>
      <c r="J8" s="21">
        <f>MAX((J5+J6),0)</f>
        <v>1319.6469443405447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0.18646216563527651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937.36990250497001</v>
      </c>
      <c r="C12" s="23">
        <f ca="1">C8*C10</f>
        <v>0</v>
      </c>
      <c r="D12" s="23">
        <f>D8*D10</f>
        <v>220.82345762586706</v>
      </c>
      <c r="E12" s="23">
        <f>E8*E10</f>
        <v>42.557307545232192</v>
      </c>
      <c r="F12" s="23">
        <f>F8*F10</f>
        <v>4354.7589114566099</v>
      </c>
      <c r="G12" s="23"/>
      <c r="H12" s="23"/>
      <c r="I12" s="23"/>
      <c r="J12" s="23">
        <f>J8*J10</f>
        <v>467.15501829655278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0.69046344917456726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688.67735292424607</v>
      </c>
      <c r="C26" s="247">
        <f>B26*'GWP N2O_CH4'!B5</f>
        <v>14462.224411409168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407.509933164166</v>
      </c>
      <c r="C27" s="247">
        <f>B27*'GWP N2O_CH4'!B5</f>
        <v>8557.7085964474863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9.0075963131067436</v>
      </c>
      <c r="C28" s="247">
        <f>B28*'GWP N2O_CH4'!B4</f>
        <v>2792.3548570630905</v>
      </c>
      <c r="D28" s="50"/>
    </row>
    <row r="29" spans="1:4">
      <c r="A29" s="41" t="s">
        <v>276</v>
      </c>
      <c r="B29" s="247">
        <f>B34*'ha_N2O bodem landbouw'!B4</f>
        <v>26.467658196756105</v>
      </c>
      <c r="C29" s="247">
        <f>B29*'GWP N2O_CH4'!B4</f>
        <v>8204.9740409943934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6.0320548896933288E-3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1.2844597764475894E-4</v>
      </c>
      <c r="C5" s="440" t="s">
        <v>210</v>
      </c>
      <c r="D5" s="425">
        <f>SUM(D6:D11)</f>
        <v>6.0557267544358038E-4</v>
      </c>
      <c r="E5" s="425">
        <f>SUM(E6:E11)</f>
        <v>3.1977538589708534E-4</v>
      </c>
      <c r="F5" s="438" t="s">
        <v>210</v>
      </c>
      <c r="G5" s="425">
        <f>SUM(G6:G11)</f>
        <v>0.13153761489351351</v>
      </c>
      <c r="H5" s="425">
        <f>SUM(H6:H11)</f>
        <v>3.8424881235492668E-2</v>
      </c>
      <c r="I5" s="440" t="s">
        <v>210</v>
      </c>
      <c r="J5" s="440" t="s">
        <v>210</v>
      </c>
      <c r="K5" s="440" t="s">
        <v>210</v>
      </c>
      <c r="L5" s="440" t="s">
        <v>210</v>
      </c>
      <c r="M5" s="425">
        <f>SUM(M6:M11)</f>
        <v>1.0076925911841643E-2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7.2013907009410547E-5</v>
      </c>
      <c r="C6" s="426"/>
      <c r="D6" s="893">
        <f>vkm_GW_PW*SUMIFS(TableVerdeelsleutelVkm[CNG],TableVerdeelsleutelVkm[Voertuigtype],"Lichte voertuigen")*SUMIFS(TableECFTransport[EnergieConsumptieFactor (PJ per km)],TableECFTransport[Index],CONCATENATE($A6,"_CNG_CNG"))</f>
        <v>2.6009225564305974E-4</v>
      </c>
      <c r="E6" s="893">
        <f>vkm_GW_PW*SUMIFS(TableVerdeelsleutelVkm[LPG],TableVerdeelsleutelVkm[Voertuigtype],"Lichte voertuigen")*SUMIFS(TableECFTransport[EnergieConsumptieFactor (PJ per km)],TableECFTransport[Index],CONCATENATE($A6,"_LPG_LPG"))</f>
        <v>1.4135346471759911E-4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4.3988327293034007E-2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1.6647815662409575E-2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3.6339143125443925E-3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2.2580812562321733E-2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2.3772047639949766E-7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1.2713351164647477E-3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5.6432070635348398E-5</v>
      </c>
      <c r="C8" s="426"/>
      <c r="D8" s="428">
        <f>vkm_NGW_PW*SUMIFS(TableVerdeelsleutelVkm[CNG],TableVerdeelsleutelVkm[Voertuigtype],"Lichte voertuigen")*SUMIFS(TableECFTransport[EnergieConsumptieFactor (PJ per km)],TableECFTransport[Index],CONCATENATE($A8,"_CNG_CNG"))</f>
        <v>3.4548041980052063E-4</v>
      </c>
      <c r="E8" s="428">
        <f>vkm_NGW_PW*SUMIFS(TableVerdeelsleutelVkm[LPG],TableVerdeelsleutelVkm[Voertuigtype],"Lichte voertuigen")*SUMIFS(TableECFTransport[EnergieConsumptieFactor (PJ per km)],TableECFTransport[Index],CONCATENATE($A8,"_LPG_LPG"))</f>
        <v>1.7842192117948621E-4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5.167103240987081E-2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2.1776624524197739E-2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4.4230052313111142E-3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1.3297442628286957E-2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2.0332840895054451E-7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7.4867125152138804E-4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35.679438234655258</v>
      </c>
      <c r="C14" s="21"/>
      <c r="D14" s="21">
        <f t="shared" ref="D14:M14" si="0">((D5)*10^9/3600)+D12</f>
        <v>168.21463206766123</v>
      </c>
      <c r="E14" s="21">
        <f t="shared" si="0"/>
        <v>88.826496082523718</v>
      </c>
      <c r="F14" s="21"/>
      <c r="G14" s="21">
        <f t="shared" si="0"/>
        <v>36538.226359309308</v>
      </c>
      <c r="H14" s="21">
        <f t="shared" si="0"/>
        <v>10673.578120970185</v>
      </c>
      <c r="I14" s="21"/>
      <c r="J14" s="21"/>
      <c r="K14" s="21"/>
      <c r="L14" s="21"/>
      <c r="M14" s="21">
        <f t="shared" si="0"/>
        <v>2799.1460866226785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0.18646216563527651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6.6528653218839064</v>
      </c>
      <c r="C18" s="23"/>
      <c r="D18" s="23">
        <f t="shared" ref="D18:M18" si="1">D14*D16</f>
        <v>33.97935567766757</v>
      </c>
      <c r="E18" s="23">
        <f t="shared" si="1"/>
        <v>20.163614610732886</v>
      </c>
      <c r="F18" s="23"/>
      <c r="G18" s="23">
        <f t="shared" si="1"/>
        <v>9755.7064379355852</v>
      </c>
      <c r="H18" s="23">
        <f t="shared" si="1"/>
        <v>2657.7209521215764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2.0922868091236032E-3</v>
      </c>
      <c r="H50" s="321">
        <f t="shared" si="2"/>
        <v>0</v>
      </c>
      <c r="I50" s="321">
        <f t="shared" si="2"/>
        <v>0</v>
      </c>
      <c r="J50" s="321">
        <f t="shared" si="2"/>
        <v>0</v>
      </c>
      <c r="K50" s="321">
        <f t="shared" si="2"/>
        <v>0</v>
      </c>
      <c r="L50" s="321">
        <f t="shared" si="2"/>
        <v>0</v>
      </c>
      <c r="M50" s="321">
        <f t="shared" si="2"/>
        <v>1.1353939906742259E-4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2.0922868091236032E-3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1.1353939906742259E-4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581.190780312112</v>
      </c>
      <c r="H54" s="21">
        <f t="shared" si="3"/>
        <v>0</v>
      </c>
      <c r="I54" s="21">
        <f t="shared" si="3"/>
        <v>0</v>
      </c>
      <c r="J54" s="21">
        <f t="shared" si="3"/>
        <v>0</v>
      </c>
      <c r="K54" s="21">
        <f t="shared" si="3"/>
        <v>0</v>
      </c>
      <c r="L54" s="21">
        <f t="shared" si="3"/>
        <v>0</v>
      </c>
      <c r="M54" s="21">
        <f t="shared" si="3"/>
        <v>31.538721963172943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0.18646216563527651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155.17793834333392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7120.6445462463516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7164.2945462463513</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32006</v>
      </c>
      <c r="C28" s="794">
        <v>8650</v>
      </c>
      <c r="D28" s="643" t="s">
        <v>865</v>
      </c>
      <c r="E28" s="642"/>
      <c r="F28" s="642" t="s">
        <v>866</v>
      </c>
      <c r="G28" s="642" t="s">
        <v>867</v>
      </c>
      <c r="H28" s="642" t="s">
        <v>868</v>
      </c>
      <c r="I28" s="642" t="s">
        <v>869</v>
      </c>
      <c r="J28" s="793">
        <v>42513</v>
      </c>
      <c r="K28" s="793">
        <v>42513</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2020-06-20T15:21:46Z</dcterms:modified>
</cp:coreProperties>
</file>