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10" i="13"/>
  <c r="C12" i="13" s="1"/>
  <c r="C29" i="20"/>
  <c r="C56" i="22"/>
  <c r="C58" i="22" s="1"/>
  <c r="D49" i="14" s="1"/>
  <c r="D52" i="14" s="1"/>
  <c r="C18" i="15"/>
  <c r="C20" i="15" s="1"/>
  <c r="D40" i="14" s="1"/>
  <c r="C10" i="17"/>
  <c r="C12" i="17" s="1"/>
  <c r="D54" i="14" s="1"/>
  <c r="D56" i="14" s="1"/>
  <c r="C22" i="59"/>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<sst xmlns="http://schemas.openxmlformats.org/spreadsheetml/2006/main" count="2393" uniqueCount="877">
  <si>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</si>
  <si>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</si>
  <si>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</si>
  <si>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</si>
  <si>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</si>
  <si>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</si>
  <si>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</si>
  <si>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</si>
  <si>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</si>
  <si>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</si>
  <si>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</si>
  <si>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</si>
  <si>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</si>
  <si>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</si>
  <si>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</si>
  <si>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</si>
  <si>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</si>
  <si>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</si>
  <si>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</si>
  <si>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</si>
  <si>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</si>
  <si>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</si>
  <si>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</si>
  <si>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</si>
  <si>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</si>
  <si>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</si>
  <si>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</si>
  <si>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</si>
  <si>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</si>
  <si>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</si>
  <si>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</si>
  <si>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</si>
  <si>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</si>
  <si>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</si>
  <si>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</si>
  <si>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</si>
  <si>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</si>
  <si>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</si>
  <si>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</si>
  <si>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</si>
  <si>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</si>
  <si>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</si>
  <si>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</si>
  <si>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</si>
  <si>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</si>
  <si>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</si>
  <si>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</si>
  <si>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</si>
  <si>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</si>
  <si>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</si>
  <si>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</si>
  <si>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</si>
  <si>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</si>
  <si>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</si>
  <si>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</si>
  <si>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</si>
  <si>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</si>
  <si>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</si>
  <si>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</si>
  <si>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</si>
  <si>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</si>
  <si>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</si>
  <si>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</si>
  <si>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</si>
  <si>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</si>
  <si>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</si>
  <si>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</si>
  <si>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</si>
  <si>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</si>
  <si>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</si>
  <si>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</si>
  <si>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</si>
  <si>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</si>
  <si>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</si>
  <si>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</si>
  <si>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</si>
  <si>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</si>
  <si>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</si>
  <si>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</si>
  <si>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</si>
  <si>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</si>
  <si>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</si>
  <si>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</si>
  <si>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</si>
  <si>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</si>
  <si>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</si>
  <si>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</si>
  <si>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</si>
  <si>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</si>
  <si>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</si>
  <si>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</si>
  <si>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</si>
  <si>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</si>
  <si>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</si>
  <si>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</si>
  <si>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</si>
  <si>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</si>
  <si>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</si>
  <si>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</si>
  <si>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</si>
  <si>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</si>
  <si>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</si>
  <si>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</si>
  <si>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</si>
  <si>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</si>
  <si>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</si>
  <si>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</si>
  <si>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</si>
  <si>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</si>
  <si>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</si>
  <si>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</si>
  <si>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</si>
  <si>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</si>
  <si>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</si>
  <si>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</si>
  <si>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</si>
  <si>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</si>
  <si>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</si>
  <si>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</si>
  <si>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</si>
  <si>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</si>
  <si>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</si>
  <si>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</si>
  <si>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</si>
  <si>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</si>
  <si>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</si>
  <si>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</si>
  <si>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</si>
  <si>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</si>
  <si>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</si>
  <si>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</si>
  <si>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</si>
  <si>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</si>
  <si>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</si>
  <si>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</si>
  <si>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</si>
  <si>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</si>
  <si>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</si>
  <si>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</si>
  <si>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</si>
  <si>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</si>
  <si>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</si>
  <si>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</si>
  <si>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</si>
  <si>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</si>
  <si>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</si>
  <si>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</si>
  <si>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</si>
  <si>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</si>
  <si>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</si>
  <si>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</si>
  <si>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</si>
  <si>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</si>
  <si>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</si>
  <si>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</si>
  <si>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</si>
  <si>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</si>
  <si>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</si>
  <si>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</si>
  <si>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</si>
  <si>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</si>
  <si>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</si>
  <si>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</si>
  <si>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</si>
  <si>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</si>
  <si>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</si>
  <si>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</si>
  <si>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</si>
  <si>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</si>
  <si>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</si>
  <si>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</si>
  <si>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</si>
  <si>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</si>
  <si>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</si>
  <si>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</si>
  <si>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</si>
  <si>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</si>
  <si>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</si>
  <si>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</si>
  <si>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</si>
  <si>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</si>
  <si>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</si>
  <si>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</si>
  <si>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</si>
  <si>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</si>
  <si>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</si>
  <si>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</si>
  <si>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</si>
  <si>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</si>
  <si>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</si>
  <si>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</si>
  <si>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</si>
  <si>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</si>
  <si>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</si>
  <si>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</si>
  <si>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</si>
  <si>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</si>
  <si>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</si>
  <si>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</si>
  <si>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</si>
  <si>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</si>
  <si>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</si>
  <si>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</si>
  <si>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</si>
  <si>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</si>
  <si>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</si>
  <si>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</si>
  <si>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</si>
  <si>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</si>
  <si>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</si>
  <si>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</si>
  <si>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</si>
  <si>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</si>
  <si>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</si>
  <si>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</si>
  <si>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</si>
  <si>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</si>
  <si>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</si>
  <si>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</si>
  <si>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</si>
  <si>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</si>
  <si>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</si>
  <si>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</si>
  <si>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</si>
  <si>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</si>
  <si>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</si>
  <si>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</si>
  <si>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</si>
  <si>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</si>
  <si>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</si>
  <si>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</si>
  <si>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</si>
  <si>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</si>
  <si>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</si>
  <si>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</si>
  <si>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</si>
  <si>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</si>
  <si>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</si>
  <si>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</si>
  <si>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</si>
  <si>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</si>
  <si>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</si>
  <si>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</si>
  <si>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</si>
  <si>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</si>
  <si>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</si>
  <si>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</si>
  <si>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</si>
  <si>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</si>
  <si>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</si>
  <si>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</si>
  <si>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</si>
  <si>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</si>
  <si>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</si>
  <si>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</si>
  <si>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</si>
  <si>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</si>
  <si>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</si>
  <si>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</si>
  <si>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</si>
  <si>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</si>
  <si>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</si>
  <si>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</si>
  <si>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</si>
  <si>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</si>
  <si>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</si>
  <si>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</si>
  <si>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</si>
  <si>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</si>
  <si>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</si>
  <si>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</si>
  <si>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</si>
  <si>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</si>
  <si>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</si>
  <si>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</si>
  <si>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</si>
  <si>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</si>
  <si>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</si>
  <si>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</si>
  <si>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</si>
  <si>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</si>
  <si>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</si>
  <si>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</si>
  <si>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</si>
  <si>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</si>
  <si>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</si>
  <si>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</si>
  <si>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</si>
  <si>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</si>
  <si>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</si>
  <si>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</si>
  <si>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</si>
  <si>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</si>
  <si>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</si>
  <si>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</si>
  <si>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</si>
  <si>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</si>
  <si>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</si>
  <si>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</si>
  <si>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</si>
  <si>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</si>
  <si>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</si>
  <si>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</si>
  <si>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</si>
  <si>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</si>
  <si>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</si>
  <si>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</si>
  <si>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</si>
  <si>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</si>
  <si>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</si>
  <si>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</si>
  <si>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</si>
  <si>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</si>
  <si>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</si>
  <si>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</si>
  <si>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</si>
  <si>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</si>
  <si>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</si>
  <si>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</si>
  <si>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</si>
  <si>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</si>
  <si>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</si>
  <si>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</si>
  <si>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</si>
  <si>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</si>
  <si>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</si>
  <si>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</si>
  <si>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</si>
  <si>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</si>
  <si>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</si>
  <si>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</si>
  <si>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</si>
  <si>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</si>
  <si>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</si>
  <si>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</si>
  <si>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</si>
  <si>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</si>
  <si>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</si>
  <si>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</si>
  <si>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</si>
  <si>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</si>
  <si>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</si>
  <si>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</si>
  <si>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</si>
  <si>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</si>
  <si>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</si>
  <si>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</si>
  <si>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</si>
  <si>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</si>
  <si>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</si>
  <si>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</si>
  <si>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</si>
  <si>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</si>
  <si>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</si>
  <si>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</si>
  <si>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</si>
  <si>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</si>
  <si>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</si>
  <si>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</si>
  <si>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</si>
  <si>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</si>
  <si>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</si>
  <si>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</si>
  <si>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</si>
  <si>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</si>
  <si>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</si>
  <si>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</si>
  <si>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</si>
  <si>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</si>
  <si>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</si>
  <si>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</si>
  <si>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</si>
  <si>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</si>
  <si>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</si>
  <si>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</si>
  <si>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</si>
  <si>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</si>
  <si>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</si>
  <si>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</si>
  <si>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</si>
  <si>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</si>
  <si>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</si>
  <si>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</si>
  <si>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</si>
  <si>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</si>
  <si>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</si>
  <si>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</si>
  <si>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</si>
  <si>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</si>
  <si>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</si>
  <si>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</si>
  <si>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</si>
  <si>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</si>
  <si>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</si>
  <si>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</si>
  <si>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</si>
  <si>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</si>
  <si>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</si>
  <si>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</si>
  <si>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</si>
  <si>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</si>
  <si>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</si>
  <si>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</si>
  <si>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</si>
  <si>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</si>
  <si>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</si>
  <si>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</si>
  <si>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</si>
  <si>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</si>
  <si>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</si>
  <si>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</si>
  <si>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</si>
  <si>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</si>
  <si>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</si>
  <si>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</si>
  <si>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</si>
  <si>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</si>
  <si>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</si>
  <si>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</si>
  <si>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</si>
  <si>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</si>
  <si>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</si>
  <si>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</si>
  <si>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</si>
  <si>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</si>
  <si>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</si>
  <si>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</si>
  <si>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</si>
  <si>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</si>
  <si>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</si>
  <si>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</si>
  <si>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</si>
  <si>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</si>
  <si>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</si>
  <si>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</si>
  <si>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</si>
  <si>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</si>
  <si>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</si>
  <si>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</si>
  <si>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</si>
  <si>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</si>
  <si>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</si>
  <si>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</si>
  <si>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</si>
  <si>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</si>
  <si>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</si>
  <si>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</si>
  <si>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</si>
  <si>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</si>
  <si>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</si>
  <si>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</si>
  <si>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</si>
  <si>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</si>
  <si>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</si>
  <si>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</si>
  <si>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</si>
  <si>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</si>
  <si>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</si>
  <si>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</si>
  <si>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</si>
  <si>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</si>
  <si>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</si>
  <si>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</si>
  <si>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</si>
  <si>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</si>
  <si>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</si>
  <si>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</si>
  <si>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</si>
  <si>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</si>
  <si>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</si>
  <si>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</si>
  <si>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</si>
  <si>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</si>
  <si>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</si>
  <si>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</si>
  <si>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</si>
  <si>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</si>
  <si>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</si>
  <si>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</si>
  <si>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</si>
  <si>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</si>
  <si>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</si>
  <si>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</si>
  <si>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</si>
  <si>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</si>
  <si>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</si>
  <si>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</si>
  <si>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</si>
  <si>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</si>
  <si>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</si>
  <si>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</si>
  <si>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</si>
  <si>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</si>
  <si>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</si>
  <si>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</si>
  <si>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</si>
  <si>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</si>
  <si>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</si>
  <si>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</si>
  <si>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</si>
  <si>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</si>
  <si>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</si>
  <si>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</si>
  <si>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</si>
  <si>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</si>
  <si>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</si>
  <si>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</si>
  <si>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</si>
  <si>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</si>
  <si>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</si>
  <si>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</si>
  <si>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</si>
  <si>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</si>
  <si>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</si>
  <si>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</si>
  <si>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</si>
  <si>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</si>
  <si>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</si>
  <si>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</si>
  <si>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</si>
  <si>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</si>
  <si>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</si>
  <si>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</si>
  <si>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</si>
  <si>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</si>
  <si>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</si>
  <si>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</si>
  <si>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</si>
  <si>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</si>
  <si>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</si>
  <si>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</si>
  <si>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</si>
  <si>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</si>
  <si>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</si>
  <si>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</si>
  <si>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</si>
  <si>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</si>
  <si>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</si>
  <si>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</si>
  <si>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</si>
  <si>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</si>
  <si>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</si>
  <si>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</si>
  <si>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</si>
  <si>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</si>
  <si>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</si>
  <si>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</si>
  <si>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</si>
  <si>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</si>
  <si>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</si>
  <si>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</si>
  <si>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</si>
  <si>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</si>
  <si>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</si>
  <si>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</si>
  <si>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</si>
  <si>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</si>
  <si>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</si>
  <si>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</si>
  <si>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</si>
  <si>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</si>
  <si>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</si>
  <si>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</si>
  <si>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</si>
  <si>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</si>
  <si>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</si>
  <si>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</si>
  <si>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</si>
  <si>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</si>
  <si>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</si>
  <si>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</si>
  <si>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</si>
  <si>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</si>
  <si>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</si>
  <si>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</si>
  <si>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</si>
  <si>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</si>
  <si>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</si>
  <si>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</si>
  <si>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</si>
  <si>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</si>
  <si>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</si>
  <si>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</si>
  <si>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</si>
  <si>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</si>
  <si>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</si>
  <si>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</si>
  <si>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</si>
  <si>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</si>
  <si>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</si>
  <si>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</si>
  <si>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</si>
  <si>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</si>
  <si>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</si>
  <si>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</si>
  <si>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</si>
  <si>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</si>
  <si>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</si>
  <si>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</si>
  <si>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</si>
  <si>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</si>
  <si>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</si>
  <si>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</si>
  <si>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</si>
  <si>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</si>
  <si>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</si>
  <si>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</si>
  <si>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</si>
  <si>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</si>
  <si>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</si>
  <si>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</si>
  <si>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</si>
  <si>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</si>
  <si>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</si>
  <si>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</si>
  <si>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</si>
  <si>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</si>
  <si>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</si>
  <si>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</si>
  <si>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</si>
  <si>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</si>
  <si>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</si>
  <si>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</si>
  <si>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</si>
  <si>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</si>
  <si>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</si>
  <si>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</si>
  <si>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</si>
  <si>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</si>
  <si>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</si>
  <si>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</si>
  <si>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</si>
  <si>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</si>
  <si>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</si>
  <si>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</si>
  <si>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</si>
  <si>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</si>
  <si>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</si>
  <si>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</si>
  <si>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</si>
  <si>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</si>
  <si>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</si>
  <si>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</si>
  <si>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</si>
  <si>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</si>
  <si>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</si>
  <si>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</si>
  <si>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</si>
  <si>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</si>
  <si>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</si>
  <si>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</si>
  <si>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</si>
  <si>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</si>
  <si>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</si>
  <si>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</si>
  <si>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</si>
  <si>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</si>
  <si>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</si>
  <si>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</si>
  <si>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</si>
  <si>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</si>
  <si>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</si>
  <si>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</si>
  <si>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</si>
  <si>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</si>
  <si>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</si>
  <si>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</si>
  <si>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</si>
  <si>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</si>
  <si>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</si>
  <si>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</si>
  <si>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</si>
  <si>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</si>
  <si>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</si>
  <si>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</si>
  <si>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</si>
  <si>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</si>
  <si>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</si>
  <si>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</si>
  <si>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</si>
  <si>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</si>
  <si>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</si>
  <si>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</si>
  <si>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</si>
  <si>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</si>
  <si>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</si>
  <si>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</si>
  <si>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</si>
  <si>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</si>
  <si>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</si>
  <si>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</si>
  <si>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</si>
  <si>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</si>
  <si>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</si>
  <si>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</si>
  <si>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</si>
  <si>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</si>
  <si>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</si>
  <si>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</si>
  <si>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</si>
  <si>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</si>
  <si>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</si>
  <si>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</si>
  <si>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</si>
  <si>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</si>
  <si>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</si>
  <si>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</si>
  <si>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</si>
  <si>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</si>
  <si>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</si>
  <si>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</si>
  <si>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</si>
  <si>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</si>
  <si>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</si>
  <si>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</si>
  <si>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</si>
  <si>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</si>
  <si>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</si>
  <si>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</si>
  <si>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</si>
  <si>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</si>
  <si>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</si>
  <si>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</si>
  <si>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</si>
  <si>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</si>
  <si>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</si>
  <si>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</si>
  <si>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</si>
  <si>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</si>
  <si>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</si>
  <si>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</si>
  <si>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</si>
  <si>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</si>
  <si>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</si>
  <si>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</si>
  <si>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</si>
  <si>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</si>
  <si>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</si>
  <si>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</si>
  <si>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</si>
  <si>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</si>
  <si>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</si>
  <si>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</si>
  <si>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</si>
  <si>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</si>
  <si>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</si>
  <si>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</si>
  <si>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</si>
  <si>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</si>
  <si>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</si>
  <si>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</si>
  <si>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</si>
  <si>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</si>
  <si>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</si>
  <si>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</si>
  <si>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</si>
  <si>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</si>
  <si>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</si>
  <si>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</si>
  <si>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</si>
  <si>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</si>
  <si>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</si>
  <si>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</si>
  <si>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</si>
  <si>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</si>
  <si>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</si>
  <si>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</si>
  <si>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</si>
  <si>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</si>
  <si>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</si>
  <si>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</si>
  <si>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</si>
  <si>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</si>
  <si>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</si>
  <si>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</si>
  <si>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</si>
  <si>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</si>
  <si>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</si>
  <si>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</si>
  <si>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</si>
  <si>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</si>
  <si>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</si>
  <si>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</si>
  <si>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</si>
  <si>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</si>
  <si>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</si>
  <si>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</si>
  <si>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</si>
  <si>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</si>
  <si>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</si>
  <si>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</si>
  <si>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</si>
  <si>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</si>
  <si>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</si>
  <si>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</si>
  <si>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</si>
  <si>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</si>
  <si>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</si>
  <si>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</si>
  <si>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</si>
  <si>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</si>
  <si>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</si>
  <si>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</si>
  <si>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</si>
  <si>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</si>
  <si>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</si>
  <si>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</si>
  <si>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</si>
  <si>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</si>
  <si>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</si>
  <si>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</si>
  <si>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</si>
  <si>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</si>
  <si>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</si>
  <si>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</si>
  <si>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</si>
  <si>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</si>
  <si>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</si>
  <si>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</si>
  <si>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</si>
  <si>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</si>
  <si>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</si>
  <si>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</si>
  <si>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</si>
  <si>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</si>
  <si>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</si>
  <si>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</si>
  <si>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</si>
  <si>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</si>
  <si>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</si>
  <si>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</si>
  <si>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</si>
  <si>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</si>
  <si>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</si>
  <si>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</si>
  <si>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</si>
  <si>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</si>
  <si>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</si>
  <si>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</si>
  <si>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</si>
  <si>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</si>
  <si>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</si>
  <si>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</si>
  <si>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</si>
  <si>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</si>
  <si>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</si>
  <si>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</si>
  <si>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</si>
  <si>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</si>
  <si>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</si>
  <si>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</si>
  <si>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</si>
  <si>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</si>
  <si>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</si>
  <si>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</si>
  <si>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</si>
  <si>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</si>
  <si>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</si>
  <si>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</si>
  <si>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</si>
  <si>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</si>
  <si>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</si>
  <si>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31003</t>
  </si>
  <si>
    <t>BEERNEM</t>
  </si>
  <si>
    <t>referentietaak LNE (2017); Jaarverslag De Lijn</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</si>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</sst>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132705.75949676445</c:v>
                </c:pt>
                <c:pt idx="1">
                  <c:v>75277.971211413707</c:v>
                </c:pt>
                <c:pt idx="2">
                  <c:v>799.678</c:v>
                </c:pt>
                <c:pt idx="3">
                  <c:v>34666.508265255354</c:v>
                </c:pt>
                <c:pt idx="4">
                  <c:v>40439.718416686119</c:v>
                </c:pt>
                <c:pt idx="5">
                  <c:v>270918.24925043265</c:v>
                </c:pt>
                <c:pt idx="6">
                  <c:v>1003.0770918108487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132705.75949676445</c:v>
                </c:pt>
                <c:pt idx="1">
                  <c:v>75277.971211413707</c:v>
                </c:pt>
                <c:pt idx="2">
                  <c:v>799.678</c:v>
                </c:pt>
                <c:pt idx="3">
                  <c:v>34666.508265255354</c:v>
                </c:pt>
                <c:pt idx="4">
                  <c:v>40439.718416686119</c:v>
                </c:pt>
                <c:pt idx="5">
                  <c:v>270918.24925043265</c:v>
                </c:pt>
                <c:pt idx="6">
                  <c:v>1003.0770918108487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20253.99748326989</c:v>
                </c:pt>
                <c:pt idx="1">
                  <c:v>14212.408882518379</c:v>
                </c:pt>
                <c:pt idx="2">
                  <c:v>127.86127479773667</c:v>
                </c:pt>
                <c:pt idx="3">
                  <c:v>4639.3192797276024</c:v>
                </c:pt>
                <c:pt idx="4">
                  <c:v>7656.0994303464386</c:v>
                </c:pt>
                <c:pt idx="5">
                  <c:v>67506.527466264452</c:v>
                </c:pt>
                <c:pt idx="6">
                  <c:v>254.03613589459945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20253.99748326989</c:v>
                </c:pt>
                <c:pt idx="1">
                  <c:v>14212.408882518379</c:v>
                </c:pt>
                <c:pt idx="2">
                  <c:v>127.86127479773667</c:v>
                </c:pt>
                <c:pt idx="3">
                  <c:v>4639.3192797276024</c:v>
                </c:pt>
                <c:pt idx="4">
                  <c:v>7656.0994303464386</c:v>
                </c:pt>
                <c:pt idx="5">
                  <c:v>67506.527466264452</c:v>
                </c:pt>
                <c:pt idx="6">
                  <c:v>254.03613589459945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31003</v>
      </c>
      <c r="B6" s="392"/>
      <c r="C6" s="393"/>
    </row>
    <row r="7" spans="1:7" s="390" customFormat="1" ht="15.75" customHeight="1">
      <c r="A7" s="394" t="str">
        <f>txtMunicipality</f>
        <v>BEERNEM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0.1598909496043866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0.1598909496043866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6410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4667.3</v>
      </c>
      <c r="C14" s="332"/>
      <c r="D14" s="332"/>
      <c r="E14" s="332"/>
      <c r="F14" s="332"/>
    </row>
    <row r="15" spans="1:6">
      <c r="A15" s="1310" t="s">
        <v>183</v>
      </c>
      <c r="B15" s="1311">
        <v>104</v>
      </c>
      <c r="C15" s="332"/>
      <c r="D15" s="332"/>
      <c r="E15" s="332"/>
      <c r="F15" s="332"/>
    </row>
    <row r="16" spans="1:6">
      <c r="A16" s="1310" t="s">
        <v>6</v>
      </c>
      <c r="B16" s="1311">
        <v>4296</v>
      </c>
      <c r="C16" s="332"/>
      <c r="D16" s="332"/>
      <c r="E16" s="332"/>
      <c r="F16" s="332"/>
    </row>
    <row r="17" spans="1:6">
      <c r="A17" s="1310" t="s">
        <v>7</v>
      </c>
      <c r="B17" s="1311">
        <v>1149</v>
      </c>
      <c r="C17" s="332"/>
      <c r="D17" s="332"/>
      <c r="E17" s="332"/>
      <c r="F17" s="332"/>
    </row>
    <row r="18" spans="1:6">
      <c r="A18" s="1310" t="s">
        <v>8</v>
      </c>
      <c r="B18" s="1311">
        <v>3041</v>
      </c>
      <c r="C18" s="332"/>
      <c r="D18" s="332"/>
      <c r="E18" s="332"/>
      <c r="F18" s="332"/>
    </row>
    <row r="19" spans="1:6">
      <c r="A19" s="1310" t="s">
        <v>9</v>
      </c>
      <c r="B19" s="1311">
        <v>3025</v>
      </c>
      <c r="C19" s="332"/>
      <c r="D19" s="332"/>
      <c r="E19" s="332"/>
      <c r="F19" s="332"/>
    </row>
    <row r="20" spans="1:6">
      <c r="A20" s="1310" t="s">
        <v>10</v>
      </c>
      <c r="B20" s="1311">
        <v>1707</v>
      </c>
      <c r="C20" s="332"/>
      <c r="D20" s="332"/>
      <c r="E20" s="332"/>
      <c r="F20" s="332"/>
    </row>
    <row r="21" spans="1:6">
      <c r="A21" s="1310" t="s">
        <v>11</v>
      </c>
      <c r="B21" s="1311">
        <v>15812</v>
      </c>
      <c r="C21" s="332"/>
      <c r="D21" s="332"/>
      <c r="E21" s="332"/>
      <c r="F21" s="332"/>
    </row>
    <row r="22" spans="1:6">
      <c r="A22" s="1310" t="s">
        <v>12</v>
      </c>
      <c r="B22" s="1311">
        <v>39825</v>
      </c>
      <c r="C22" s="332"/>
      <c r="D22" s="332"/>
      <c r="E22" s="332"/>
      <c r="F22" s="332"/>
    </row>
    <row r="23" spans="1:6">
      <c r="A23" s="1310" t="s">
        <v>13</v>
      </c>
      <c r="B23" s="1311">
        <v>732</v>
      </c>
      <c r="C23" s="332"/>
      <c r="D23" s="332"/>
      <c r="E23" s="332"/>
      <c r="F23" s="332"/>
    </row>
    <row r="24" spans="1:6">
      <c r="A24" s="1310" t="s">
        <v>14</v>
      </c>
      <c r="B24" s="1311">
        <v>21</v>
      </c>
      <c r="C24" s="332"/>
      <c r="D24" s="332"/>
      <c r="E24" s="332"/>
      <c r="F24" s="332"/>
    </row>
    <row r="25" spans="1:6">
      <c r="A25" s="1310" t="s">
        <v>15</v>
      </c>
      <c r="B25" s="1311">
        <v>3580</v>
      </c>
      <c r="C25" s="332"/>
      <c r="D25" s="332"/>
      <c r="E25" s="332"/>
      <c r="F25" s="332"/>
    </row>
    <row r="26" spans="1:6">
      <c r="A26" s="1310" t="s">
        <v>16</v>
      </c>
      <c r="B26" s="1311">
        <v>668</v>
      </c>
      <c r="C26" s="332"/>
      <c r="D26" s="332"/>
      <c r="E26" s="332"/>
      <c r="F26" s="332"/>
    </row>
    <row r="27" spans="1:6">
      <c r="A27" s="1310" t="s">
        <v>17</v>
      </c>
      <c r="B27" s="1311">
        <v>7</v>
      </c>
      <c r="C27" s="332"/>
      <c r="D27" s="332"/>
      <c r="E27" s="332"/>
      <c r="F27" s="332"/>
    </row>
    <row r="28" spans="1:6" s="43" customFormat="1">
      <c r="A28" s="1312" t="s">
        <v>18</v>
      </c>
      <c r="B28" s="1313">
        <v>125731</v>
      </c>
      <c r="C28" s="338"/>
      <c r="D28" s="338"/>
      <c r="E28" s="338"/>
      <c r="F28" s="338"/>
    </row>
    <row r="29" spans="1:6">
      <c r="A29" s="1312" t="s">
        <v>699</v>
      </c>
      <c r="B29" s="1313">
        <v>271</v>
      </c>
      <c r="C29" s="338"/>
      <c r="D29" s="338"/>
      <c r="E29" s="338"/>
      <c r="F29" s="338"/>
    </row>
    <row r="30" spans="1:6">
      <c r="A30" s="1305" t="s">
        <v>700</v>
      </c>
      <c r="B30" s="1314">
        <v>75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4445</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3005.7437915651999</v>
      </c>
    </row>
    <row r="39" spans="1:6">
      <c r="A39" s="1310" t="s">
        <v>29</v>
      </c>
      <c r="B39" s="1310" t="s">
        <v>30</v>
      </c>
      <c r="C39" s="1311">
        <v>3813</v>
      </c>
      <c r="D39" s="1311">
        <v>52874915.172833301</v>
      </c>
      <c r="E39" s="1311">
        <v>5999</v>
      </c>
      <c r="F39" s="1311">
        <v>23240403.647962201</v>
      </c>
    </row>
    <row r="40" spans="1:6">
      <c r="A40" s="1310" t="s">
        <v>29</v>
      </c>
      <c r="B40" s="1310" t="s">
        <v>28</v>
      </c>
      <c r="C40" s="1311">
        <v>0</v>
      </c>
      <c r="D40" s="1311">
        <v>0</v>
      </c>
      <c r="E40" s="1311">
        <v>0</v>
      </c>
      <c r="F40" s="1311">
        <v>0</v>
      </c>
    </row>
    <row r="41" spans="1:6">
      <c r="A41" s="1310" t="s">
        <v>31</v>
      </c>
      <c r="B41" s="1310" t="s">
        <v>32</v>
      </c>
      <c r="C41" s="1311">
        <v>90</v>
      </c>
      <c r="D41" s="1311">
        <v>2312552.9708710299</v>
      </c>
      <c r="E41" s="1311">
        <v>180</v>
      </c>
      <c r="F41" s="1311">
        <v>7191562.1298670899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13</v>
      </c>
      <c r="D44" s="1311">
        <v>439139.37402097799</v>
      </c>
      <c r="E44" s="1311">
        <v>31</v>
      </c>
      <c r="F44" s="1311">
        <v>3529229.0131277</v>
      </c>
    </row>
    <row r="45" spans="1:6">
      <c r="A45" s="1310" t="s">
        <v>31</v>
      </c>
      <c r="B45" s="1310" t="s">
        <v>36</v>
      </c>
      <c r="C45" s="1311">
        <v>3</v>
      </c>
      <c r="D45" s="1311">
        <v>85696.618178141405</v>
      </c>
      <c r="E45" s="1311">
        <v>4</v>
      </c>
      <c r="F45" s="1311">
        <v>62747.678246360803</v>
      </c>
    </row>
    <row r="46" spans="1:6">
      <c r="A46" s="1310" t="s">
        <v>31</v>
      </c>
      <c r="B46" s="1310" t="s">
        <v>37</v>
      </c>
      <c r="C46" s="1311">
        <v>0</v>
      </c>
      <c r="D46" s="1311">
        <v>0</v>
      </c>
      <c r="E46" s="1311">
        <v>0</v>
      </c>
      <c r="F46" s="1311">
        <v>0</v>
      </c>
    </row>
    <row r="47" spans="1:6">
      <c r="A47" s="1310" t="s">
        <v>31</v>
      </c>
      <c r="B47" s="1310" t="s">
        <v>38</v>
      </c>
      <c r="C47" s="1311">
        <v>3</v>
      </c>
      <c r="D47" s="1311">
        <v>96163.850048148</v>
      </c>
      <c r="E47" s="1311">
        <v>7</v>
      </c>
      <c r="F47" s="1311">
        <v>58780.766370942103</v>
      </c>
    </row>
    <row r="48" spans="1:6">
      <c r="A48" s="1310" t="s">
        <v>31</v>
      </c>
      <c r="B48" s="1310" t="s">
        <v>28</v>
      </c>
      <c r="C48" s="1311">
        <v>4</v>
      </c>
      <c r="D48" s="1311">
        <v>373690.24062843301</v>
      </c>
      <c r="E48" s="1311">
        <v>2</v>
      </c>
      <c r="F48" s="1311">
        <v>52541.029445285501</v>
      </c>
    </row>
    <row r="49" spans="1:6">
      <c r="A49" s="1310" t="s">
        <v>31</v>
      </c>
      <c r="B49" s="1310" t="s">
        <v>39</v>
      </c>
      <c r="C49" s="1311">
        <v>0</v>
      </c>
      <c r="D49" s="1311">
        <v>0</v>
      </c>
      <c r="E49" s="1311">
        <v>3</v>
      </c>
      <c r="F49" s="1311">
        <v>18650.4759668431</v>
      </c>
    </row>
    <row r="50" spans="1:6">
      <c r="A50" s="1310" t="s">
        <v>31</v>
      </c>
      <c r="B50" s="1310" t="s">
        <v>40</v>
      </c>
      <c r="C50" s="1311">
        <v>15</v>
      </c>
      <c r="D50" s="1311">
        <v>16824542.799619999</v>
      </c>
      <c r="E50" s="1311">
        <v>30</v>
      </c>
      <c r="F50" s="1311">
        <v>5994131.8923378196</v>
      </c>
    </row>
    <row r="51" spans="1:6">
      <c r="A51" s="1310" t="s">
        <v>41</v>
      </c>
      <c r="B51" s="1310" t="s">
        <v>42</v>
      </c>
      <c r="C51" s="1311">
        <v>13</v>
      </c>
      <c r="D51" s="1311">
        <v>244666.12468776599</v>
      </c>
      <c r="E51" s="1311">
        <v>191</v>
      </c>
      <c r="F51" s="1311">
        <v>4074989.4044079399</v>
      </c>
    </row>
    <row r="52" spans="1:6">
      <c r="A52" s="1310" t="s">
        <v>41</v>
      </c>
      <c r="B52" s="1310" t="s">
        <v>28</v>
      </c>
      <c r="C52" s="1311">
        <v>0</v>
      </c>
      <c r="D52" s="1311">
        <v>0</v>
      </c>
      <c r="E52" s="1311">
        <v>0</v>
      </c>
      <c r="F52" s="1311">
        <v>0</v>
      </c>
    </row>
    <row r="53" spans="1:6">
      <c r="A53" s="1310" t="s">
        <v>43</v>
      </c>
      <c r="B53" s="1310" t="s">
        <v>44</v>
      </c>
      <c r="C53" s="1311">
        <v>89</v>
      </c>
      <c r="D53" s="1311">
        <v>1171117.2332784501</v>
      </c>
      <c r="E53" s="1311">
        <v>200</v>
      </c>
      <c r="F53" s="1311">
        <v>862067.11187268596</v>
      </c>
    </row>
    <row r="54" spans="1:6">
      <c r="A54" s="1310" t="s">
        <v>45</v>
      </c>
      <c r="B54" s="1310" t="s">
        <v>46</v>
      </c>
      <c r="C54" s="1311">
        <v>0</v>
      </c>
      <c r="D54" s="1311">
        <v>0</v>
      </c>
      <c r="E54" s="1311">
        <v>1</v>
      </c>
      <c r="F54" s="1311">
        <v>799678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64</v>
      </c>
      <c r="D57" s="1311">
        <v>25615508.331996702</v>
      </c>
      <c r="E57" s="1311">
        <v>154</v>
      </c>
      <c r="F57" s="1311">
        <v>5997910.4861413399</v>
      </c>
    </row>
    <row r="58" spans="1:6">
      <c r="A58" s="1310" t="s">
        <v>48</v>
      </c>
      <c r="B58" s="1310" t="s">
        <v>50</v>
      </c>
      <c r="C58" s="1311">
        <v>54</v>
      </c>
      <c r="D58" s="1311">
        <v>3344260.28994788</v>
      </c>
      <c r="E58" s="1311">
        <v>75</v>
      </c>
      <c r="F58" s="1311">
        <v>1181251.14785811</v>
      </c>
    </row>
    <row r="59" spans="1:6">
      <c r="A59" s="1310" t="s">
        <v>48</v>
      </c>
      <c r="B59" s="1310" t="s">
        <v>51</v>
      </c>
      <c r="C59" s="1311">
        <v>92</v>
      </c>
      <c r="D59" s="1311">
        <v>3457347.19534154</v>
      </c>
      <c r="E59" s="1311">
        <v>176</v>
      </c>
      <c r="F59" s="1311">
        <v>5827925.4534058496</v>
      </c>
    </row>
    <row r="60" spans="1:6">
      <c r="A60" s="1310" t="s">
        <v>48</v>
      </c>
      <c r="B60" s="1310" t="s">
        <v>52</v>
      </c>
      <c r="C60" s="1311">
        <v>43</v>
      </c>
      <c r="D60" s="1311">
        <v>15858915.2838475</v>
      </c>
      <c r="E60" s="1311">
        <v>68</v>
      </c>
      <c r="F60" s="1311">
        <v>3681049.59229893</v>
      </c>
    </row>
    <row r="61" spans="1:6">
      <c r="A61" s="1310" t="s">
        <v>48</v>
      </c>
      <c r="B61" s="1310" t="s">
        <v>53</v>
      </c>
      <c r="C61" s="1311">
        <v>116</v>
      </c>
      <c r="D61" s="1311">
        <v>4021499.1385712801</v>
      </c>
      <c r="E61" s="1311">
        <v>262</v>
      </c>
      <c r="F61" s="1311">
        <v>3170911.6813210198</v>
      </c>
    </row>
    <row r="62" spans="1:6">
      <c r="A62" s="1310" t="s">
        <v>48</v>
      </c>
      <c r="B62" s="1310" t="s">
        <v>54</v>
      </c>
      <c r="C62" s="1311">
        <v>11</v>
      </c>
      <c r="D62" s="1311">
        <v>641236.03871535196</v>
      </c>
      <c r="E62" s="1311">
        <v>18</v>
      </c>
      <c r="F62" s="1311">
        <v>319867.15642568597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16</v>
      </c>
      <c r="F66" s="1311">
        <v>352014.21838896599</v>
      </c>
    </row>
    <row r="67" spans="1:6">
      <c r="A67" s="1312" t="s">
        <v>55</v>
      </c>
      <c r="B67" s="1312" t="s">
        <v>58</v>
      </c>
      <c r="C67" s="1311">
        <v>0</v>
      </c>
      <c r="D67" s="1311">
        <v>0</v>
      </c>
      <c r="E67" s="1311">
        <v>0</v>
      </c>
      <c r="F67" s="1311">
        <v>0</v>
      </c>
    </row>
    <row r="68" spans="1:6">
      <c r="A68" s="1305" t="s">
        <v>55</v>
      </c>
      <c r="B68" s="1305" t="s">
        <v>59</v>
      </c>
      <c r="C68" s="1314">
        <v>8</v>
      </c>
      <c r="D68" s="1314">
        <v>161705.58202971501</v>
      </c>
      <c r="E68" s="1314">
        <v>20</v>
      </c>
      <c r="F68" s="1314">
        <v>136817.89680938801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57951100</v>
      </c>
      <c r="E73" s="453"/>
      <c r="F73" s="332"/>
    </row>
    <row r="74" spans="1:6">
      <c r="A74" s="1310" t="s">
        <v>63</v>
      </c>
      <c r="B74" s="1310" t="s">
        <v>648</v>
      </c>
      <c r="C74" s="1324" t="s">
        <v>650</v>
      </c>
      <c r="D74" s="1325">
        <v>5249119.3884268664</v>
      </c>
      <c r="E74" s="453"/>
      <c r="F74" s="332"/>
    </row>
    <row r="75" spans="1:6">
      <c r="A75" s="1310" t="s">
        <v>64</v>
      </c>
      <c r="B75" s="1310" t="s">
        <v>647</v>
      </c>
      <c r="C75" s="1324" t="s">
        <v>651</v>
      </c>
      <c r="D75" s="1325">
        <v>25782934</v>
      </c>
      <c r="E75" s="453"/>
      <c r="F75" s="332"/>
    </row>
    <row r="76" spans="1:6">
      <c r="A76" s="1310" t="s">
        <v>64</v>
      </c>
      <c r="B76" s="1310" t="s">
        <v>648</v>
      </c>
      <c r="C76" s="1324" t="s">
        <v>652</v>
      </c>
      <c r="D76" s="1325">
        <v>2553578.3884268659</v>
      </c>
      <c r="E76" s="453"/>
      <c r="F76" s="332"/>
    </row>
    <row r="77" spans="1:6">
      <c r="A77" s="1310" t="s">
        <v>65</v>
      </c>
      <c r="B77" s="1310" t="s">
        <v>647</v>
      </c>
      <c r="C77" s="1324" t="s">
        <v>653</v>
      </c>
      <c r="D77" s="1325">
        <v>165363399</v>
      </c>
      <c r="E77" s="453"/>
      <c r="F77" s="332"/>
    </row>
    <row r="78" spans="1:6">
      <c r="A78" s="1305" t="s">
        <v>65</v>
      </c>
      <c r="B78" s="1305" t="s">
        <v>648</v>
      </c>
      <c r="C78" s="1305" t="s">
        <v>654</v>
      </c>
      <c r="D78" s="1326">
        <v>29332210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278229.22314626799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5773.6710310313301</v>
      </c>
      <c r="C91" s="332"/>
      <c r="D91" s="332"/>
      <c r="E91" s="332"/>
      <c r="F91" s="332"/>
    </row>
    <row r="92" spans="1:6">
      <c r="A92" s="1305" t="s">
        <v>68</v>
      </c>
      <c r="B92" s="1306">
        <v>2987.0683683406587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1822</v>
      </c>
      <c r="C97" s="332"/>
      <c r="D97" s="332"/>
      <c r="E97" s="332"/>
      <c r="F97" s="332"/>
    </row>
    <row r="98" spans="1:6">
      <c r="A98" s="1310" t="s">
        <v>71</v>
      </c>
      <c r="B98" s="1311">
        <v>0</v>
      </c>
      <c r="C98" s="332"/>
      <c r="D98" s="332"/>
      <c r="E98" s="332"/>
      <c r="F98" s="332"/>
    </row>
    <row r="99" spans="1:6">
      <c r="A99" s="1310" t="s">
        <v>72</v>
      </c>
      <c r="B99" s="1311">
        <v>231</v>
      </c>
      <c r="C99" s="332"/>
      <c r="D99" s="332"/>
      <c r="E99" s="332"/>
      <c r="F99" s="332"/>
    </row>
    <row r="100" spans="1:6">
      <c r="A100" s="1310" t="s">
        <v>73</v>
      </c>
      <c r="B100" s="1311">
        <v>578</v>
      </c>
      <c r="C100" s="332"/>
      <c r="D100" s="332"/>
      <c r="E100" s="332"/>
      <c r="F100" s="332"/>
    </row>
    <row r="101" spans="1:6">
      <c r="A101" s="1310" t="s">
        <v>74</v>
      </c>
      <c r="B101" s="1311">
        <v>208</v>
      </c>
      <c r="C101" s="332"/>
      <c r="D101" s="332"/>
      <c r="E101" s="332"/>
      <c r="F101" s="332"/>
    </row>
    <row r="102" spans="1:6">
      <c r="A102" s="1310" t="s">
        <v>75</v>
      </c>
      <c r="B102" s="1311">
        <v>118</v>
      </c>
      <c r="C102" s="332"/>
      <c r="D102" s="332"/>
      <c r="E102" s="332"/>
      <c r="F102" s="332"/>
    </row>
    <row r="103" spans="1:6">
      <c r="A103" s="1310" t="s">
        <v>76</v>
      </c>
      <c r="B103" s="1311">
        <v>262</v>
      </c>
      <c r="C103" s="332"/>
      <c r="D103" s="332"/>
      <c r="E103" s="332"/>
      <c r="F103" s="332"/>
    </row>
    <row r="104" spans="1:6">
      <c r="A104" s="1310" t="s">
        <v>77</v>
      </c>
      <c r="B104" s="1311">
        <v>2094</v>
      </c>
      <c r="C104" s="332"/>
      <c r="D104" s="332"/>
      <c r="E104" s="332"/>
      <c r="F104" s="332"/>
    </row>
    <row r="105" spans="1:6">
      <c r="A105" s="1305" t="s">
        <v>78</v>
      </c>
      <c r="B105" s="1314">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2</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38</v>
      </c>
      <c r="C123" s="1311">
        <v>38</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336</v>
      </c>
      <c r="C129" s="332"/>
      <c r="D129" s="332"/>
      <c r="E129" s="332"/>
      <c r="F129" s="332"/>
    </row>
    <row r="130" spans="1:6">
      <c r="A130" s="1310" t="s">
        <v>294</v>
      </c>
      <c r="B130" s="1311">
        <v>8</v>
      </c>
      <c r="C130" s="332"/>
      <c r="D130" s="332"/>
      <c r="E130" s="332"/>
      <c r="F130" s="332"/>
    </row>
    <row r="131" spans="1:6">
      <c r="A131" s="1310" t="s">
        <v>295</v>
      </c>
      <c r="B131" s="1311">
        <v>2</v>
      </c>
      <c r="C131" s="332"/>
      <c r="D131" s="332"/>
      <c r="E131" s="332"/>
      <c r="F131" s="332"/>
    </row>
    <row r="132" spans="1:6">
      <c r="A132" s="1305" t="s">
        <v>296</v>
      </c>
      <c r="B132" s="1306">
        <v>44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72005.636297321194</v>
      </c>
      <c r="C3" s="43" t="s">
        <v>169</v>
      </c>
      <c r="D3" s="43"/>
      <c r="E3" s="154"/>
      <c r="F3" s="43"/>
      <c r="G3" s="43"/>
      <c r="H3" s="43"/>
      <c r="I3" s="43"/>
      <c r="J3" s="43"/>
      <c r="K3" s="96"/>
    </row>
    <row r="4" spans="1:11">
      <c r="A4" s="360" t="s">
        <v>170</v>
      </c>
      <c r="B4" s="49">
        <f>IF(ISERROR('SEAP template'!B78+'SEAP template'!C78),0,'SEAP template'!B78+'SEAP template'!C78)</f>
        <v>19910.38939937199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0.1598909496043866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15928.071428571429</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799.678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799.678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0.1598909496043866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127.86127479773667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23240.403647962201</v>
      </c>
      <c r="C5" s="17">
        <f>IF(ISERROR('Eigen informatie GS &amp; warmtenet'!B59),0,'Eigen informatie GS &amp; warmtenet'!B59)</f>
        <v>0</v>
      </c>
      <c r="D5" s="30">
        <f>(SUM(HH_hh_gas_kWh,HH_rest_gas_kWh)/1000)*0.903</f>
        <v>47746.048401068474</v>
      </c>
      <c r="E5" s="17">
        <f>B46*B57</f>
        <v>17553.272245887983</v>
      </c>
      <c r="F5" s="17">
        <f>B51*B62</f>
        <v>6265.588419070179</v>
      </c>
      <c r="G5" s="18"/>
      <c r="H5" s="17"/>
      <c r="I5" s="17"/>
      <c r="J5" s="17">
        <f>B50*B61+C50*C61</f>
        <v>883.34137352792072</v>
      </c>
      <c r="K5" s="17"/>
      <c r="L5" s="17"/>
      <c r="M5" s="17"/>
      <c r="N5" s="17">
        <f>B48*B59+C48*C59</f>
        <v>29625.131423408377</v>
      </c>
      <c r="O5" s="17">
        <f>B69*B70*B71</f>
        <v>743.98433227013697</v>
      </c>
      <c r="P5" s="17">
        <f>B77*B78*B79/1000-B77*B78*B79/1000/B80</f>
        <v>874.31862253785675</v>
      </c>
    </row>
    <row r="6" spans="1:16">
      <c r="A6" s="16" t="s">
        <v>612</v>
      </c>
      <c r="B6" s="786">
        <f>kWh_PV_kleiner_dan_10kW</f>
        <v>5773.6710310313301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29014.074678993529</v>
      </c>
      <c r="C8" s="21">
        <f>C5</f>
        <v>0</v>
      </c>
      <c r="D8" s="21">
        <f>D5</f>
        <v>47746.048401068474</v>
      </c>
      <c r="E8" s="21">
        <f>E5</f>
        <v>17553.272245887983</v>
      </c>
      <c r="F8" s="21">
        <f>F5</f>
        <v>6265.588419070179</v>
      </c>
      <c r="G8" s="21"/>
      <c r="H8" s="21"/>
      <c r="I8" s="21"/>
      <c r="J8" s="21">
        <f>J5</f>
        <v>883.34137352792072</v>
      </c>
      <c r="K8" s="21"/>
      <c r="L8" s="21">
        <f>L5</f>
        <v>0</v>
      </c>
      <c r="M8" s="21">
        <f>M5</f>
        <v>0</v>
      </c>
      <c r="N8" s="21">
        <f>N5</f>
        <v>29625.131423408377</v>
      </c>
      <c r="O8" s="21">
        <f>O5</f>
        <v>743.98433227013697</v>
      </c>
      <c r="P8" s="21">
        <f>P5</f>
        <v>874.31862253785675</v>
      </c>
    </row>
    <row r="9" spans="1:16">
      <c r="B9" s="19"/>
      <c r="C9" s="19"/>
      <c r="D9" s="258"/>
      <c r="E9" s="19"/>
      <c r="F9" s="19"/>
      <c r="G9" s="19"/>
      <c r="H9" s="19"/>
      <c r="I9" s="19"/>
      <c r="J9" s="19"/>
      <c r="K9" s="19"/>
      <c r="L9" s="19"/>
      <c r="M9" s="19"/>
      <c r="N9" s="19"/>
      <c r="O9" s="19"/>
      <c r="P9" s="19"/>
    </row>
    <row r="10" spans="1:16">
      <c r="A10" s="24" t="s">
        <v>213</v>
      </c>
      <c r="B10" s="25">
        <f ca="1">'EF ele_warmte'!B12</f>
        <v>0.1598909496043866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4639.0879523168642</v>
      </c>
      <c r="C12" s="23">
        <f ca="1">C10*C8</f>
        <v>0</v>
      </c>
      <c r="D12" s="23">
        <f>D8*D10</f>
        <v>9644.7017770158327</v>
      </c>
      <c r="E12" s="23">
        <f>E10*E8</f>
        <v>3984.5927998165726</v>
      </c>
      <c r="F12" s="23">
        <f>F10*F8</f>
        <v>1672.9121078917378</v>
      </c>
      <c r="G12" s="23"/>
      <c r="H12" s="23"/>
      <c r="I12" s="23"/>
      <c r="J12" s="23">
        <f>J10*J8</f>
        <v>312.70284622888391</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1822</v>
      </c>
      <c r="C18" s="166" t="s">
        <v>110</v>
      </c>
      <c r="D18" s="228"/>
      <c r="E18" s="15"/>
    </row>
    <row r="19" spans="1:7">
      <c r="A19" s="171" t="s">
        <v>71</v>
      </c>
      <c r="B19" s="37">
        <f>aantalw2001_ander</f>
        <v>0</v>
      </c>
      <c r="C19" s="166" t="s">
        <v>110</v>
      </c>
      <c r="D19" s="229"/>
      <c r="E19" s="15"/>
    </row>
    <row r="20" spans="1:7">
      <c r="A20" s="171" t="s">
        <v>72</v>
      </c>
      <c r="B20" s="37">
        <f>aantalw2001_propaan</f>
        <v>231</v>
      </c>
      <c r="C20" s="167">
        <f>IF(ISERROR(B20/SUM($B$20,$B$21,$B$22)*100),0,B20/SUM($B$20,$B$21,$B$22)*100)</f>
        <v>22.713864306784661</v>
      </c>
      <c r="D20" s="229"/>
      <c r="E20" s="15"/>
    </row>
    <row r="21" spans="1:7">
      <c r="A21" s="171" t="s">
        <v>73</v>
      </c>
      <c r="B21" s="37">
        <f>aantalw2001_elektriciteit</f>
        <v>578</v>
      </c>
      <c r="C21" s="167">
        <f>IF(ISERROR(B21/SUM($B$20,$B$21,$B$22)*100),0,B21/SUM($B$20,$B$21,$B$22)*100)</f>
        <v>56.83382497541789</v>
      </c>
      <c r="D21" s="229"/>
      <c r="E21" s="15"/>
    </row>
    <row r="22" spans="1:7">
      <c r="A22" s="171" t="s">
        <v>74</v>
      </c>
      <c r="B22" s="37">
        <f>aantalw2001_hout</f>
        <v>208</v>
      </c>
      <c r="C22" s="167">
        <f>IF(ISERROR(B22/SUM($B$20,$B$21,$B$22)*100),0,B22/SUM($B$20,$B$21,$B$22)*100)</f>
        <v>20.452310717797442</v>
      </c>
      <c r="D22" s="229"/>
      <c r="E22" s="15"/>
    </row>
    <row r="23" spans="1:7">
      <c r="A23" s="171" t="s">
        <v>75</v>
      </c>
      <c r="B23" s="37">
        <f>aantalw2001_niet_gespec</f>
        <v>118</v>
      </c>
      <c r="C23" s="166" t="s">
        <v>110</v>
      </c>
      <c r="D23" s="228"/>
      <c r="E23" s="15"/>
    </row>
    <row r="24" spans="1:7">
      <c r="A24" s="171" t="s">
        <v>76</v>
      </c>
      <c r="B24" s="37">
        <f>aantalw2001_steenkool</f>
        <v>262</v>
      </c>
      <c r="C24" s="166" t="s">
        <v>110</v>
      </c>
      <c r="D24" s="229"/>
      <c r="E24" s="15"/>
    </row>
    <row r="25" spans="1:7">
      <c r="A25" s="171" t="s">
        <v>77</v>
      </c>
      <c r="B25" s="37">
        <f>aantalw2001_stookolie</f>
        <v>2094</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838</v>
      </c>
      <c r="B28" s="37">
        <f>aantalHuishoudens</f>
        <v>6410</v>
      </c>
      <c r="C28" s="36"/>
      <c r="D28" s="228"/>
    </row>
    <row r="29" spans="1:7" s="15" customFormat="1">
      <c r="A29" s="230" t="s">
        <v>839</v>
      </c>
      <c r="B29" s="37">
        <f>SUM(HH_hh_gas_aantal,HH_rest_gas_aantal)</f>
        <v>3813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3813</v>
      </c>
      <c r="C32" s="167">
        <f>IF(ISERROR(B32/SUM($B$32,$B$34,$B$35,$B$36,$B$38,$B$39)*100),0,B32/SUM($B$32,$B$34,$B$35,$B$36,$B$38,$B$39)*100)</f>
        <v>60.265528686581312</v>
      </c>
      <c r="D32" s="233"/>
      <c r="G32" s="15"/>
    </row>
    <row r="33" spans="1:7">
      <c r="A33" s="171" t="s">
        <v>71</v>
      </c>
      <c r="B33" s="34" t="s">
        <v>110</v>
      </c>
      <c r="C33" s="167"/>
      <c r="D33" s="233"/>
      <c r="G33" s="15"/>
    </row>
    <row r="34" spans="1:7">
      <c r="A34" s="171" t="s">
        <v>72</v>
      </c>
      <c r="B34" s="33">
        <f>IF((($B$28-$B$32-$B$39-$B$77-$B$38)*C20/100)&lt;0,0,($B$28-$B$32-$B$39-$B$77-$B$38)*C20/100)</f>
        <v>488.12094395280235</v>
      </c>
      <c r="C34" s="167">
        <f>IF(ISERROR(B34/SUM($B$32,$B$34,$B$35,$B$36,$B$38,$B$39)*100),0,B34/SUM($B$32,$B$34,$B$35,$B$36,$B$38,$B$39)*100)</f>
        <v>7.7148876869417151</v>
      </c>
      <c r="D34" s="233"/>
      <c r="G34" s="15"/>
    </row>
    <row r="35" spans="1:7">
      <c r="A35" s="171" t="s">
        <v>73</v>
      </c>
      <c r="B35" s="33">
        <f>IF((($B$28-$B$32-$B$39-$B$77-$B$38)*C21/100)&lt;0,0,($B$28-$B$32-$B$39-$B$77-$B$38)*C21/100)</f>
        <v>1221.3588987217306</v>
      </c>
      <c r="C35" s="167">
        <f>IF(ISERROR(B35/SUM($B$32,$B$34,$B$35,$B$36,$B$38,$B$39)*100),0,B35/SUM($B$32,$B$34,$B$35,$B$36,$B$38,$B$39)*100)</f>
        <v>19.303918108451569</v>
      </c>
      <c r="D35" s="233"/>
      <c r="G35" s="15"/>
    </row>
    <row r="36" spans="1:7">
      <c r="A36" s="171" t="s">
        <v>74</v>
      </c>
      <c r="B36" s="33">
        <f>IF((($B$28-$B$32-$B$39-$B$77-$B$38)*C22/100)&lt;0,0,($B$28-$B$32-$B$39-$B$77-$B$38)*C22/100)</f>
        <v>439.52015732546698</v>
      </c>
      <c r="C36" s="167">
        <f>IF(ISERROR(B36/SUM($B$32,$B$34,$B$35,$B$36,$B$38,$B$39)*100),0,B36/SUM($B$32,$B$34,$B$35,$B$36,$B$38,$B$39)*100)</f>
        <v>6.9467386964669986</v>
      </c>
      <c r="D36" s="233"/>
      <c r="G36" s="15"/>
    </row>
    <row r="37" spans="1:7">
      <c r="A37" s="171" t="s">
        <v>75</v>
      </c>
      <c r="B37" s="34" t="s">
        <v>110</v>
      </c>
      <c r="C37" s="167"/>
      <c r="D37" s="173"/>
      <c r="G37" s="15"/>
    </row>
    <row r="38" spans="1:7">
      <c r="A38" s="171" t="s">
        <v>76</v>
      </c>
      <c r="B38" s="33">
        <f>IF((B24-(B29-B18)*0.1)&lt;0,0,B24-(B29-B18)*0.1)</f>
        <v>62.899999999999977</v>
      </c>
      <c r="C38" s="167">
        <f>IF(ISERROR(B38/SUM($B$32,$B$34,$B$35,$B$36,$B$38,$B$39)*100),0,B38/SUM($B$32,$B$34,$B$35,$B$36,$B$38,$B$39)*100)</f>
        <v>0.99415204678362534</v>
      </c>
      <c r="D38" s="234"/>
      <c r="G38" s="15"/>
    </row>
    <row r="39" spans="1:7">
      <c r="A39" s="171" t="s">
        <v>77</v>
      </c>
      <c r="B39" s="33">
        <f>IF((B25-(B29-B18))&lt;0,0,B25-(B29-B18)*0.9)</f>
        <v>302.09999999999991</v>
      </c>
      <c r="C39" s="167">
        <f>IF(ISERROR(B39/SUM($B$32,$B$34,$B$35,$B$36,$B$38,$B$39)*100),0,B39/SUM($B$32,$B$34,$B$35,$B$36,$B$38,$B$39)*100)</f>
        <v>4.7747747747747731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3813</v>
      </c>
      <c r="C44" s="34" t="s">
        <v>110</v>
      </c>
      <c r="D44" s="174"/>
    </row>
    <row r="45" spans="1:7">
      <c r="A45" s="171" t="s">
        <v>71</v>
      </c>
      <c r="B45" s="33" t="str">
        <f t="shared" si="0"/>
        <v>-</v>
      </c>
      <c r="C45" s="34" t="s">
        <v>110</v>
      </c>
      <c r="D45" s="174"/>
    </row>
    <row r="46" spans="1:7">
      <c r="A46" s="171" t="s">
        <v>72</v>
      </c>
      <c r="B46" s="33">
        <f t="shared" si="0"/>
        <v>488.12094395280235</v>
      </c>
      <c r="C46" s="34" t="s">
        <v>110</v>
      </c>
      <c r="D46" s="174"/>
    </row>
    <row r="47" spans="1:7">
      <c r="A47" s="171" t="s">
        <v>73</v>
      </c>
      <c r="B47" s="33">
        <f t="shared" si="0"/>
        <v>1221.3588987217306</v>
      </c>
      <c r="C47" s="34" t="s">
        <v>110</v>
      </c>
      <c r="D47" s="174"/>
    </row>
    <row r="48" spans="1:7">
      <c r="A48" s="171" t="s">
        <v>74</v>
      </c>
      <c r="B48" s="33">
        <f t="shared" si="0"/>
        <v>439.52015732546698</v>
      </c>
      <c r="C48" s="33">
        <f>B48*10</f>
        <v>4395.2015732546697</v>
      </c>
      <c r="D48" s="234"/>
    </row>
    <row r="49" spans="1:6">
      <c r="A49" s="171" t="s">
        <v>75</v>
      </c>
      <c r="B49" s="33" t="str">
        <f t="shared" si="0"/>
        <v>-</v>
      </c>
      <c r="C49" s="34" t="s">
        <v>110</v>
      </c>
      <c r="D49" s="234"/>
    </row>
    <row r="50" spans="1:6">
      <c r="A50" s="171" t="s">
        <v>76</v>
      </c>
      <c r="B50" s="33">
        <f t="shared" si="0"/>
        <v>62.899999999999977</v>
      </c>
      <c r="C50" s="33">
        <f>B50*2</f>
        <v>125.79999999999995</v>
      </c>
      <c r="D50" s="234"/>
    </row>
    <row r="51" spans="1:6">
      <c r="A51" s="171" t="s">
        <v>77</v>
      </c>
      <c r="B51" s="33">
        <f t="shared" si="0"/>
        <v>302.09999999999991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375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20178.915517450936</v>
      </c>
      <c r="C5" s="17">
        <f>IF(ISERROR('Eigen informatie GS &amp; warmtenet'!B60),0,'Eigen informatie GS &amp; warmtenet'!B60)</f>
        <v>0</v>
      </c>
      <c r="D5" s="30">
        <f>SUM(D6:D12)</f>
        <v>47803.705949413496</v>
      </c>
      <c r="E5" s="17">
        <f>SUM(E6:E12)</f>
        <v>107.14496501395534</v>
      </c>
      <c r="F5" s="17">
        <f>SUM(F6:F12)</f>
        <v>4888.7319875276426</v>
      </c>
      <c r="G5" s="18"/>
      <c r="H5" s="17"/>
      <c r="I5" s="17"/>
      <c r="J5" s="17">
        <f>SUM(J6:J12)</f>
        <v>5.9234284979676359E-2</v>
      </c>
      <c r="K5" s="17"/>
      <c r="L5" s="17"/>
      <c r="M5" s="17"/>
      <c r="N5" s="17">
        <f>SUM(N6:N12)</f>
        <v>2155.1571949829799</v>
      </c>
      <c r="O5" s="17">
        <f>B38*B39*B40</f>
        <v>39.178086126729234</v>
      </c>
      <c r="P5" s="17">
        <f>B46*B47*B48/1000-B46*B47*B48/1000/B49</f>
        <v>105.07827661299004</v>
      </c>
      <c r="R5" s="32"/>
    </row>
    <row r="6" spans="1:18">
      <c r="A6" s="32" t="s">
        <v>53</v>
      </c>
      <c r="B6" s="37">
        <f>B26</f>
        <v>3170.9116813210198</v>
      </c>
      <c r="C6" s="33"/>
      <c r="D6" s="37">
        <f>IF(ISERROR(TER_kantoor_gas_kWh/1000),0,TER_kantoor_gas_kWh/1000)*0.903</f>
        <v>3631.4137221298661</v>
      </c>
      <c r="E6" s="33">
        <f>$C$26*'E Balans VL '!I12/100/3.6*1000000</f>
        <v>0.75967506748185332</v>
      </c>
      <c r="F6" s="33">
        <f>$C$26*('E Balans VL '!L12+'E Balans VL '!N12)/100/3.6*1000000</f>
        <v>300.69383040440977</v>
      </c>
      <c r="G6" s="34"/>
      <c r="H6" s="33"/>
      <c r="I6" s="33"/>
      <c r="J6" s="33">
        <f>$C$26*('E Balans VL '!D12+'E Balans VL '!E12)/100/3.6*1000000</f>
        <v>0</v>
      </c>
      <c r="K6" s="33"/>
      <c r="L6" s="33"/>
      <c r="M6" s="33"/>
      <c r="N6" s="33">
        <f>$C$26*'E Balans VL '!Y12/100/3.6*1000000</f>
        <v>1.6106591228397842</v>
      </c>
      <c r="O6" s="33"/>
      <c r="P6" s="33"/>
      <c r="R6" s="32"/>
    </row>
    <row r="7" spans="1:18">
      <c r="A7" s="32" t="s">
        <v>52</v>
      </c>
      <c r="B7" s="37">
        <f t="shared" ref="B7:B12" si="0">B27</f>
        <v>3681.0495922989298</v>
      </c>
      <c r="C7" s="33"/>
      <c r="D7" s="37">
        <f>IF(ISERROR(TER_horeca_gas_kWh/1000),0,TER_horeca_gas_kWh/1000)*0.903</f>
        <v>14320.600501314293</v>
      </c>
      <c r="E7" s="33">
        <f>$C$27*'E Balans VL '!I9/100/3.6*1000000</f>
        <v>0</v>
      </c>
      <c r="F7" s="33">
        <f>$C$27*('E Balans VL '!L9+'E Balans VL '!N9)/100/3.6*1000000</f>
        <v>301.837413564629</v>
      </c>
      <c r="G7" s="34"/>
      <c r="H7" s="33"/>
      <c r="I7" s="33"/>
      <c r="J7" s="33">
        <f>$C$27*('E Balans VL '!D9+'E Balans VL '!E9)/100/3.6*1000000</f>
        <v>0</v>
      </c>
      <c r="K7" s="33"/>
      <c r="L7" s="33"/>
      <c r="M7" s="33"/>
      <c r="N7" s="33">
        <f>$C$27*'E Balans VL '!Y9/100/3.6*1000000</f>
        <v>1.1283895937666497</v>
      </c>
      <c r="O7" s="33"/>
      <c r="P7" s="33"/>
      <c r="R7" s="32"/>
    </row>
    <row r="8" spans="1:18">
      <c r="A8" s="6" t="s">
        <v>51</v>
      </c>
      <c r="B8" s="37">
        <f t="shared" si="0"/>
        <v>5827.92545340585</v>
      </c>
      <c r="C8" s="33"/>
      <c r="D8" s="37">
        <f>IF(ISERROR(TER_handel_gas_kWh/1000),0,TER_handel_gas_kWh/1000)*0.903</f>
        <v>3121.9845173934109</v>
      </c>
      <c r="E8" s="33">
        <f>$C$28*'E Balans VL '!I13/100/3.6*1000000</f>
        <v>20.481972697984773</v>
      </c>
      <c r="F8" s="33">
        <f>$C$28*('E Balans VL '!L13+'E Balans VL '!N13)/100/3.6*1000000</f>
        <v>533.24471300927257</v>
      </c>
      <c r="G8" s="34"/>
      <c r="H8" s="33"/>
      <c r="I8" s="33"/>
      <c r="J8" s="33">
        <f>$C$28*('E Balans VL '!D13+'E Balans VL '!E13)/100/3.6*1000000</f>
        <v>0</v>
      </c>
      <c r="K8" s="33"/>
      <c r="L8" s="33"/>
      <c r="M8" s="33"/>
      <c r="N8" s="33">
        <f>$C$28*'E Balans VL '!Y13/100/3.6*1000000</f>
        <v>2.1106236976429296</v>
      </c>
      <c r="O8" s="33"/>
      <c r="P8" s="33"/>
      <c r="R8" s="32"/>
    </row>
    <row r="9" spans="1:18">
      <c r="A9" s="32" t="s">
        <v>50</v>
      </c>
      <c r="B9" s="37">
        <f t="shared" si="0"/>
        <v>1181.25114785811</v>
      </c>
      <c r="C9" s="33"/>
      <c r="D9" s="37">
        <f>IF(ISERROR(TER_gezond_gas_kWh/1000),0,TER_gezond_gas_kWh/1000)*0.903</f>
        <v>3019.8670418229353</v>
      </c>
      <c r="E9" s="33">
        <f>$C$29*'E Balans VL '!I10/100/3.6*1000000</f>
        <v>0</v>
      </c>
      <c r="F9" s="33">
        <f>$C$29*('E Balans VL '!L10+'E Balans VL '!N10)/100/3.6*1000000</f>
        <v>144.79969947367078</v>
      </c>
      <c r="G9" s="34"/>
      <c r="H9" s="33"/>
      <c r="I9" s="33"/>
      <c r="J9" s="33">
        <f>$C$29*('E Balans VL '!D10+'E Balans VL '!E10)/100/3.6*1000000</f>
        <v>0</v>
      </c>
      <c r="K9" s="33"/>
      <c r="L9" s="33"/>
      <c r="M9" s="33"/>
      <c r="N9" s="33">
        <f>$C$29*'E Balans VL '!Y10/100/3.6*1000000</f>
        <v>8.7109040548794425</v>
      </c>
      <c r="O9" s="33"/>
      <c r="P9" s="33"/>
      <c r="R9" s="32"/>
    </row>
    <row r="10" spans="1:18">
      <c r="A10" s="32" t="s">
        <v>49</v>
      </c>
      <c r="B10" s="37">
        <f t="shared" si="0"/>
        <v>5997.9104861413398</v>
      </c>
      <c r="C10" s="33"/>
      <c r="D10" s="37">
        <f>IF(ISERROR(TER_ander_gas_kWh/1000),0,TER_ander_gas_kWh/1000)*0.903</f>
        <v>23130.804023793022</v>
      </c>
      <c r="E10" s="33">
        <f>$C$30*'E Balans VL '!I14/100/3.6*1000000</f>
        <v>85.903317248488719</v>
      </c>
      <c r="F10" s="33">
        <f>$C$30*('E Balans VL '!L14+'E Balans VL '!N14)/100/3.6*1000000</f>
        <v>3570.7600513793618</v>
      </c>
      <c r="G10" s="34"/>
      <c r="H10" s="33"/>
      <c r="I10" s="33"/>
      <c r="J10" s="33">
        <f>$C$30*('E Balans VL '!D14+'E Balans VL '!E14)/100/3.6*1000000</f>
        <v>5.9234284979676359E-2</v>
      </c>
      <c r="K10" s="33"/>
      <c r="L10" s="33"/>
      <c r="M10" s="33"/>
      <c r="N10" s="33">
        <f>$C$30*'E Balans VL '!Y14/100/3.6*1000000</f>
        <v>2140.6959093320916</v>
      </c>
      <c r="O10" s="33"/>
      <c r="P10" s="33"/>
      <c r="R10" s="32"/>
    </row>
    <row r="11" spans="1:18">
      <c r="A11" s="32" t="s">
        <v>54</v>
      </c>
      <c r="B11" s="37">
        <f t="shared" si="0"/>
        <v>319.86715642568595</v>
      </c>
      <c r="C11" s="33"/>
      <c r="D11" s="37">
        <f>IF(ISERROR(TER_onderwijs_gas_kWh/1000),0,TER_onderwijs_gas_kWh/1000)*0.903</f>
        <v>579.03614295996283</v>
      </c>
      <c r="E11" s="33">
        <f>$C$31*'E Balans VL '!I11/100/3.6*1000000</f>
        <v>0</v>
      </c>
      <c r="F11" s="33">
        <f>$C$31*('E Balans VL '!L11+'E Balans VL '!N11)/100/3.6*1000000</f>
        <v>37.396279696298834</v>
      </c>
      <c r="G11" s="34"/>
      <c r="H11" s="33"/>
      <c r="I11" s="33"/>
      <c r="J11" s="33">
        <f>$C$31*('E Balans VL '!D11+'E Balans VL '!E11)/100/3.6*1000000</f>
        <v>0</v>
      </c>
      <c r="K11" s="33"/>
      <c r="L11" s="33"/>
      <c r="M11" s="33"/>
      <c r="N11" s="33">
        <f>$C$31*'E Balans VL '!Y11/100/3.6*1000000</f>
        <v>0.90070918175978809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0</v>
      </c>
      <c r="C13" s="247">
        <f ca="1">'lokale energieproductie'!O40+'lokale energieproductie'!O33</f>
        <v>0</v>
      </c>
      <c r="D13" s="310">
        <f ca="1">('lokale energieproductie'!P33+'lokale energieproductie'!P40)*(-1)</f>
        <v>0</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20178.915517450936</v>
      </c>
      <c r="C16" s="21">
        <f t="shared" ca="1" si="1"/>
        <v>0</v>
      </c>
      <c r="D16" s="21">
        <f t="shared" ca="1" si="1"/>
        <v>47803.705949413496</v>
      </c>
      <c r="E16" s="21">
        <f t="shared" si="1"/>
        <v>107.14496501395534</v>
      </c>
      <c r="F16" s="21">
        <f t="shared" ca="1" si="1"/>
        <v>4888.7319875276426</v>
      </c>
      <c r="G16" s="21">
        <f t="shared" si="1"/>
        <v>0</v>
      </c>
      <c r="H16" s="21">
        <f t="shared" si="1"/>
        <v>0</v>
      </c>
      <c r="I16" s="21">
        <f t="shared" si="1"/>
        <v>0</v>
      </c>
      <c r="J16" s="21">
        <f t="shared" si="1"/>
        <v>5.9234284979676359E-2</v>
      </c>
      <c r="K16" s="21">
        <f t="shared" si="1"/>
        <v>0</v>
      </c>
      <c r="L16" s="21">
        <f t="shared" ca="1" si="1"/>
        <v>0</v>
      </c>
      <c r="M16" s="21">
        <f t="shared" si="1"/>
        <v>0</v>
      </c>
      <c r="N16" s="21">
        <f t="shared" ca="1" si="1"/>
        <v>2155.1571949829799</v>
      </c>
      <c r="O16" s="21">
        <f>O5</f>
        <v>39.178086126729234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0.1598909496043866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3226.4259640719224</v>
      </c>
      <c r="C20" s="23">
        <f t="shared" ref="C20:P20" ca="1" si="2">C16*C18</f>
        <v>0</v>
      </c>
      <c r="D20" s="23">
        <f t="shared" ca="1" si="2"/>
        <v>9656.3486017815267</v>
      </c>
      <c r="E20" s="23">
        <f t="shared" si="2"/>
        <v>24.321907058167863</v>
      </c>
      <c r="F20" s="23">
        <f t="shared" ca="1" si="2"/>
        <v>1305.2914406698806</v>
      </c>
      <c r="G20" s="23">
        <f t="shared" si="2"/>
        <v>0</v>
      </c>
      <c r="H20" s="23">
        <f t="shared" si="2"/>
        <v>0</v>
      </c>
      <c r="I20" s="23">
        <f t="shared" si="2"/>
        <v>0</v>
      </c>
      <c r="J20" s="23">
        <f t="shared" si="2"/>
        <v>2.096893688280543E-2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3170.9116813210198</v>
      </c>
      <c r="C26" s="39">
        <f>IF(ISERROR(B26*3.6/1000000/'E Balans VL '!Z12*100),0,B26*3.6/1000000/'E Balans VL '!Z12*100)</f>
        <v>8.9428106412526465E-2</v>
      </c>
      <c r="D26" s="237" t="s">
        <v>702</v>
      </c>
      <c r="F26" s="6"/>
    </row>
    <row r="27" spans="1:18">
      <c r="A27" s="231" t="s">
        <v>52</v>
      </c>
      <c r="B27" s="33">
        <f>IF(ISERROR(TER_horeca_ele_kWh/1000),0,TER_horeca_ele_kWh/1000)</f>
        <v>3681.0495922989298</v>
      </c>
      <c r="C27" s="39">
        <f>IF(ISERROR(B27*3.6/1000000/'E Balans VL '!Z9*100),0,B27*3.6/1000000/'E Balans VL '!Z9*100)</f>
        <v>0.27290460676285555</v>
      </c>
      <c r="D27" s="237" t="s">
        <v>702</v>
      </c>
      <c r="F27" s="6"/>
    </row>
    <row r="28" spans="1:18">
      <c r="A28" s="171" t="s">
        <v>51</v>
      </c>
      <c r="B28" s="33">
        <f>IF(ISERROR(TER_handel_ele_kWh/1000),0,TER_handel_ele_kWh/1000)</f>
        <v>5827.92545340585</v>
      </c>
      <c r="C28" s="39">
        <f>IF(ISERROR(B28*3.6/1000000/'E Balans VL '!Z13*100),0,B28*3.6/1000000/'E Balans VL '!Z13*100)</f>
        <v>0.17459079017393364</v>
      </c>
      <c r="D28" s="237" t="s">
        <v>702</v>
      </c>
      <c r="F28" s="6"/>
    </row>
    <row r="29" spans="1:18">
      <c r="A29" s="231" t="s">
        <v>50</v>
      </c>
      <c r="B29" s="33">
        <f>IF(ISERROR(TER_gezond_ele_kWh/1000),0,TER_gezond_ele_kWh/1000)</f>
        <v>1181.25114785811</v>
      </c>
      <c r="C29" s="39">
        <f>IF(ISERROR(B29*3.6/1000000/'E Balans VL '!Z10*100),0,B29*3.6/1000000/'E Balans VL '!Z10*100)</f>
        <v>0.11680257648936701</v>
      </c>
      <c r="D29" s="237" t="s">
        <v>702</v>
      </c>
      <c r="F29" s="6"/>
    </row>
    <row r="30" spans="1:18">
      <c r="A30" s="231" t="s">
        <v>49</v>
      </c>
      <c r="B30" s="33">
        <f>IF(ISERROR(TER_ander_ele_kWh/1000),0,TER_ander_ele_kWh/1000)</f>
        <v>5997.9104861413398</v>
      </c>
      <c r="C30" s="39">
        <f>IF(ISERROR(B30*3.6/1000000/'E Balans VL '!Z14*100),0,B30*3.6/1000000/'E Balans VL '!Z14*100)</f>
        <v>0.24259775418297483</v>
      </c>
      <c r="D30" s="237" t="s">
        <v>702</v>
      </c>
      <c r="F30" s="6"/>
    </row>
    <row r="31" spans="1:18">
      <c r="A31" s="231" t="s">
        <v>54</v>
      </c>
      <c r="B31" s="33">
        <f>IF(ISERROR(TER_onderwijs_ele_kWh/1000),0,TER_onderwijs_ele_kWh/1000)</f>
        <v>319.86715642568595</v>
      </c>
      <c r="C31" s="39">
        <f>IF(ISERROR(B31*3.6/1000000/'E Balans VL '!Z11*100),0,B31*3.6/1000000/'E Balans VL '!Z11*100)</f>
        <v>8.7881497143802861E-2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8</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16907.642985362039</v>
      </c>
      <c r="C5" s="17">
        <f>IF(ISERROR('Eigen informatie GS &amp; warmtenet'!B61),0,'Eigen informatie GS &amp; warmtenet'!B61)</f>
        <v>0</v>
      </c>
      <c r="D5" s="30">
        <f>SUM(D6:D15)</f>
        <v>18179.002625590158</v>
      </c>
      <c r="E5" s="17">
        <f>SUM(E6:E15)</f>
        <v>51.640377366292945</v>
      </c>
      <c r="F5" s="17">
        <f>SUM(F6:F15)</f>
        <v>4747.9147702640557</v>
      </c>
      <c r="G5" s="18"/>
      <c r="H5" s="17"/>
      <c r="I5" s="17"/>
      <c r="J5" s="17">
        <f>SUM(J6:J15)</f>
        <v>3.2378478900940069</v>
      </c>
      <c r="K5" s="17"/>
      <c r="L5" s="17"/>
      <c r="M5" s="17"/>
      <c r="N5" s="17">
        <f>SUM(N6:N15)</f>
        <v>550.27981021348171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3529.2290131277</v>
      </c>
      <c r="C8" s="33"/>
      <c r="D8" s="37">
        <f>IF( ISERROR(IND_metaal_Gas_kWH/1000),0,IND_metaal_Gas_kWH/1000)*0.903</f>
        <v>396.54285474094314</v>
      </c>
      <c r="E8" s="33">
        <f>C30*'E Balans VL '!I18/100/3.6*1000000</f>
        <v>17.794988461688696</v>
      </c>
      <c r="F8" s="33">
        <f>C30*'E Balans VL '!L18/100/3.6*1000000+C30*'E Balans VL '!N18/100/3.6*1000000</f>
        <v>241.12413798353668</v>
      </c>
      <c r="G8" s="34"/>
      <c r="H8" s="33"/>
      <c r="I8" s="33"/>
      <c r="J8" s="40">
        <f>C30*'E Balans VL '!D18/100/3.6*1000000+C30*'E Balans VL '!E18/100/3.6*1000000</f>
        <v>3.1289625672507584</v>
      </c>
      <c r="K8" s="33"/>
      <c r="L8" s="33"/>
      <c r="M8" s="33"/>
      <c r="N8" s="33">
        <f>C30*'E Balans VL '!Y18/100/3.6*1000000</f>
        <v>46.903474528773017</v>
      </c>
      <c r="O8" s="33"/>
      <c r="P8" s="33"/>
      <c r="R8" s="32"/>
    </row>
    <row r="9" spans="1:18">
      <c r="A9" s="6" t="s">
        <v>32</v>
      </c>
      <c r="B9" s="37">
        <f t="shared" si="0"/>
        <v>7191.5621298670903</v>
      </c>
      <c r="C9" s="33"/>
      <c r="D9" s="37">
        <f>IF( ISERROR(IND_andere_gas_kWh/1000),0,IND_andere_gas_kWh/1000)*0.903</f>
        <v>2088.2353326965404</v>
      </c>
      <c r="E9" s="33">
        <f>C31*'E Balans VL '!I19/100/3.6*1000000</f>
        <v>22.669503510906704</v>
      </c>
      <c r="F9" s="33">
        <f>C31*'E Balans VL '!L19/100/3.6*1000000+C31*'E Balans VL '!N19/100/3.6*1000000</f>
        <v>4402.3718680684569</v>
      </c>
      <c r="G9" s="34"/>
      <c r="H9" s="33"/>
      <c r="I9" s="33"/>
      <c r="J9" s="40">
        <f>C31*'E Balans VL '!D19/100/3.6*1000000+C31*'E Balans VL '!E19/100/3.6*1000000</f>
        <v>0</v>
      </c>
      <c r="K9" s="33"/>
      <c r="L9" s="33"/>
      <c r="M9" s="33"/>
      <c r="N9" s="33">
        <f>C31*'E Balans VL '!Y19/100/3.6*1000000</f>
        <v>301.55196495842836</v>
      </c>
      <c r="O9" s="33"/>
      <c r="P9" s="33"/>
      <c r="R9" s="32"/>
    </row>
    <row r="10" spans="1:18">
      <c r="A10" s="6" t="s">
        <v>40</v>
      </c>
      <c r="B10" s="37">
        <f t="shared" si="0"/>
        <v>5994.1318923378194</v>
      </c>
      <c r="C10" s="33"/>
      <c r="D10" s="37">
        <f>IF( ISERROR(IND_voed_gas_kWh/1000),0,IND_voed_gas_kWh/1000)*0.903</f>
        <v>15192.562148056859</v>
      </c>
      <c r="E10" s="33">
        <f>C32*'E Balans VL '!I20/100/3.6*1000000</f>
        <v>9.5529628251703151</v>
      </c>
      <c r="F10" s="33">
        <f>C32*'E Balans VL '!L20/100/3.6*1000000+C32*'E Balans VL '!N20/100/3.6*1000000</f>
        <v>97.390081853528756</v>
      </c>
      <c r="G10" s="34"/>
      <c r="H10" s="33"/>
      <c r="I10" s="33"/>
      <c r="J10" s="40">
        <f>C32*'E Balans VL '!D20/100/3.6*1000000+C32*'E Balans VL '!E20/100/3.6*1000000</f>
        <v>0</v>
      </c>
      <c r="K10" s="33"/>
      <c r="L10" s="33"/>
      <c r="M10" s="33"/>
      <c r="N10" s="33">
        <f>C32*'E Balans VL '!Y20/100/3.6*1000000</f>
        <v>189.32462208404442</v>
      </c>
      <c r="O10" s="33"/>
      <c r="P10" s="33"/>
      <c r="R10" s="32"/>
    </row>
    <row r="11" spans="1:18">
      <c r="A11" s="6" t="s">
        <v>39</v>
      </c>
      <c r="B11" s="37">
        <f t="shared" si="0"/>
        <v>18.6504759668431</v>
      </c>
      <c r="C11" s="33"/>
      <c r="D11" s="37">
        <f>IF( ISERROR(IND_textiel_gas_kWh/1000),0,IND_textiel_gas_kWh/1000)*0.903</f>
        <v>0</v>
      </c>
      <c r="E11" s="33">
        <f>C33*'E Balans VL '!I21/100/3.6*1000000</f>
        <v>2.7058432651720025E-2</v>
      </c>
      <c r="F11" s="33">
        <f>C33*'E Balans VL '!L21/100/3.6*1000000+C33*'E Balans VL '!N21/100/3.6*1000000</f>
        <v>0.36500179792200171</v>
      </c>
      <c r="G11" s="34"/>
      <c r="H11" s="33"/>
      <c r="I11" s="33"/>
      <c r="J11" s="40">
        <f>C33*'E Balans VL '!D21/100/3.6*1000000+C33*'E Balans VL '!E21/100/3.6*1000000</f>
        <v>0</v>
      </c>
      <c r="K11" s="33"/>
      <c r="L11" s="33"/>
      <c r="M11" s="33"/>
      <c r="N11" s="33">
        <f>C33*'E Balans VL '!Y21/100/3.6*1000000</f>
        <v>0.90860886104644722</v>
      </c>
      <c r="O11" s="33"/>
      <c r="P11" s="33"/>
      <c r="R11" s="32"/>
    </row>
    <row r="12" spans="1:18">
      <c r="A12" s="6" t="s">
        <v>36</v>
      </c>
      <c r="B12" s="37">
        <f t="shared" si="0"/>
        <v>62.747678246360806</v>
      </c>
      <c r="C12" s="33"/>
      <c r="D12" s="37">
        <f>IF( ISERROR(IND_min_gas_kWh/1000),0,IND_min_gas_kWh/1000)*0.903</f>
        <v>77.384046214861698</v>
      </c>
      <c r="E12" s="33">
        <f>C34*'E Balans VL '!I22/100/3.6*1000000</f>
        <v>0.27152619485481816</v>
      </c>
      <c r="F12" s="33">
        <f>C34*'E Balans VL '!L22/100/3.6*1000000+C34*'E Balans VL '!N22/100/3.6*1000000</f>
        <v>2.3957838130215414</v>
      </c>
      <c r="G12" s="34"/>
      <c r="H12" s="33"/>
      <c r="I12" s="33"/>
      <c r="J12" s="40">
        <f>C34*'E Balans VL '!D22/100/3.6*1000000+C34*'E Balans VL '!E22/100/3.6*1000000</f>
        <v>0</v>
      </c>
      <c r="K12" s="33"/>
      <c r="L12" s="33"/>
      <c r="M12" s="33"/>
      <c r="N12" s="33">
        <f>C34*'E Balans VL '!Y22/100/3.6*1000000</f>
        <v>10.703340427897851</v>
      </c>
      <c r="O12" s="33"/>
      <c r="P12" s="33"/>
      <c r="R12" s="32"/>
    </row>
    <row r="13" spans="1:18">
      <c r="A13" s="6" t="s">
        <v>38</v>
      </c>
      <c r="B13" s="37">
        <f t="shared" si="0"/>
        <v>58.780766370942104</v>
      </c>
      <c r="C13" s="33"/>
      <c r="D13" s="37">
        <f>IF( ISERROR(IND_papier_gas_kWh/1000),0,IND_papier_gas_kWh/1000)*0.903</f>
        <v>86.835956593477647</v>
      </c>
      <c r="E13" s="33">
        <f>C35*'E Balans VL '!I23/100/3.6*1000000</f>
        <v>0</v>
      </c>
      <c r="F13" s="33">
        <f>C35*'E Balans VL '!L23/100/3.6*1000000+C35*'E Balans VL '!N23/100/3.6*1000000</f>
        <v>2.5466561226909325E-3</v>
      </c>
      <c r="G13" s="34"/>
      <c r="H13" s="33"/>
      <c r="I13" s="33"/>
      <c r="J13" s="40">
        <f>C35*'E Balans VL '!D23/100/3.6*1000000+C35*'E Balans VL '!E23/100/3.6*1000000</f>
        <v>1.6196904543975448E-3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52.541029445285503</v>
      </c>
      <c r="C15" s="33"/>
      <c r="D15" s="37">
        <f>IF( ISERROR(IND_rest_gas_kWh/1000),0,IND_rest_gas_kWh/1000)*0.903</f>
        <v>337.44228728747498</v>
      </c>
      <c r="E15" s="33">
        <f>C37*'E Balans VL '!I15/100/3.6*1000000</f>
        <v>1.3243379410207006</v>
      </c>
      <c r="F15" s="33">
        <f>C37*'E Balans VL '!L15/100/3.6*1000000+C37*'E Balans VL '!N15/100/3.6*1000000</f>
        <v>4.2653500914672184</v>
      </c>
      <c r="G15" s="34"/>
      <c r="H15" s="33"/>
      <c r="I15" s="33"/>
      <c r="J15" s="40">
        <f>C37*'E Balans VL '!D15/100/3.6*1000000+C37*'E Balans VL '!E15/100/3.6*1000000</f>
        <v>0.10726563238885119</v>
      </c>
      <c r="K15" s="33"/>
      <c r="L15" s="33"/>
      <c r="M15" s="33"/>
      <c r="N15" s="33">
        <f>C37*'E Balans VL '!Y15/100/3.6*1000000</f>
        <v>0.88779935329162019</v>
      </c>
      <c r="O15" s="33"/>
      <c r="P15" s="33"/>
      <c r="R15" s="32"/>
    </row>
    <row r="16" spans="1:18">
      <c r="A16" s="16" t="s">
        <v>479</v>
      </c>
      <c r="B16" s="247">
        <f>'lokale energieproductie'!N39+'lokale energieproductie'!N32</f>
        <v>0</v>
      </c>
      <c r="C16" s="247">
        <f>'lokale energieproductie'!O39+'lokale energieproductie'!O32</f>
        <v>0</v>
      </c>
      <c r="D16" s="310">
        <f>('lokale energieproductie'!P32+'lokale energieproductie'!P39)*(-1)</f>
        <v>0</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16907.642985362039</v>
      </c>
      <c r="C18" s="21">
        <f>C5+C16</f>
        <v>0</v>
      </c>
      <c r="D18" s="21">
        <f>MAX((D5+D16),0)</f>
        <v>18179.002625590158</v>
      </c>
      <c r="E18" s="21">
        <f>MAX((E5+E16),0)</f>
        <v>51.640377366292945</v>
      </c>
      <c r="F18" s="21">
        <f>MAX((F5+F16),0)</f>
        <v>4747.9147702640557</v>
      </c>
      <c r="G18" s="21"/>
      <c r="H18" s="21"/>
      <c r="I18" s="21"/>
      <c r="J18" s="21">
        <f>MAX((J5+J16),0)</f>
        <v>3.2378478900940069</v>
      </c>
      <c r="K18" s="21"/>
      <c r="L18" s="21">
        <f>MAX((L5+L16),0)</f>
        <v>0</v>
      </c>
      <c r="M18" s="21"/>
      <c r="N18" s="21">
        <f>MAX((N5+N16),0)</f>
        <v>550.27981021348171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0.1598909496043866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2703.3790925014823</v>
      </c>
      <c r="C22" s="23">
        <f ca="1">C18*C20</f>
        <v>0</v>
      </c>
      <c r="D22" s="23">
        <f>D18*D20</f>
        <v>3672.1585303692123</v>
      </c>
      <c r="E22" s="23">
        <f>E18*E20</f>
        <v>11.7223656621485</v>
      </c>
      <c r="F22" s="23">
        <f>F18*F20</f>
        <v>1267.693243660503</v>
      </c>
      <c r="G22" s="23"/>
      <c r="H22" s="23"/>
      <c r="I22" s="23"/>
      <c r="J22" s="23">
        <f>J18*J20</f>
        <v>1.1461981530932783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3529.2290131277</v>
      </c>
      <c r="C30" s="39">
        <f>IF(ISERROR(B30*3.6/1000000/'E Balans VL '!Z18*100),0,B30*3.6/1000000/'E Balans VL '!Z18*100)</f>
        <v>0.17518297421621615</v>
      </c>
      <c r="D30" s="237" t="s">
        <v>702</v>
      </c>
    </row>
    <row r="31" spans="1:18">
      <c r="A31" s="6" t="s">
        <v>32</v>
      </c>
      <c r="B31" s="37">
        <f>IF( ISERROR(IND_ander_ele_kWh/1000),0,IND_ander_ele_kWh/1000)</f>
        <v>7191.5621298670903</v>
      </c>
      <c r="C31" s="39">
        <f>IF(ISERROR(B31*3.6/1000000/'E Balans VL '!Z19*100),0,B31*3.6/1000000/'E Balans VL '!Z19*100)</f>
        <v>0.24267837003845222</v>
      </c>
      <c r="D31" s="237" t="s">
        <v>702</v>
      </c>
    </row>
    <row r="32" spans="1:18">
      <c r="A32" s="171" t="s">
        <v>40</v>
      </c>
      <c r="B32" s="37">
        <f>IF( ISERROR(IND_voed_ele_kWh/1000),0,IND_voed_ele_kWh/1000)</f>
        <v>5994.1318923378194</v>
      </c>
      <c r="C32" s="39">
        <f>IF(ISERROR(B32*3.6/1000000/'E Balans VL '!Z20*100),0,B32*3.6/1000000/'E Balans VL '!Z20*100)</f>
        <v>0.14076807000418962</v>
      </c>
      <c r="D32" s="237" t="s">
        <v>702</v>
      </c>
    </row>
    <row r="33" spans="1:5">
      <c r="A33" s="171" t="s">
        <v>39</v>
      </c>
      <c r="B33" s="37">
        <f>IF( ISERROR(IND_textiel_ele_kWh/1000),0,IND_textiel_ele_kWh/1000)</f>
        <v>18.6504759668431</v>
      </c>
      <c r="C33" s="39">
        <f>IF(ISERROR(B33*3.6/1000000/'E Balans VL '!Z21*100),0,B33*3.6/1000000/'E Balans VL '!Z21*100)</f>
        <v>2.0468660967890751E-3</v>
      </c>
      <c r="D33" s="237" t="s">
        <v>702</v>
      </c>
    </row>
    <row r="34" spans="1:5">
      <c r="A34" s="171" t="s">
        <v>36</v>
      </c>
      <c r="B34" s="37">
        <f>IF( ISERROR(IND_min_ele_kWh/1000),0,IND_min_ele_kWh/1000)</f>
        <v>62.747678246360806</v>
      </c>
      <c r="C34" s="39">
        <f>IF(ISERROR(B34*3.6/1000000/'E Balans VL '!Z22*100),0,B34*3.6/1000000/'E Balans VL '!Z22*100)</f>
        <v>8.9020607099977618E-3</v>
      </c>
      <c r="D34" s="237" t="s">
        <v>702</v>
      </c>
    </row>
    <row r="35" spans="1:5">
      <c r="A35" s="171" t="s">
        <v>38</v>
      </c>
      <c r="B35" s="37">
        <f>IF( ISERROR(IND_papier_ele_kWh/1000),0,IND_papier_ele_kWh/1000)</f>
        <v>58.780766370942104</v>
      </c>
      <c r="C35" s="39">
        <f>IF(ISERROR(B35*3.6/1000000/'E Balans VL '!Z22*100),0,B35*3.6/1000000/'E Balans VL '!Z22*100)</f>
        <v>8.3392719131352017E-3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52.541029445285503</v>
      </c>
      <c r="C37" s="39">
        <f>IF(ISERROR(B37*3.6/1000000/'E Balans VL '!Z15*100),0,B37*3.6/1000000/'E Balans VL '!Z15*100)</f>
        <v>1.9689904218556383E-4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4074.9894044079397</v>
      </c>
      <c r="C5" s="17">
        <f>'Eigen informatie GS &amp; warmtenet'!B62</f>
        <v>0</v>
      </c>
      <c r="D5" s="30">
        <f>IF(ISERROR(SUM(LB_lb_gas_kWh,LB_rest_gas_kWh)/1000),0,SUM(LB_lb_gas_kWh,LB_rest_gas_kWh)/1000)*0.903</f>
        <v>220.93351059305272</v>
      </c>
      <c r="E5" s="17">
        <f>B17*'E Balans VL '!I25/3.6*1000000/100</f>
        <v>151.96881939379509</v>
      </c>
      <c r="F5" s="17">
        <f>B17*('E Balans VL '!L25/3.6*1000000+'E Balans VL '!N25/3.6*1000000)/100</f>
        <v>13220.840265787789</v>
      </c>
      <c r="G5" s="18"/>
      <c r="H5" s="17"/>
      <c r="I5" s="17"/>
      <c r="J5" s="17">
        <f>('E Balans VL '!D25+'E Balans VL '!E25)/3.6*1000000*landbouw!B17/100</f>
        <v>1069.7048365013441</v>
      </c>
      <c r="K5" s="17"/>
      <c r="L5" s="17">
        <f>L6*(-1)</f>
        <v>0</v>
      </c>
      <c r="M5" s="17"/>
      <c r="N5" s="17">
        <f>N6*(-1)</f>
        <v>31856.142857142859</v>
      </c>
      <c r="O5" s="17"/>
      <c r="P5" s="17"/>
      <c r="R5" s="32"/>
    </row>
    <row r="6" spans="1:18">
      <c r="A6" s="16" t="s">
        <v>479</v>
      </c>
      <c r="B6" s="17" t="s">
        <v>210</v>
      </c>
      <c r="C6" s="17">
        <f>'lokale energieproductie'!O41+'lokale energieproductie'!O34</f>
        <v>15928.071428571429</v>
      </c>
      <c r="D6" s="310">
        <f>('lokale energieproductie'!P34+'lokale energieproductie'!P41)*(-1)</f>
        <v>0</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-31856.142857142859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4074.9894044079397</v>
      </c>
      <c r="C8" s="21">
        <f>C5+C6</f>
        <v>15928.071428571429</v>
      </c>
      <c r="D8" s="21">
        <f>MAX((D5+D6),0)</f>
        <v>220.93351059305272</v>
      </c>
      <c r="E8" s="21">
        <f>MAX((E5+E6),0)</f>
        <v>151.96881939379509</v>
      </c>
      <c r="F8" s="21">
        <f>MAX((F5+F6),0)</f>
        <v>13220.840265787789</v>
      </c>
      <c r="G8" s="21"/>
      <c r="H8" s="21"/>
      <c r="I8" s="21"/>
      <c r="J8" s="21">
        <f>MAX((J5+J6),0)</f>
        <v>1069.7048365013441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0.1598909496043866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651.55392549859926</v>
      </c>
      <c r="C12" s="23">
        <f ca="1">C8*C10</f>
        <v>0</v>
      </c>
      <c r="D12" s="23">
        <f>D8*D10</f>
        <v>44.628569139796653</v>
      </c>
      <c r="E12" s="23">
        <f>E8*E10</f>
        <v>34.496922002391486</v>
      </c>
      <c r="F12" s="23">
        <f>F8*F10</f>
        <v>3529.9643509653397</v>
      </c>
      <c r="G12" s="23"/>
      <c r="H12" s="23"/>
      <c r="I12" s="23"/>
      <c r="J12" s="23">
        <f>J8*J10</f>
        <v>378.67551212147578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0.55968916093578702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1204.77630569236</v>
      </c>
      <c r="C26" s="247">
        <f>B26*'GWP N2O_CH4'!B5</f>
        <v>25300.302419539559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465.91307265659395</v>
      </c>
      <c r="C27" s="247">
        <f>B27*'GWP N2O_CH4'!B5</f>
        <v>9784.1745257884722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14.097984742614631</v>
      </c>
      <c r="C28" s="247">
        <f>B28*'GWP N2O_CH4'!B4</f>
        <v>4370.3752702105357</v>
      </c>
      <c r="D28" s="50"/>
    </row>
    <row r="29" spans="1:4">
      <c r="A29" s="41" t="s">
        <v>276</v>
      </c>
      <c r="B29" s="247">
        <f>B34*'ha_N2O bodem landbouw'!B4</f>
        <v>30.298664045982932</v>
      </c>
      <c r="C29" s="247">
        <f>B29*'GWP N2O_CH4'!B4</f>
        <v>9392.5858542547085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6.905152063364125E-3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6.0576695724259583E-4</v>
      </c>
      <c r="C5" s="440" t="s">
        <v>210</v>
      </c>
      <c r="D5" s="425">
        <f>SUM(D6:D11)</f>
        <v>2.3512418025622229E-3</v>
      </c>
      <c r="E5" s="425">
        <f>SUM(E6:E11)</f>
        <v>1.462529231358464E-3</v>
      </c>
      <c r="F5" s="438" t="s">
        <v>210</v>
      </c>
      <c r="G5" s="425">
        <f>SUM(G6:G11)</f>
        <v>0.76303985199724456</v>
      </c>
      <c r="H5" s="425">
        <f>SUM(H6:H11)</f>
        <v>0.15416890265710559</v>
      </c>
      <c r="I5" s="440" t="s">
        <v>210</v>
      </c>
      <c r="J5" s="440" t="s">
        <v>210</v>
      </c>
      <c r="K5" s="440" t="s">
        <v>210</v>
      </c>
      <c r="L5" s="440" t="s">
        <v>210</v>
      </c>
      <c r="M5" s="425">
        <f>SUM(M6:M11)</f>
        <v>5.3677404656044161E-2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1.4092823475969499E-4</v>
      </c>
      <c r="C6" s="426"/>
      <c r="D6" s="893">
        <f>vkm_GW_PW*SUMIFS(TableVerdeelsleutelVkm[CNG],TableVerdeelsleutelVkm[Voertuigtype],"Lichte voertuigen")*SUMIFS(TableECFTransport[EnergieConsumptieFactor (PJ per km)],TableECFTransport[Index],CONCATENATE($A6,"_CNG_CNG"))</f>
        <v>5.089897769003682E-4</v>
      </c>
      <c r="E6" s="893">
        <f>vkm_GW_PW*SUMIFS(TableVerdeelsleutelVkm[LPG],TableVerdeelsleutelVkm[Voertuigtype],"Lichte voertuigen")*SUMIFS(TableECFTransport[EnergieConsumptieFactor (PJ per km)],TableECFTransport[Index],CONCATENATE($A6,"_LPG_LPG"))</f>
        <v>2.7662287865057647E-4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8.6083335467813243E-2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3.2579086059052416E-2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7.1114198715527197E-3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5.0143810681039763E-2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5.2789112573712307E-7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2.8231750835458549E-3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6.2700162301418296E-5</v>
      </c>
      <c r="C8" s="426"/>
      <c r="D8" s="428">
        <f>vkm_NGW_PW*SUMIFS(TableVerdeelsleutelVkm[CNG],TableVerdeelsleutelVkm[Voertuigtype],"Lichte voertuigen")*SUMIFS(TableECFTransport[EnergieConsumptieFactor (PJ per km)],TableECFTransport[Index],CONCATENATE($A8,"_CNG_CNG"))</f>
        <v>3.8385404167477327E-4</v>
      </c>
      <c r="E8" s="428">
        <f>vkm_NGW_PW*SUMIFS(TableVerdeelsleutelVkm[LPG],TableVerdeelsleutelVkm[Voertuigtype],"Lichte voertuigen")*SUMIFS(TableECFTransport[EnergieConsumptieFactor (PJ per km)],TableECFTransport[Index],CONCATENATE($A8,"_LPG_LPG"))</f>
        <v>1.9823981807035073E-4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5.741030024071779E-2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2.4195424280408641E-2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4.9142826541884333E-3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2.9404206836852832E-2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4.4961356553415854E-7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1.6555126386265393E-3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4.0213856018148254E-4</v>
      </c>
      <c r="C10" s="426"/>
      <c r="D10" s="428">
        <f>vkm_SW_PW*SUMIFS(TableVerdeelsleutelVkm[CNG],TableVerdeelsleutelVkm[Voertuigtype],"Lichte voertuigen")*SUMIFS(TableECFTransport[EnergieConsumptieFactor (PJ per km)],TableECFTransport[Index],CONCATENATE($A10,"_CNG_CNG"))</f>
        <v>1.4583979839870814E-3</v>
      </c>
      <c r="E10" s="428">
        <f>vkm_SW_PW*SUMIFS(TableVerdeelsleutelVkm[LPG],TableVerdeelsleutelVkm[Voertuigtype],"Lichte voertuigen")*SUMIFS(TableECFTransport[EnergieConsumptieFactor (PJ per km)],TableECFTransport[Index],CONCATENATE($A10,"_LPG_LPG"))</f>
        <v>9.8766653463753682E-4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0.27313019535382421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9.739043954064544E-2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2.2147916283254576E-2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0.26686800341699662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2.975272307838193E-6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1.5025098124876037E-2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168.26859923405439</v>
      </c>
      <c r="C14" s="21"/>
      <c r="D14" s="21">
        <f t="shared" ref="D14:M14" si="0">((D5)*10^9/3600)+D12</f>
        <v>653.12272293395074</v>
      </c>
      <c r="E14" s="21">
        <f t="shared" si="0"/>
        <v>406.25811982179556</v>
      </c>
      <c r="F14" s="21"/>
      <c r="G14" s="21">
        <f t="shared" si="0"/>
        <v>211955.51444367904</v>
      </c>
      <c r="H14" s="21">
        <f t="shared" si="0"/>
        <v>42824.695182529329</v>
      </c>
      <c r="I14" s="21"/>
      <c r="J14" s="21"/>
      <c r="K14" s="21"/>
      <c r="L14" s="21"/>
      <c r="M14" s="21">
        <f t="shared" si="0"/>
        <v>14910.390182234491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0.1598909496043866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26.904626120132917</v>
      </c>
      <c r="C18" s="23"/>
      <c r="D18" s="23">
        <f t="shared" ref="D18:M18" si="1">D14*D16</f>
        <v>131.93079003265805</v>
      </c>
      <c r="E18" s="23">
        <f t="shared" si="1"/>
        <v>92.220593199547594</v>
      </c>
      <c r="F18" s="23"/>
      <c r="G18" s="23">
        <f t="shared" si="1"/>
        <v>56592.122356462307</v>
      </c>
      <c r="H18" s="23">
        <f t="shared" si="1"/>
        <v>10663.349100449803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3.4252063266687564E-3</v>
      </c>
      <c r="H50" s="321">
        <f t="shared" si="2"/>
        <v>0</v>
      </c>
      <c r="I50" s="321">
        <f t="shared" si="2"/>
        <v>0</v>
      </c>
      <c r="J50" s="321">
        <f t="shared" si="2"/>
        <v>0</v>
      </c>
      <c r="K50" s="321">
        <f t="shared" si="2"/>
        <v>0</v>
      </c>
      <c r="L50" s="321">
        <f t="shared" si="2"/>
        <v>0</v>
      </c>
      <c r="M50" s="321">
        <f t="shared" si="2"/>
        <v>1.8587120385029889E-4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3.4252063266687564E-3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1.8587120385029889E-4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951.44620185243241</v>
      </c>
      <c r="H54" s="21">
        <f t="shared" si="3"/>
        <v>0</v>
      </c>
      <c r="I54" s="21">
        <f t="shared" si="3"/>
        <v>0</v>
      </c>
      <c r="J54" s="21">
        <f t="shared" si="3"/>
        <v>0</v>
      </c>
      <c r="K54" s="21">
        <f t="shared" si="3"/>
        <v>0</v>
      </c>
      <c r="L54" s="21">
        <f t="shared" si="3"/>
        <v>0</v>
      </c>
      <c r="M54" s="21">
        <f t="shared" si="3"/>
        <v>51.630889958416354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0.1598909496043866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254.03613589459945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20978.593517450936</v>
      </c>
      <c r="D10" s="689">
        <f ca="1">tertiair!C16</f>
        <v>0</v>
      </c>
      <c r="E10" s="689">
        <f ca="1">tertiair!D16</f>
        <v>47803.705949413496</v>
      </c>
      <c r="F10" s="689">
        <f>tertiair!E16</f>
        <v>107.14496501395534</v>
      </c>
      <c r="G10" s="689">
        <f ca="1">tertiair!F16</f>
        <v>4888.7319875276426</v>
      </c>
      <c r="H10" s="689">
        <f>tertiair!G16</f>
        <v>0</v>
      </c>
      <c r="I10" s="689">
        <f>tertiair!H16</f>
        <v>0</v>
      </c>
      <c r="J10" s="689">
        <f>tertiair!I16</f>
        <v>0</v>
      </c>
      <c r="K10" s="689">
        <f>tertiair!J16</f>
        <v>5.9234284979676359E-2</v>
      </c>
      <c r="L10" s="689">
        <f>tertiair!K16</f>
        <v>0</v>
      </c>
      <c r="M10" s="689">
        <f ca="1">tertiair!L16</f>
        <v>0</v>
      </c>
      <c r="N10" s="689">
        <f>tertiair!M16</f>
        <v>0</v>
      </c>
      <c r="O10" s="689">
        <f ca="1">tertiair!N16</f>
        <v>2155.1571949829799</v>
      </c>
      <c r="P10" s="689">
        <f>tertiair!O16</f>
        <v>39.178086126729234</v>
      </c>
      <c r="Q10" s="690">
        <f>tertiair!P16</f>
        <v>105.07827661299004</v>
      </c>
      <c r="R10" s="692">
        <f ca="1">SUM(C10:Q10)</f>
        <v>76077.649211413722</v>
      </c>
      <c r="S10" s="67"/>
    </row>
    <row r="11" spans="1:19" s="451" customFormat="1">
      <c r="A11" s="811" t="s">
        <v>224</v>
      </c>
      <c r="B11" s="816"/>
      <c r="C11" s="689">
        <f>huishoudens!B8</f>
        <v>29014.074678993529</v>
      </c>
      <c r="D11" s="689">
        <f>huishoudens!C8</f>
        <v>0</v>
      </c>
      <c r="E11" s="689">
        <f>huishoudens!D8</f>
        <v>47746.048401068474</v>
      </c>
      <c r="F11" s="689">
        <f>huishoudens!E8</f>
        <v>17553.272245887983</v>
      </c>
      <c r="G11" s="689">
        <f>huishoudens!F8</f>
        <v>6265.588419070179</v>
      </c>
      <c r="H11" s="689">
        <f>huishoudens!G8</f>
        <v>0</v>
      </c>
      <c r="I11" s="689">
        <f>huishoudens!H8</f>
        <v>0</v>
      </c>
      <c r="J11" s="689">
        <f>huishoudens!I8</f>
        <v>0</v>
      </c>
      <c r="K11" s="689">
        <f>huishoudens!J8</f>
        <v>883.34137352792072</v>
      </c>
      <c r="L11" s="689">
        <f>huishoudens!K8</f>
        <v>0</v>
      </c>
      <c r="M11" s="689">
        <f>huishoudens!L8</f>
        <v>0</v>
      </c>
      <c r="N11" s="689">
        <f>huishoudens!M8</f>
        <v>0</v>
      </c>
      <c r="O11" s="689">
        <f>huishoudens!N8</f>
        <v>29625.131423408377</v>
      </c>
      <c r="P11" s="689">
        <f>huishoudens!O8</f>
        <v>743.98433227013697</v>
      </c>
      <c r="Q11" s="690">
        <f>huishoudens!P8</f>
        <v>874.31862253785675</v>
      </c>
      <c r="R11" s="692">
        <f>SUM(C11:Q11)</f>
        <v>132705.75949676445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16907.642985362039</v>
      </c>
      <c r="D13" s="689">
        <f>industrie!C18</f>
        <v>0</v>
      </c>
      <c r="E13" s="689">
        <f>industrie!D18</f>
        <v>18179.002625590158</v>
      </c>
      <c r="F13" s="689">
        <f>industrie!E18</f>
        <v>51.640377366292945</v>
      </c>
      <c r="G13" s="689">
        <f>industrie!F18</f>
        <v>4747.9147702640557</v>
      </c>
      <c r="H13" s="689">
        <f>industrie!G18</f>
        <v>0</v>
      </c>
      <c r="I13" s="689">
        <f>industrie!H18</f>
        <v>0</v>
      </c>
      <c r="J13" s="689">
        <f>industrie!I18</f>
        <v>0</v>
      </c>
      <c r="K13" s="689">
        <f>industrie!J18</f>
        <v>3.2378478900940069</v>
      </c>
      <c r="L13" s="689">
        <f>industrie!K18</f>
        <v>0</v>
      </c>
      <c r="M13" s="689">
        <f>industrie!L18</f>
        <v>0</v>
      </c>
      <c r="N13" s="689">
        <f>industrie!M18</f>
        <v>0</v>
      </c>
      <c r="O13" s="689">
        <f>industrie!N18</f>
        <v>550.27981021348171</v>
      </c>
      <c r="P13" s="689">
        <f>industrie!O18</f>
        <v>0</v>
      </c>
      <c r="Q13" s="690">
        <f>industrie!P18</f>
        <v>0</v>
      </c>
      <c r="R13" s="692">
        <f>SUM(C13:Q13)</f>
        <v>40439.718416686119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66900.311181806508</v>
      </c>
      <c r="D16" s="725">
        <f t="shared" ref="D16:R16" ca="1" si="0">SUM(D9:D15)</f>
        <v>0</v>
      </c>
      <c r="E16" s="725">
        <f t="shared" ca="1" si="0"/>
        <v>113728.75697607212</v>
      </c>
      <c r="F16" s="725">
        <f t="shared" si="0"/>
        <v>17712.057588268231</v>
      </c>
      <c r="G16" s="725">
        <f t="shared" ca="1" si="0"/>
        <v>15902.235176861876</v>
      </c>
      <c r="H16" s="725">
        <f t="shared" si="0"/>
        <v>0</v>
      </c>
      <c r="I16" s="725">
        <f t="shared" si="0"/>
        <v>0</v>
      </c>
      <c r="J16" s="725">
        <f t="shared" si="0"/>
        <v>0</v>
      </c>
      <c r="K16" s="725">
        <f t="shared" si="0"/>
        <v>886.63845570299441</v>
      </c>
      <c r="L16" s="725">
        <f t="shared" si="0"/>
        <v>0</v>
      </c>
      <c r="M16" s="725">
        <f t="shared" ca="1" si="0"/>
        <v>0</v>
      </c>
      <c r="N16" s="725">
        <f t="shared" si="0"/>
        <v>0</v>
      </c>
      <c r="O16" s="725">
        <f t="shared" ca="1" si="0"/>
        <v>32330.568428604838</v>
      </c>
      <c r="P16" s="725">
        <f t="shared" si="0"/>
        <v>783.1624183968662</v>
      </c>
      <c r="Q16" s="725">
        <f t="shared" si="0"/>
        <v>979.39689915084682</v>
      </c>
      <c r="R16" s="725">
        <f t="shared" ca="1" si="0"/>
        <v>249223.12712486429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951.44620185243241</v>
      </c>
      <c r="I19" s="689">
        <f>transport!H54</f>
        <v>0</v>
      </c>
      <c r="J19" s="689">
        <f>transport!I54</f>
        <v>0</v>
      </c>
      <c r="K19" s="689">
        <f>transport!J54</f>
        <v>0</v>
      </c>
      <c r="L19" s="689">
        <f>transport!K54</f>
        <v>0</v>
      </c>
      <c r="M19" s="689">
        <f>transport!L54</f>
        <v>0</v>
      </c>
      <c r="N19" s="689">
        <f>transport!M54</f>
        <v>51.630889958416354</v>
      </c>
      <c r="O19" s="689">
        <f>transport!N54</f>
        <v>0</v>
      </c>
      <c r="P19" s="689">
        <f>transport!O54</f>
        <v>0</v>
      </c>
      <c r="Q19" s="690">
        <f>transport!P54</f>
        <v>0</v>
      </c>
      <c r="R19" s="692">
        <f>SUM(C19:Q19)</f>
        <v>1003.0770918108487</v>
      </c>
      <c r="S19" s="67"/>
    </row>
    <row r="20" spans="1:19" s="451" customFormat="1">
      <c r="A20" s="811" t="s">
        <v>306</v>
      </c>
      <c r="B20" s="816"/>
      <c r="C20" s="689">
        <f>transport!B14</f>
        <v>168.26859923405439</v>
      </c>
      <c r="D20" s="689">
        <f>transport!C14</f>
        <v>0</v>
      </c>
      <c r="E20" s="689">
        <f>transport!D14</f>
        <v>653.12272293395074</v>
      </c>
      <c r="F20" s="689">
        <f>transport!E14</f>
        <v>406.25811982179556</v>
      </c>
      <c r="G20" s="689">
        <f>transport!F14</f>
        <v>0</v>
      </c>
      <c r="H20" s="689">
        <f>transport!G14</f>
        <v>211955.51444367904</v>
      </c>
      <c r="I20" s="689">
        <f>transport!H14</f>
        <v>42824.695182529329</v>
      </c>
      <c r="J20" s="689">
        <f>transport!I14</f>
        <v>0</v>
      </c>
      <c r="K20" s="689">
        <f>transport!J14</f>
        <v>0</v>
      </c>
      <c r="L20" s="689">
        <f>transport!K14</f>
        <v>0</v>
      </c>
      <c r="M20" s="689">
        <f>transport!L14</f>
        <v>0</v>
      </c>
      <c r="N20" s="689">
        <f>transport!M14</f>
        <v>14910.390182234491</v>
      </c>
      <c r="O20" s="689">
        <f>transport!N14</f>
        <v>0</v>
      </c>
      <c r="P20" s="689">
        <f>transport!O14</f>
        <v>0</v>
      </c>
      <c r="Q20" s="690">
        <f>transport!P14</f>
        <v>0</v>
      </c>
      <c r="R20" s="692">
        <f>SUM(C20:Q20)</f>
        <v>270918.24925043265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168.26859923405439</v>
      </c>
      <c r="D22" s="814">
        <f t="shared" ref="D22:R22" si="1">SUM(D18:D21)</f>
        <v>0</v>
      </c>
      <c r="E22" s="814">
        <f t="shared" si="1"/>
        <v>653.12272293395074</v>
      </c>
      <c r="F22" s="814">
        <f t="shared" si="1"/>
        <v>406.25811982179556</v>
      </c>
      <c r="G22" s="814">
        <f t="shared" si="1"/>
        <v>0</v>
      </c>
      <c r="H22" s="814">
        <f t="shared" si="1"/>
        <v>212906.96064553148</v>
      </c>
      <c r="I22" s="814">
        <f t="shared" si="1"/>
        <v>42824.695182529329</v>
      </c>
      <c r="J22" s="814">
        <f t="shared" si="1"/>
        <v>0</v>
      </c>
      <c r="K22" s="814">
        <f t="shared" si="1"/>
        <v>0</v>
      </c>
      <c r="L22" s="814">
        <f t="shared" si="1"/>
        <v>0</v>
      </c>
      <c r="M22" s="814">
        <f t="shared" si="1"/>
        <v>0</v>
      </c>
      <c r="N22" s="814">
        <f t="shared" si="1"/>
        <v>14962.021072192907</v>
      </c>
      <c r="O22" s="814">
        <f t="shared" si="1"/>
        <v>0</v>
      </c>
      <c r="P22" s="814">
        <f t="shared" si="1"/>
        <v>0</v>
      </c>
      <c r="Q22" s="814">
        <f t="shared" si="1"/>
        <v>0</v>
      </c>
      <c r="R22" s="814">
        <f t="shared" si="1"/>
        <v>271921.32634224353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4074.9894044079397</v>
      </c>
      <c r="D24" s="689">
        <f>+landbouw!C8</f>
        <v>15928.071428571429</v>
      </c>
      <c r="E24" s="689">
        <f>+landbouw!D8</f>
        <v>220.93351059305272</v>
      </c>
      <c r="F24" s="689">
        <f>+landbouw!E8</f>
        <v>151.96881939379509</v>
      </c>
      <c r="G24" s="689">
        <f>+landbouw!F8</f>
        <v>13220.840265787789</v>
      </c>
      <c r="H24" s="689">
        <f>+landbouw!G8</f>
        <v>0</v>
      </c>
      <c r="I24" s="689">
        <f>+landbouw!H8</f>
        <v>0</v>
      </c>
      <c r="J24" s="689">
        <f>+landbouw!I8</f>
        <v>0</v>
      </c>
      <c r="K24" s="689">
        <f>+landbouw!J8</f>
        <v>1069.7048365013441</v>
      </c>
      <c r="L24" s="689">
        <f>+landbouw!K8</f>
        <v>0</v>
      </c>
      <c r="M24" s="689">
        <f>+landbouw!L8</f>
        <v>0</v>
      </c>
      <c r="N24" s="689">
        <f>+landbouw!M8</f>
        <v>0</v>
      </c>
      <c r="O24" s="689">
        <f>+landbouw!N8</f>
        <v>0</v>
      </c>
      <c r="P24" s="689">
        <f>+landbouw!O8</f>
        <v>0</v>
      </c>
      <c r="Q24" s="690">
        <f>+landbouw!P8</f>
        <v>0</v>
      </c>
      <c r="R24" s="692">
        <f>SUM(C24:Q24)</f>
        <v>34666.508265255354</v>
      </c>
      <c r="S24" s="67"/>
    </row>
    <row r="25" spans="1:19" s="451" customFormat="1" ht="15" thickBot="1">
      <c r="A25" s="833" t="s">
        <v>714</v>
      </c>
      <c r="B25" s="947"/>
      <c r="C25" s="948">
        <f>IF(Onbekend_ele_kWh="---",0,Onbekend_ele_kWh)/1000+IF(REST_rest_ele_kWh="---",0,REST_rest_ele_kWh)/1000</f>
        <v>862.06711187268593</v>
      </c>
      <c r="D25" s="948"/>
      <c r="E25" s="948">
        <f>IF(onbekend_gas_kWh="---",0,onbekend_gas_kWh)/1000+IF(REST_rest_gas_kWh="---",0,REST_rest_gas_kWh)/1000</f>
        <v>1171.1172332784502</v>
      </c>
      <c r="F25" s="948"/>
      <c r="G25" s="948"/>
      <c r="H25" s="948"/>
      <c r="I25" s="948"/>
      <c r="J25" s="948"/>
      <c r="K25" s="948"/>
      <c r="L25" s="948"/>
      <c r="M25" s="948"/>
      <c r="N25" s="948"/>
      <c r="O25" s="948"/>
      <c r="P25" s="948"/>
      <c r="Q25" s="949"/>
      <c r="R25" s="692">
        <f>SUM(C25:Q25)</f>
        <v>2033.1843451511361</v>
      </c>
      <c r="S25" s="67"/>
    </row>
    <row r="26" spans="1:19" s="451" customFormat="1" ht="15.75" thickBot="1">
      <c r="A26" s="697" t="s">
        <v>715</v>
      </c>
      <c r="B26" s="819"/>
      <c r="C26" s="814">
        <f>SUM(C24:C25)</f>
        <v>4937.0565162806251</v>
      </c>
      <c r="D26" s="814">
        <f t="shared" ref="D26:R26" si="2">SUM(D24:D25)</f>
        <v>15928.071428571429</v>
      </c>
      <c r="E26" s="814">
        <f t="shared" si="2"/>
        <v>1392.0507438715028</v>
      </c>
      <c r="F26" s="814">
        <f t="shared" si="2"/>
        <v>151.96881939379509</v>
      </c>
      <c r="G26" s="814">
        <f t="shared" si="2"/>
        <v>13220.840265787789</v>
      </c>
      <c r="H26" s="814">
        <f t="shared" si="2"/>
        <v>0</v>
      </c>
      <c r="I26" s="814">
        <f t="shared" si="2"/>
        <v>0</v>
      </c>
      <c r="J26" s="814">
        <f t="shared" si="2"/>
        <v>0</v>
      </c>
      <c r="K26" s="814">
        <f t="shared" si="2"/>
        <v>1069.7048365013441</v>
      </c>
      <c r="L26" s="814">
        <f t="shared" si="2"/>
        <v>0</v>
      </c>
      <c r="M26" s="814">
        <f t="shared" si="2"/>
        <v>0</v>
      </c>
      <c r="N26" s="814">
        <f t="shared" si="2"/>
        <v>0</v>
      </c>
      <c r="O26" s="814">
        <f t="shared" si="2"/>
        <v>0</v>
      </c>
      <c r="P26" s="814">
        <f t="shared" si="2"/>
        <v>0</v>
      </c>
      <c r="Q26" s="814">
        <f t="shared" si="2"/>
        <v>0</v>
      </c>
      <c r="R26" s="814">
        <f t="shared" si="2"/>
        <v>36699.692610406491</v>
      </c>
      <c r="S26" s="67"/>
    </row>
    <row r="27" spans="1:19" s="451" customFormat="1" ht="17.25" thickTop="1" thickBot="1">
      <c r="A27" s="698" t="s">
        <v>115</v>
      </c>
      <c r="B27" s="806"/>
      <c r="C27" s="699">
        <f ca="1">C22+C16+C26</f>
        <v>72005.636297321194</v>
      </c>
      <c r="D27" s="699">
        <f t="shared" ref="D27:R27" ca="1" si="3">D22+D16+D26</f>
        <v>15928.071428571429</v>
      </c>
      <c r="E27" s="699">
        <f t="shared" ca="1" si="3"/>
        <v>115773.93044287758</v>
      </c>
      <c r="F27" s="699">
        <f t="shared" si="3"/>
        <v>18270.284527483822</v>
      </c>
      <c r="G27" s="699">
        <f t="shared" ca="1" si="3"/>
        <v>29123.075442649664</v>
      </c>
      <c r="H27" s="699">
        <f t="shared" si="3"/>
        <v>212906.96064553148</v>
      </c>
      <c r="I27" s="699">
        <f t="shared" si="3"/>
        <v>42824.695182529329</v>
      </c>
      <c r="J27" s="699">
        <f t="shared" si="3"/>
        <v>0</v>
      </c>
      <c r="K27" s="699">
        <f t="shared" si="3"/>
        <v>1956.3432922043385</v>
      </c>
      <c r="L27" s="699">
        <f t="shared" si="3"/>
        <v>0</v>
      </c>
      <c r="M27" s="699">
        <f t="shared" ca="1" si="3"/>
        <v>0</v>
      </c>
      <c r="N27" s="699">
        <f t="shared" si="3"/>
        <v>14962.021072192907</v>
      </c>
      <c r="O27" s="699">
        <f t="shared" ca="1" si="3"/>
        <v>32330.568428604838</v>
      </c>
      <c r="P27" s="699">
        <f t="shared" si="3"/>
        <v>783.1624183968662</v>
      </c>
      <c r="Q27" s="699">
        <f t="shared" si="3"/>
        <v>979.39689915084682</v>
      </c>
      <c r="R27" s="699">
        <f t="shared" ca="1" si="3"/>
        <v>557844.14607751439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3354.2872388696592</v>
      </c>
      <c r="D40" s="689">
        <f ca="1">tertiair!C20</f>
        <v>0</v>
      </c>
      <c r="E40" s="689">
        <f ca="1">tertiair!D20</f>
        <v>9656.3486017815267</v>
      </c>
      <c r="F40" s="689">
        <f>tertiair!E20</f>
        <v>24.321907058167863</v>
      </c>
      <c r="G40" s="689">
        <f ca="1">tertiair!F20</f>
        <v>1305.2914406698806</v>
      </c>
      <c r="H40" s="689">
        <f>tertiair!G20</f>
        <v>0</v>
      </c>
      <c r="I40" s="689">
        <f>tertiair!H20</f>
        <v>0</v>
      </c>
      <c r="J40" s="689">
        <f>tertiair!I20</f>
        <v>0</v>
      </c>
      <c r="K40" s="689">
        <f>tertiair!J20</f>
        <v>2.096893688280543E-2</v>
      </c>
      <c r="L40" s="689">
        <f>tertiair!K20</f>
        <v>0</v>
      </c>
      <c r="M40" s="689">
        <f ca="1">tertiair!L20</f>
        <v>0</v>
      </c>
      <c r="N40" s="689">
        <f>tertiair!M20</f>
        <v>0</v>
      </c>
      <c r="O40" s="689">
        <f ca="1">tertiair!N20</f>
        <v>0</v>
      </c>
      <c r="P40" s="689">
        <f>tertiair!O20</f>
        <v>0</v>
      </c>
      <c r="Q40" s="772">
        <f>tertiair!P20</f>
        <v>0</v>
      </c>
      <c r="R40" s="852">
        <f t="shared" ca="1" si="4"/>
        <v>14340.270157316116</v>
      </c>
    </row>
    <row r="41" spans="1:18">
      <c r="A41" s="824" t="s">
        <v>224</v>
      </c>
      <c r="B41" s="831"/>
      <c r="C41" s="689">
        <f ca="1">huishoudens!B12</f>
        <v>4639.0879523168642</v>
      </c>
      <c r="D41" s="689">
        <f ca="1">huishoudens!C12</f>
        <v>0</v>
      </c>
      <c r="E41" s="689">
        <f>huishoudens!D12</f>
        <v>9644.7017770158327</v>
      </c>
      <c r="F41" s="689">
        <f>huishoudens!E12</f>
        <v>3984.5927998165726</v>
      </c>
      <c r="G41" s="689">
        <f>huishoudens!F12</f>
        <v>1672.9121078917378</v>
      </c>
      <c r="H41" s="689">
        <f>huishoudens!G12</f>
        <v>0</v>
      </c>
      <c r="I41" s="689">
        <f>huishoudens!H12</f>
        <v>0</v>
      </c>
      <c r="J41" s="689">
        <f>huishoudens!I12</f>
        <v>0</v>
      </c>
      <c r="K41" s="689">
        <f>huishoudens!J12</f>
        <v>312.70284622888391</v>
      </c>
      <c r="L41" s="689">
        <f>huishoudens!K12</f>
        <v>0</v>
      </c>
      <c r="M41" s="689">
        <f>huishoudens!L12</f>
        <v>0</v>
      </c>
      <c r="N41" s="689">
        <f>huishoudens!M12</f>
        <v>0</v>
      </c>
      <c r="O41" s="689">
        <f>huishoudens!N12</f>
        <v>0</v>
      </c>
      <c r="P41" s="689">
        <f>huishoudens!O12</f>
        <v>0</v>
      </c>
      <c r="Q41" s="772">
        <f>huishoudens!P12</f>
        <v>0</v>
      </c>
      <c r="R41" s="852">
        <f t="shared" ca="1" si="4"/>
        <v>20253.99748326989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2703.3790925014823</v>
      </c>
      <c r="D43" s="689">
        <f ca="1">industrie!C22</f>
        <v>0</v>
      </c>
      <c r="E43" s="689">
        <f>industrie!D22</f>
        <v>3672.1585303692123</v>
      </c>
      <c r="F43" s="689">
        <f>industrie!E22</f>
        <v>11.7223656621485</v>
      </c>
      <c r="G43" s="689">
        <f>industrie!F22</f>
        <v>1267.693243660503</v>
      </c>
      <c r="H43" s="689">
        <f>industrie!G22</f>
        <v>0</v>
      </c>
      <c r="I43" s="689">
        <f>industrie!H22</f>
        <v>0</v>
      </c>
      <c r="J43" s="689">
        <f>industrie!I22</f>
        <v>0</v>
      </c>
      <c r="K43" s="689">
        <f>industrie!J22</f>
        <v>1.1461981530932783</v>
      </c>
      <c r="L43" s="689">
        <f>industrie!K22</f>
        <v>0</v>
      </c>
      <c r="M43" s="689">
        <f>industrie!L22</f>
        <v>0</v>
      </c>
      <c r="N43" s="689">
        <f>industrie!M22</f>
        <v>0</v>
      </c>
      <c r="O43" s="689">
        <f>industrie!N22</f>
        <v>0</v>
      </c>
      <c r="P43" s="689">
        <f>industrie!O22</f>
        <v>0</v>
      </c>
      <c r="Q43" s="772">
        <f>industrie!P22</f>
        <v>0</v>
      </c>
      <c r="R43" s="851">
        <f t="shared" ca="1" si="4"/>
        <v>7656.0994303464386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10696.754283688006</v>
      </c>
      <c r="D46" s="725">
        <f t="shared" ref="D46:Q46" ca="1" si="5">SUM(D39:D45)</f>
        <v>0</v>
      </c>
      <c r="E46" s="725">
        <f t="shared" ca="1" si="5"/>
        <v>22973.208909166569</v>
      </c>
      <c r="F46" s="725">
        <f t="shared" si="5"/>
        <v>4020.6370725368888</v>
      </c>
      <c r="G46" s="725">
        <f t="shared" ca="1" si="5"/>
        <v>4245.8967922221218</v>
      </c>
      <c r="H46" s="725">
        <f t="shared" si="5"/>
        <v>0</v>
      </c>
      <c r="I46" s="725">
        <f t="shared" si="5"/>
        <v>0</v>
      </c>
      <c r="J46" s="725">
        <f t="shared" si="5"/>
        <v>0</v>
      </c>
      <c r="K46" s="725">
        <f t="shared" si="5"/>
        <v>313.87001331886</v>
      </c>
      <c r="L46" s="725">
        <f t="shared" si="5"/>
        <v>0</v>
      </c>
      <c r="M46" s="725">
        <f t="shared" ca="1" si="5"/>
        <v>0</v>
      </c>
      <c r="N46" s="725">
        <f t="shared" si="5"/>
        <v>0</v>
      </c>
      <c r="O46" s="725">
        <f t="shared" ca="1" si="5"/>
        <v>0</v>
      </c>
      <c r="P46" s="725">
        <f t="shared" si="5"/>
        <v>0</v>
      </c>
      <c r="Q46" s="725">
        <f t="shared" si="5"/>
        <v>0</v>
      </c>
      <c r="R46" s="725">
        <f ca="1">SUM(R39:R45)</f>
        <v>42250.367070932443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254.03613589459945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254.03613589459945</v>
      </c>
    </row>
    <row r="50" spans="1:18">
      <c r="A50" s="827" t="s">
        <v>306</v>
      </c>
      <c r="B50" s="837"/>
      <c r="C50" s="695">
        <f ca="1">transport!B18</f>
        <v>26.904626120132917</v>
      </c>
      <c r="D50" s="695">
        <f>transport!C18</f>
        <v>0</v>
      </c>
      <c r="E50" s="695">
        <f>transport!D18</f>
        <v>131.93079003265805</v>
      </c>
      <c r="F50" s="695">
        <f>transport!E18</f>
        <v>92.220593199547594</v>
      </c>
      <c r="G50" s="695">
        <f>transport!F18</f>
        <v>0</v>
      </c>
      <c r="H50" s="695">
        <f>transport!G18</f>
        <v>56592.122356462307</v>
      </c>
      <c r="I50" s="695">
        <f>transport!H18</f>
        <v>10663.349100449803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67506.527466264452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26.904626120132917</v>
      </c>
      <c r="D52" s="725">
        <f t="shared" ref="D52:Q52" ca="1" si="6">SUM(D48:D51)</f>
        <v>0</v>
      </c>
      <c r="E52" s="725">
        <f t="shared" si="6"/>
        <v>131.93079003265805</v>
      </c>
      <c r="F52" s="725">
        <f t="shared" si="6"/>
        <v>92.220593199547594</v>
      </c>
      <c r="G52" s="725">
        <f t="shared" si="6"/>
        <v>0</v>
      </c>
      <c r="H52" s="725">
        <f t="shared" si="6"/>
        <v>56846.15849235691</v>
      </c>
      <c r="I52" s="725">
        <f t="shared" si="6"/>
        <v>10663.349100449803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67760.563602159047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651.55392549859926</v>
      </c>
      <c r="D54" s="695">
        <f ca="1">+landbouw!C12</f>
        <v>0</v>
      </c>
      <c r="E54" s="695">
        <f>+landbouw!D12</f>
        <v>44.628569139796653</v>
      </c>
      <c r="F54" s="695">
        <f>+landbouw!E12</f>
        <v>34.496922002391486</v>
      </c>
      <c r="G54" s="695">
        <f>+landbouw!F12</f>
        <v>3529.9643509653397</v>
      </c>
      <c r="H54" s="695">
        <f>+landbouw!G12</f>
        <v>0</v>
      </c>
      <c r="I54" s="695">
        <f>+landbouw!H12</f>
        <v>0</v>
      </c>
      <c r="J54" s="695">
        <f>+landbouw!I12</f>
        <v>0</v>
      </c>
      <c r="K54" s="695">
        <f>+landbouw!J12</f>
        <v>378.67551212147578</v>
      </c>
      <c r="L54" s="695">
        <f>+landbouw!K12</f>
        <v>0</v>
      </c>
      <c r="M54" s="695">
        <f>+landbouw!L12</f>
        <v>0</v>
      </c>
      <c r="N54" s="695">
        <f>+landbouw!M12</f>
        <v>0</v>
      </c>
      <c r="O54" s="695">
        <f>+landbouw!N12</f>
        <v>0</v>
      </c>
      <c r="P54" s="695">
        <f>+landbouw!O12</f>
        <v>0</v>
      </c>
      <c r="Q54" s="696">
        <f>+landbouw!P12</f>
        <v>0</v>
      </c>
      <c r="R54" s="724">
        <f ca="1">SUM(C54:Q54)</f>
        <v>4639.3192797276024</v>
      </c>
    </row>
    <row r="55" spans="1:18" ht="15" thickBot="1">
      <c r="A55" s="827" t="s">
        <v>714</v>
      </c>
      <c r="B55" s="837"/>
      <c r="C55" s="695">
        <f ca="1">C25*'EF ele_warmte'!B12</f>
        <v>137.83672914003472</v>
      </c>
      <c r="D55" s="695"/>
      <c r="E55" s="695">
        <f>E25*EF_CO2_aardgas</f>
        <v>236.56568112224696</v>
      </c>
      <c r="F55" s="695"/>
      <c r="G55" s="695"/>
      <c r="H55" s="695"/>
      <c r="I55" s="695"/>
      <c r="J55" s="695"/>
      <c r="K55" s="695"/>
      <c r="L55" s="695"/>
      <c r="M55" s="695"/>
      <c r="N55" s="695"/>
      <c r="O55" s="695"/>
      <c r="P55" s="695"/>
      <c r="Q55" s="696"/>
      <c r="R55" s="724">
        <f ca="1">SUM(C55:Q55)</f>
        <v>374.40241026228171</v>
      </c>
    </row>
    <row r="56" spans="1:18" ht="15.75" thickBot="1">
      <c r="A56" s="825" t="s">
        <v>715</v>
      </c>
      <c r="B56" s="838"/>
      <c r="C56" s="725">
        <f ca="1">SUM(C54:C55)</f>
        <v>789.39065463863403</v>
      </c>
      <c r="D56" s="725">
        <f t="shared" ref="D56:Q56" ca="1" si="7">SUM(D54:D55)</f>
        <v>0</v>
      </c>
      <c r="E56" s="725">
        <f t="shared" si="7"/>
        <v>281.19425026204362</v>
      </c>
      <c r="F56" s="725">
        <f t="shared" si="7"/>
        <v>34.496922002391486</v>
      </c>
      <c r="G56" s="725">
        <f t="shared" si="7"/>
        <v>3529.9643509653397</v>
      </c>
      <c r="H56" s="725">
        <f t="shared" si="7"/>
        <v>0</v>
      </c>
      <c r="I56" s="725">
        <f t="shared" si="7"/>
        <v>0</v>
      </c>
      <c r="J56" s="725">
        <f t="shared" si="7"/>
        <v>0</v>
      </c>
      <c r="K56" s="725">
        <f t="shared" si="7"/>
        <v>378.67551212147578</v>
      </c>
      <c r="L56" s="725">
        <f t="shared" si="7"/>
        <v>0</v>
      </c>
      <c r="M56" s="725">
        <f t="shared" si="7"/>
        <v>0</v>
      </c>
      <c r="N56" s="725">
        <f t="shared" si="7"/>
        <v>0</v>
      </c>
      <c r="O56" s="725">
        <f t="shared" si="7"/>
        <v>0</v>
      </c>
      <c r="P56" s="725">
        <f t="shared" si="7"/>
        <v>0</v>
      </c>
      <c r="Q56" s="726">
        <f t="shared" si="7"/>
        <v>0</v>
      </c>
      <c r="R56" s="727">
        <f ca="1">SUM(R54:R55)</f>
        <v>5013.721689989884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11513.049564446772</v>
      </c>
      <c r="D61" s="733">
        <f t="shared" ref="D61:Q61" ca="1" si="8">D46+D52+D56</f>
        <v>0</v>
      </c>
      <c r="E61" s="733">
        <f t="shared" ca="1" si="8"/>
        <v>23386.33394946127</v>
      </c>
      <c r="F61" s="733">
        <f t="shared" si="8"/>
        <v>4147.3545877388278</v>
      </c>
      <c r="G61" s="733">
        <f t="shared" ca="1" si="8"/>
        <v>7775.8611431874615</v>
      </c>
      <c r="H61" s="733">
        <f t="shared" si="8"/>
        <v>56846.15849235691</v>
      </c>
      <c r="I61" s="733">
        <f t="shared" si="8"/>
        <v>10663.349100449803</v>
      </c>
      <c r="J61" s="733">
        <f t="shared" si="8"/>
        <v>0</v>
      </c>
      <c r="K61" s="733">
        <f t="shared" si="8"/>
        <v>692.54552544033572</v>
      </c>
      <c r="L61" s="733">
        <f t="shared" si="8"/>
        <v>0</v>
      </c>
      <c r="M61" s="733">
        <f t="shared" ca="1" si="8"/>
        <v>0</v>
      </c>
      <c r="N61" s="733">
        <f t="shared" si="8"/>
        <v>0</v>
      </c>
      <c r="O61" s="733">
        <f t="shared" ca="1" si="8"/>
        <v>0</v>
      </c>
      <c r="P61" s="733">
        <f t="shared" si="8"/>
        <v>0</v>
      </c>
      <c r="Q61" s="733">
        <f t="shared" si="8"/>
        <v>0</v>
      </c>
      <c r="R61" s="733">
        <f ca="1">R46+R52+R56</f>
        <v>115024.65236308138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0.15989094960438657</v>
      </c>
      <c r="D63" s="779">
        <f t="shared" ca="1" si="9"/>
        <v>0</v>
      </c>
      <c r="E63" s="973">
        <f t="shared" ca="1" si="9"/>
        <v>0.20199999999999999</v>
      </c>
      <c r="F63" s="779">
        <f t="shared" si="9"/>
        <v>0.22700000000000001</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8760.7393993719888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11149.65</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13117.235294117647</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19910.38939937199</v>
      </c>
      <c r="C78" s="751">
        <f>SUM(C72:C77)</f>
        <v>0</v>
      </c>
      <c r="D78" s="752">
        <f t="shared" ref="D78:H78" si="10">SUM(D76:D77)</f>
        <v>0</v>
      </c>
      <c r="E78" s="752">
        <f t="shared" si="10"/>
        <v>0</v>
      </c>
      <c r="F78" s="752">
        <f t="shared" si="10"/>
        <v>0</v>
      </c>
      <c r="G78" s="752">
        <f t="shared" si="10"/>
        <v>0</v>
      </c>
      <c r="H78" s="752">
        <f t="shared" si="10"/>
        <v>0</v>
      </c>
      <c r="I78" s="752">
        <f>SUM(I76:I77)</f>
        <v>0</v>
      </c>
      <c r="J78" s="752">
        <f>SUM(J76:J77)</f>
        <v>13117.235294117647</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15928.071428571429</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18738.907563025212</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15928.071428571429</v>
      </c>
      <c r="C90" s="751">
        <f>SUM(C87:C89)</f>
        <v>0</v>
      </c>
      <c r="D90" s="751">
        <f t="shared" ref="D90:H90" si="12">SUM(D87:D89)</f>
        <v>0</v>
      </c>
      <c r="E90" s="751">
        <f t="shared" si="12"/>
        <v>0</v>
      </c>
      <c r="F90" s="751">
        <f t="shared" si="12"/>
        <v>0</v>
      </c>
      <c r="G90" s="751">
        <f t="shared" si="12"/>
        <v>0</v>
      </c>
      <c r="H90" s="751">
        <f t="shared" si="12"/>
        <v>0</v>
      </c>
      <c r="I90" s="751">
        <f>SUM(I87:I89)</f>
        <v>0</v>
      </c>
      <c r="J90" s="751">
        <f>SUM(J87:J89)</f>
        <v>18738.907563025212</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8760.7393993719888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11149.65</v>
      </c>
      <c r="C8" s="551">
        <f>B50</f>
        <v>0</v>
      </c>
      <c r="D8" s="552"/>
      <c r="E8" s="552">
        <f>E50</f>
        <v>0</v>
      </c>
      <c r="F8" s="553"/>
      <c r="G8" s="554"/>
      <c r="H8" s="552">
        <f>I50</f>
        <v>0</v>
      </c>
      <c r="I8" s="552">
        <f>G50+F50</f>
        <v>0</v>
      </c>
      <c r="J8" s="552">
        <f>H50+D50+C50</f>
        <v>13117.235294117647</v>
      </c>
      <c r="K8" s="552"/>
      <c r="L8" s="552"/>
      <c r="M8" s="552"/>
      <c r="N8" s="555"/>
      <c r="O8" s="556">
        <f>C8*$C$12+D8*$D$12+E8*$E$12+F8*$F$12+G8*$G$12+H8*$H$12+I8*$I$12+J8*$J$12</f>
        <v>0</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19910.38939937199</v>
      </c>
      <c r="C10" s="566">
        <f t="shared" ref="C10:L10" si="0">SUM(C8:C9)</f>
        <v>0</v>
      </c>
      <c r="D10" s="566">
        <f t="shared" si="0"/>
        <v>0</v>
      </c>
      <c r="E10" s="566">
        <f t="shared" si="0"/>
        <v>0</v>
      </c>
      <c r="F10" s="566">
        <f t="shared" si="0"/>
        <v>0</v>
      </c>
      <c r="G10" s="566">
        <f t="shared" si="0"/>
        <v>0</v>
      </c>
      <c r="H10" s="566">
        <f t="shared" si="0"/>
        <v>0</v>
      </c>
      <c r="I10" s="566">
        <f t="shared" si="0"/>
        <v>0</v>
      </c>
      <c r="J10" s="566">
        <f t="shared" si="0"/>
        <v>13117.235294117647</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15928.071428571429</v>
      </c>
      <c r="C17" s="582">
        <f>B51</f>
        <v>0</v>
      </c>
      <c r="D17" s="583"/>
      <c r="E17" s="583">
        <f>E51</f>
        <v>0</v>
      </c>
      <c r="F17" s="584"/>
      <c r="G17" s="585"/>
      <c r="H17" s="582">
        <f>I51</f>
        <v>0</v>
      </c>
      <c r="I17" s="583">
        <f>G51+F51</f>
        <v>0</v>
      </c>
      <c r="J17" s="583">
        <f>H51+D51+C51</f>
        <v>18738.907563025212</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15928.071428571429</v>
      </c>
      <c r="C20" s="565">
        <f>SUM(C17:C19)</f>
        <v>0</v>
      </c>
      <c r="D20" s="565">
        <f t="shared" ref="D20:L20" si="1">SUM(D17:D19)</f>
        <v>0</v>
      </c>
      <c r="E20" s="565">
        <f t="shared" si="1"/>
        <v>0</v>
      </c>
      <c r="F20" s="565">
        <f t="shared" si="1"/>
        <v>0</v>
      </c>
      <c r="G20" s="565">
        <f t="shared" si="1"/>
        <v>0</v>
      </c>
      <c r="H20" s="565">
        <f t="shared" si="1"/>
        <v>0</v>
      </c>
      <c r="I20" s="565">
        <f t="shared" si="1"/>
        <v>0</v>
      </c>
      <c r="J20" s="565">
        <f t="shared" si="1"/>
        <v>18738.907563025212</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31003</v>
      </c>
      <c r="C28" s="794">
        <v>8730</v>
      </c>
      <c r="D28" s="643" t="s">
        <v>865</v>
      </c>
      <c r="E28" s="642" t="s">
        <v>866</v>
      </c>
      <c r="F28" s="642" t="s">
        <v>867</v>
      </c>
      <c r="G28" s="642" t="s">
        <v>868</v>
      </c>
      <c r="H28" s="642" t="s">
        <v>869</v>
      </c>
      <c r="I28" s="642" t="s">
        <v>866</v>
      </c>
      <c r="J28" s="793">
        <v>39280</v>
      </c>
      <c r="K28" s="793">
        <v>39280</v>
      </c>
      <c r="L28" s="642" t="s">
        <v>870</v>
      </c>
      <c r="M28" s="642">
        <v>2461</v>
      </c>
      <c r="N28" s="642">
        <v>11074.5</v>
      </c>
      <c r="O28" s="642">
        <v>15820.714285714286</v>
      </c>
      <c r="P28" s="642">
        <v>0</v>
      </c>
      <c r="Q28" s="642">
        <v>31641.428571428572</v>
      </c>
      <c r="R28" s="642">
        <v>0</v>
      </c>
      <c r="S28" s="642">
        <v>0</v>
      </c>
      <c r="T28" s="642">
        <v>0</v>
      </c>
      <c r="U28" s="642">
        <v>0</v>
      </c>
      <c r="V28" s="642">
        <v>0</v>
      </c>
      <c r="W28" s="642">
        <v>0</v>
      </c>
      <c r="X28" s="642">
        <v>10</v>
      </c>
      <c r="Y28" s="642" t="s">
        <v>111</v>
      </c>
      <c r="Z28" s="644" t="s">
        <v>111</v>
      </c>
    </row>
    <row r="29" spans="1:26" s="596" customFormat="1" ht="25.5">
      <c r="A29" s="595"/>
      <c r="B29" s="794">
        <v>31003</v>
      </c>
      <c r="C29" s="794">
        <v>8730</v>
      </c>
      <c r="D29" s="643" t="s">
        <v>871</v>
      </c>
      <c r="E29" s="642" t="s">
        <v>872</v>
      </c>
      <c r="F29" s="642" t="s">
        <v>873</v>
      </c>
      <c r="G29" s="642" t="s">
        <v>868</v>
      </c>
      <c r="H29" s="642" t="s">
        <v>869</v>
      </c>
      <c r="I29" s="642" t="s">
        <v>872</v>
      </c>
      <c r="J29" s="793">
        <v>41459</v>
      </c>
      <c r="K29" s="793">
        <v>41459</v>
      </c>
      <c r="L29" s="642" t="s">
        <v>870</v>
      </c>
      <c r="M29" s="642">
        <v>7</v>
      </c>
      <c r="N29" s="642">
        <v>31.5</v>
      </c>
      <c r="O29" s="642">
        <v>45</v>
      </c>
      <c r="P29" s="642">
        <v>0</v>
      </c>
      <c r="Q29" s="642">
        <v>90</v>
      </c>
      <c r="R29" s="642">
        <v>0</v>
      </c>
      <c r="S29" s="642">
        <v>0</v>
      </c>
      <c r="T29" s="642">
        <v>0</v>
      </c>
      <c r="U29" s="642">
        <v>0</v>
      </c>
      <c r="V29" s="642">
        <v>0</v>
      </c>
      <c r="W29" s="642">
        <v>0</v>
      </c>
      <c r="X29" s="642">
        <v>10</v>
      </c>
      <c r="Y29" s="642" t="s">
        <v>111</v>
      </c>
      <c r="Z29" s="644" t="s">
        <v>111</v>
      </c>
    </row>
    <row r="30" spans="1:26" s="596" customFormat="1" ht="25.5">
      <c r="A30" s="595"/>
      <c r="B30" s="794">
        <v>31003</v>
      </c>
      <c r="C30" s="794">
        <v>8730</v>
      </c>
      <c r="D30" s="643" t="s">
        <v>874</v>
      </c>
      <c r="E30" s="642" t="s">
        <v>875</v>
      </c>
      <c r="F30" s="642" t="s">
        <v>876</v>
      </c>
      <c r="G30" s="642" t="s">
        <v>868</v>
      </c>
      <c r="H30" s="642" t="s">
        <v>869</v>
      </c>
      <c r="I30" s="642" t="s">
        <v>875</v>
      </c>
      <c r="J30" s="793">
        <v>41810</v>
      </c>
      <c r="K30" s="793">
        <v>41810</v>
      </c>
      <c r="L30" s="642" t="s">
        <v>870</v>
      </c>
      <c r="M30" s="642">
        <v>9.6999999999999993</v>
      </c>
      <c r="N30" s="642">
        <v>43.649999999999991</v>
      </c>
      <c r="O30" s="642">
        <v>62.357142857142847</v>
      </c>
      <c r="P30" s="642">
        <v>0</v>
      </c>
      <c r="Q30" s="642">
        <v>124.71428571428569</v>
      </c>
      <c r="R30" s="642">
        <v>0</v>
      </c>
      <c r="S30" s="642">
        <v>0</v>
      </c>
      <c r="T30" s="642">
        <v>0</v>
      </c>
      <c r="U30" s="642">
        <v>0</v>
      </c>
      <c r="V30" s="642">
        <v>0</v>
      </c>
      <c r="W30" s="642">
        <v>0</v>
      </c>
      <c r="X30" s="642">
        <v>10</v>
      </c>
      <c r="Y30" s="642" t="s">
        <v>111</v>
      </c>
      <c r="Z30" s="644" t="s">
        <v>111</v>
      </c>
    </row>
    <row r="31" spans="1:26" s="576" customFormat="1">
      <c r="A31" s="598" t="s">
        <v>279</v>
      </c>
      <c r="B31" s="599"/>
      <c r="C31" s="599"/>
      <c r="D31" s="599"/>
      <c r="E31" s="599"/>
      <c r="F31" s="599"/>
      <c r="G31" s="599"/>
      <c r="H31" s="599"/>
      <c r="I31" s="599"/>
      <c r="J31" s="599"/>
      <c r="K31" s="599"/>
      <c r="L31" s="600"/>
      <c r="M31" s="600">
        <f>SUM(M28:M30)</f>
        <v>2477.6999999999998</v>
      </c>
      <c r="N31" s="600">
        <f>SUM(N28:N30)</f>
        <v>11149.65</v>
      </c>
      <c r="O31" s="600">
        <f>SUM(O28:O30)</f>
        <v>15928.071428571429</v>
      </c>
      <c r="P31" s="600">
        <f>SUM(P28:P30)</f>
        <v>0</v>
      </c>
      <c r="Q31" s="600">
        <f>SUM(Q28:Q30)</f>
        <v>31856.142857142859</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0</v>
      </c>
      <c r="N32" s="600">
        <f>SUMIF($Z$28:$Z$30,"industrie",N28:N30)</f>
        <v>0</v>
      </c>
      <c r="O32" s="600">
        <f>SUMIF($Z$28:$Z$30,"industrie",O28:O30)</f>
        <v>0</v>
      </c>
      <c r="P32" s="600">
        <f>SUMIF($Z$28:$Z$30,"industrie",P28:P30)</f>
        <v>0</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0</v>
      </c>
      <c r="N33" s="600">
        <f ca="1">SUMIF($Z$28:AD30,"tertiair",N28:N30)</f>
        <v>0</v>
      </c>
      <c r="O33" s="600">
        <f ca="1">SUMIF($Z$28:AE30,"tertiair",O28:O30)</f>
        <v>0</v>
      </c>
      <c r="P33" s="600">
        <f ca="1">SUMIF($Z$28:AF30,"tertiair",P28:P30)</f>
        <v>0</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2477.6999999999998</v>
      </c>
      <c r="N34" s="605">
        <f>SUMIF($Z$28:$Z$30,"landbouw",N28:N30)</f>
        <v>11149.65</v>
      </c>
      <c r="O34" s="605">
        <f>SUMIF($Z$28:$Z$30,"landbouw",O28:O30)</f>
        <v>15928.071428571429</v>
      </c>
      <c r="P34" s="605">
        <f>SUMIF($Z$28:$Z$30,"landbouw",P28:P30)</f>
        <v>0</v>
      </c>
      <c r="Q34" s="605">
        <f>SUMIF($Z$28:$Z$30,"landbouw",Q28:Q30)</f>
        <v>31856.142857142859</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0.58823529411764708</v>
      </c>
      <c r="C47" s="625">
        <f>IF(ISERROR(N31/(O31+N31)),0,N31/(N31+O31))</f>
        <v>0.41176470588235292</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0</v>
      </c>
      <c r="C50" s="634">
        <f t="shared" si="2"/>
        <v>13117.235294117647</v>
      </c>
      <c r="D50" s="634">
        <f t="shared" si="2"/>
        <v>0</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0</v>
      </c>
      <c r="C51" s="637">
        <f t="shared" si="3"/>
        <v>18738.907563025212</v>
      </c>
      <c r="D51" s="637">
        <f t="shared" si="3"/>
        <v>0</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29014.074678993529</v>
      </c>
      <c r="C4" s="455">
        <f>huishoudens!C8</f>
        <v>0</v>
      </c>
      <c r="D4" s="455">
        <f>huishoudens!D8</f>
        <v>47746.048401068474</v>
      </c>
      <c r="E4" s="455">
        <f>huishoudens!E8</f>
        <v>17553.272245887983</v>
      </c>
      <c r="F4" s="455">
        <f>huishoudens!F8</f>
        <v>6265.588419070179</v>
      </c>
      <c r="G4" s="455">
        <f>huishoudens!G8</f>
        <v>0</v>
      </c>
      <c r="H4" s="455">
        <f>huishoudens!H8</f>
        <v>0</v>
      </c>
      <c r="I4" s="455">
        <f>huishoudens!I8</f>
        <v>0</v>
      </c>
      <c r="J4" s="455">
        <f>huishoudens!J8</f>
        <v>883.34137352792072</v>
      </c>
      <c r="K4" s="455">
        <f>huishoudens!K8</f>
        <v>0</v>
      </c>
      <c r="L4" s="455">
        <f>huishoudens!L8</f>
        <v>0</v>
      </c>
      <c r="M4" s="455">
        <f>huishoudens!M8</f>
        <v>0</v>
      </c>
      <c r="N4" s="455">
        <f>huishoudens!N8</f>
        <v>29625.131423408377</v>
      </c>
      <c r="O4" s="455">
        <f>huishoudens!O8</f>
        <v>743.98433227013697</v>
      </c>
      <c r="P4" s="456">
        <f>huishoudens!P8</f>
        <v>874.31862253785675</v>
      </c>
      <c r="Q4" s="457">
        <f>SUM(B4:P4)</f>
        <v>132705.75949676445</v>
      </c>
    </row>
    <row r="5" spans="1:17">
      <c r="A5" s="454" t="s">
        <v>155</v>
      </c>
      <c r="B5" s="455">
        <f ca="1">tertiair!B16</f>
        <v>20178.915517450936</v>
      </c>
      <c r="C5" s="455">
        <f ca="1">tertiair!C16</f>
        <v>0</v>
      </c>
      <c r="D5" s="455">
        <f ca="1">tertiair!D16</f>
        <v>47803.705949413496</v>
      </c>
      <c r="E5" s="455">
        <f>tertiair!E16</f>
        <v>107.14496501395534</v>
      </c>
      <c r="F5" s="455">
        <f ca="1">tertiair!F16</f>
        <v>4888.7319875276426</v>
      </c>
      <c r="G5" s="455">
        <f>tertiair!G16</f>
        <v>0</v>
      </c>
      <c r="H5" s="455">
        <f>tertiair!H16</f>
        <v>0</v>
      </c>
      <c r="I5" s="455">
        <f>tertiair!I16</f>
        <v>0</v>
      </c>
      <c r="J5" s="455">
        <f>tertiair!J16</f>
        <v>5.9234284979676359E-2</v>
      </c>
      <c r="K5" s="455">
        <f>tertiair!K16</f>
        <v>0</v>
      </c>
      <c r="L5" s="455">
        <f ca="1">tertiair!L16</f>
        <v>0</v>
      </c>
      <c r="M5" s="455">
        <f>tertiair!M16</f>
        <v>0</v>
      </c>
      <c r="N5" s="455">
        <f ca="1">tertiair!N16</f>
        <v>2155.1571949829799</v>
      </c>
      <c r="O5" s="455">
        <f>tertiair!O16</f>
        <v>39.178086126729234</v>
      </c>
      <c r="P5" s="456">
        <f>tertiair!P16</f>
        <v>105.07827661299004</v>
      </c>
      <c r="Q5" s="454">
        <f t="shared" ref="Q5:Q14" ca="1" si="0">SUM(B5:P5)</f>
        <v>75277.971211413707</v>
      </c>
    </row>
    <row r="6" spans="1:17">
      <c r="A6" s="454" t="s">
        <v>193</v>
      </c>
      <c r="B6" s="455">
        <f>'openbare verlichting'!B8</f>
        <v>799.678</v>
      </c>
      <c r="C6" s="455"/>
      <c r="D6" s="455"/>
      <c r="E6" s="455"/>
      <c r="F6" s="455"/>
      <c r="G6" s="455"/>
      <c r="H6" s="455"/>
      <c r="I6" s="455"/>
      <c r="J6" s="455"/>
      <c r="K6" s="455"/>
      <c r="L6" s="455"/>
      <c r="M6" s="455"/>
      <c r="N6" s="455"/>
      <c r="O6" s="455"/>
      <c r="P6" s="456"/>
      <c r="Q6" s="454">
        <f t="shared" si="0"/>
        <v>799.678</v>
      </c>
    </row>
    <row r="7" spans="1:17">
      <c r="A7" s="454" t="s">
        <v>111</v>
      </c>
      <c r="B7" s="455">
        <f>landbouw!B8</f>
        <v>4074.9894044079397</v>
      </c>
      <c r="C7" s="455">
        <f>landbouw!C8</f>
        <v>15928.071428571429</v>
      </c>
      <c r="D7" s="455">
        <f>landbouw!D8</f>
        <v>220.93351059305272</v>
      </c>
      <c r="E7" s="455">
        <f>landbouw!E8</f>
        <v>151.96881939379509</v>
      </c>
      <c r="F7" s="455">
        <f>landbouw!F8</f>
        <v>13220.840265787789</v>
      </c>
      <c r="G7" s="455">
        <f>landbouw!G8</f>
        <v>0</v>
      </c>
      <c r="H7" s="455">
        <f>landbouw!H8</f>
        <v>0</v>
      </c>
      <c r="I7" s="455">
        <f>landbouw!I8</f>
        <v>0</v>
      </c>
      <c r="J7" s="455">
        <f>landbouw!J8</f>
        <v>1069.7048365013441</v>
      </c>
      <c r="K7" s="455">
        <f>landbouw!K8</f>
        <v>0</v>
      </c>
      <c r="L7" s="455">
        <f>landbouw!L8</f>
        <v>0</v>
      </c>
      <c r="M7" s="455">
        <f>landbouw!M8</f>
        <v>0</v>
      </c>
      <c r="N7" s="455">
        <f>landbouw!N8</f>
        <v>0</v>
      </c>
      <c r="O7" s="455">
        <f>landbouw!O8</f>
        <v>0</v>
      </c>
      <c r="P7" s="456">
        <f>landbouw!P8</f>
        <v>0</v>
      </c>
      <c r="Q7" s="454">
        <f t="shared" si="0"/>
        <v>34666.508265255354</v>
      </c>
    </row>
    <row r="8" spans="1:17">
      <c r="A8" s="454" t="s">
        <v>626</v>
      </c>
      <c r="B8" s="455">
        <f>industrie!B18</f>
        <v>16907.642985362039</v>
      </c>
      <c r="C8" s="455">
        <f>industrie!C18</f>
        <v>0</v>
      </c>
      <c r="D8" s="455">
        <f>industrie!D18</f>
        <v>18179.002625590158</v>
      </c>
      <c r="E8" s="455">
        <f>industrie!E18</f>
        <v>51.640377366292945</v>
      </c>
      <c r="F8" s="455">
        <f>industrie!F18</f>
        <v>4747.9147702640557</v>
      </c>
      <c r="G8" s="455">
        <f>industrie!G18</f>
        <v>0</v>
      </c>
      <c r="H8" s="455">
        <f>industrie!H18</f>
        <v>0</v>
      </c>
      <c r="I8" s="455">
        <f>industrie!I18</f>
        <v>0</v>
      </c>
      <c r="J8" s="455">
        <f>industrie!J18</f>
        <v>3.2378478900940069</v>
      </c>
      <c r="K8" s="455">
        <f>industrie!K18</f>
        <v>0</v>
      </c>
      <c r="L8" s="455">
        <f>industrie!L18</f>
        <v>0</v>
      </c>
      <c r="M8" s="455">
        <f>industrie!M18</f>
        <v>0</v>
      </c>
      <c r="N8" s="455">
        <f>industrie!N18</f>
        <v>550.27981021348171</v>
      </c>
      <c r="O8" s="455">
        <f>industrie!O18</f>
        <v>0</v>
      </c>
      <c r="P8" s="456">
        <f>industrie!P18</f>
        <v>0</v>
      </c>
      <c r="Q8" s="454">
        <f t="shared" si="0"/>
        <v>40439.718416686119</v>
      </c>
    </row>
    <row r="9" spans="1:17" s="460" customFormat="1">
      <c r="A9" s="458" t="s">
        <v>552</v>
      </c>
      <c r="B9" s="459">
        <f>transport!B14</f>
        <v>168.26859923405439</v>
      </c>
      <c r="C9" s="459">
        <f>transport!C14</f>
        <v>0</v>
      </c>
      <c r="D9" s="459">
        <f>transport!D14</f>
        <v>653.12272293395074</v>
      </c>
      <c r="E9" s="459">
        <f>transport!E14</f>
        <v>406.25811982179556</v>
      </c>
      <c r="F9" s="459">
        <f>transport!F14</f>
        <v>0</v>
      </c>
      <c r="G9" s="459">
        <f>transport!G14</f>
        <v>211955.51444367904</v>
      </c>
      <c r="H9" s="459">
        <f>transport!H14</f>
        <v>42824.695182529329</v>
      </c>
      <c r="I9" s="459">
        <f>transport!I14</f>
        <v>0</v>
      </c>
      <c r="J9" s="459">
        <f>transport!J14</f>
        <v>0</v>
      </c>
      <c r="K9" s="459">
        <f>transport!K14</f>
        <v>0</v>
      </c>
      <c r="L9" s="459">
        <f>transport!L14</f>
        <v>0</v>
      </c>
      <c r="M9" s="459">
        <f>transport!M14</f>
        <v>14910.390182234491</v>
      </c>
      <c r="N9" s="459">
        <f>transport!N14</f>
        <v>0</v>
      </c>
      <c r="O9" s="459">
        <f>transport!O14</f>
        <v>0</v>
      </c>
      <c r="P9" s="459">
        <f>transport!P14</f>
        <v>0</v>
      </c>
      <c r="Q9" s="458">
        <f>SUM(B9:P9)</f>
        <v>270918.24925043265</v>
      </c>
    </row>
    <row r="10" spans="1:17">
      <c r="A10" s="454" t="s">
        <v>542</v>
      </c>
      <c r="B10" s="455">
        <f>transport!B54</f>
        <v>0</v>
      </c>
      <c r="C10" s="455">
        <f>transport!C54</f>
        <v>0</v>
      </c>
      <c r="D10" s="455">
        <f>transport!D54</f>
        <v>0</v>
      </c>
      <c r="E10" s="455">
        <f>transport!E54</f>
        <v>0</v>
      </c>
      <c r="F10" s="455">
        <f>transport!F54</f>
        <v>0</v>
      </c>
      <c r="G10" s="455">
        <f>transport!G54</f>
        <v>951.44620185243241</v>
      </c>
      <c r="H10" s="455">
        <f>transport!H54</f>
        <v>0</v>
      </c>
      <c r="I10" s="455">
        <f>transport!I54</f>
        <v>0</v>
      </c>
      <c r="J10" s="455">
        <f>transport!J54</f>
        <v>0</v>
      </c>
      <c r="K10" s="455">
        <f>transport!K54</f>
        <v>0</v>
      </c>
      <c r="L10" s="455">
        <f>transport!L54</f>
        <v>0</v>
      </c>
      <c r="M10" s="455">
        <f>transport!M54</f>
        <v>51.630889958416354</v>
      </c>
      <c r="N10" s="455">
        <f>transport!N54</f>
        <v>0</v>
      </c>
      <c r="O10" s="455">
        <f>transport!O54</f>
        <v>0</v>
      </c>
      <c r="P10" s="456">
        <f>transport!P54</f>
        <v>0</v>
      </c>
      <c r="Q10" s="454">
        <f t="shared" si="0"/>
        <v>1003.0770918108487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862.06711187268593</v>
      </c>
      <c r="C14" s="462"/>
      <c r="D14" s="462">
        <f>'SEAP template'!E25</f>
        <v>1171.1172332784502</v>
      </c>
      <c r="E14" s="462"/>
      <c r="F14" s="462"/>
      <c r="G14" s="462"/>
      <c r="H14" s="462"/>
      <c r="I14" s="462"/>
      <c r="J14" s="462"/>
      <c r="K14" s="462"/>
      <c r="L14" s="462"/>
      <c r="M14" s="462"/>
      <c r="N14" s="462"/>
      <c r="O14" s="462"/>
      <c r="P14" s="463"/>
      <c r="Q14" s="454">
        <f t="shared" si="0"/>
        <v>2033.1843451511361</v>
      </c>
    </row>
    <row r="15" spans="1:17" s="466" customFormat="1">
      <c r="A15" s="464" t="s">
        <v>546</v>
      </c>
      <c r="B15" s="465">
        <f ca="1">SUM(B4:B14)</f>
        <v>72005.636297321194</v>
      </c>
      <c r="C15" s="465">
        <f t="shared" ref="C15:Q15" ca="1" si="1">SUM(C4:C14)</f>
        <v>15928.071428571429</v>
      </c>
      <c r="D15" s="465">
        <f t="shared" ca="1" si="1"/>
        <v>115773.93044287758</v>
      </c>
      <c r="E15" s="465">
        <f t="shared" si="1"/>
        <v>18270.284527483822</v>
      </c>
      <c r="F15" s="465">
        <f t="shared" ca="1" si="1"/>
        <v>29123.075442649664</v>
      </c>
      <c r="G15" s="465">
        <f t="shared" si="1"/>
        <v>212906.96064553148</v>
      </c>
      <c r="H15" s="465">
        <f t="shared" si="1"/>
        <v>42824.695182529329</v>
      </c>
      <c r="I15" s="465">
        <f t="shared" si="1"/>
        <v>0</v>
      </c>
      <c r="J15" s="465">
        <f t="shared" si="1"/>
        <v>1956.3432922043382</v>
      </c>
      <c r="K15" s="465">
        <f t="shared" si="1"/>
        <v>0</v>
      </c>
      <c r="L15" s="465">
        <f t="shared" ca="1" si="1"/>
        <v>0</v>
      </c>
      <c r="M15" s="465">
        <f t="shared" si="1"/>
        <v>14962.021072192907</v>
      </c>
      <c r="N15" s="465">
        <f t="shared" ca="1" si="1"/>
        <v>32330.568428604838</v>
      </c>
      <c r="O15" s="465">
        <f t="shared" si="1"/>
        <v>783.1624183968662</v>
      </c>
      <c r="P15" s="465">
        <f t="shared" si="1"/>
        <v>979.39689915084682</v>
      </c>
      <c r="Q15" s="465">
        <f t="shared" ca="1" si="1"/>
        <v>557844.14607751439</v>
      </c>
    </row>
    <row r="17" spans="1:17">
      <c r="A17" s="467" t="s">
        <v>547</v>
      </c>
      <c r="B17" s="784">
        <f ca="1">huishoudens!B10</f>
        <v>0.1598909496043866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4639.0879523168642</v>
      </c>
      <c r="C22" s="455">
        <f t="shared" ref="C22:C32" ca="1" si="3">C4*$C$17</f>
        <v>0</v>
      </c>
      <c r="D22" s="455">
        <f t="shared" ref="D22:D32" si="4">D4*$D$17</f>
        <v>9644.7017770158327</v>
      </c>
      <c r="E22" s="455">
        <f t="shared" ref="E22:E32" si="5">E4*$E$17</f>
        <v>3984.5927998165726</v>
      </c>
      <c r="F22" s="455">
        <f t="shared" ref="F22:F32" si="6">F4*$F$17</f>
        <v>1672.9121078917378</v>
      </c>
      <c r="G22" s="455">
        <f t="shared" ref="G22:G32" si="7">G4*$G$17</f>
        <v>0</v>
      </c>
      <c r="H22" s="455">
        <f t="shared" ref="H22:H32" si="8">H4*$H$17</f>
        <v>0</v>
      </c>
      <c r="I22" s="455">
        <f t="shared" ref="I22:I32" si="9">I4*$I$17</f>
        <v>0</v>
      </c>
      <c r="J22" s="455">
        <f t="shared" ref="J22:J32" si="10">J4*$J$17</f>
        <v>312.70284622888391</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20253.99748326989</v>
      </c>
    </row>
    <row r="23" spans="1:17">
      <c r="A23" s="454" t="s">
        <v>155</v>
      </c>
      <c r="B23" s="455">
        <f t="shared" ca="1" si="2"/>
        <v>3226.4259640719224</v>
      </c>
      <c r="C23" s="455">
        <f t="shared" ca="1" si="3"/>
        <v>0</v>
      </c>
      <c r="D23" s="455">
        <f t="shared" ca="1" si="4"/>
        <v>9656.3486017815267</v>
      </c>
      <c r="E23" s="455">
        <f t="shared" si="5"/>
        <v>24.321907058167863</v>
      </c>
      <c r="F23" s="455">
        <f t="shared" ca="1" si="6"/>
        <v>1305.2914406698806</v>
      </c>
      <c r="G23" s="455">
        <f t="shared" si="7"/>
        <v>0</v>
      </c>
      <c r="H23" s="455">
        <f t="shared" si="8"/>
        <v>0</v>
      </c>
      <c r="I23" s="455">
        <f t="shared" si="9"/>
        <v>0</v>
      </c>
      <c r="J23" s="455">
        <f t="shared" si="10"/>
        <v>2.096893688280543E-2</v>
      </c>
      <c r="K23" s="455">
        <f t="shared" si="11"/>
        <v>0</v>
      </c>
      <c r="L23" s="455">
        <f t="shared" ca="1" si="12"/>
        <v>0</v>
      </c>
      <c r="M23" s="455">
        <f t="shared" si="13"/>
        <v>0</v>
      </c>
      <c r="N23" s="455">
        <f t="shared" ca="1" si="14"/>
        <v>0</v>
      </c>
      <c r="O23" s="455">
        <f t="shared" si="15"/>
        <v>0</v>
      </c>
      <c r="P23" s="456">
        <f t="shared" si="16"/>
        <v>0</v>
      </c>
      <c r="Q23" s="454">
        <f t="shared" ref="Q23:Q31" ca="1" si="17">SUM(B23:P23)</f>
        <v>14212.408882518379</v>
      </c>
    </row>
    <row r="24" spans="1:17">
      <c r="A24" s="454" t="s">
        <v>193</v>
      </c>
      <c r="B24" s="455">
        <f t="shared" ca="1" si="2"/>
        <v>127.86127479773667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127.86127479773667</v>
      </c>
    </row>
    <row r="25" spans="1:17">
      <c r="A25" s="454" t="s">
        <v>111</v>
      </c>
      <c r="B25" s="455">
        <f t="shared" ca="1" si="2"/>
        <v>651.55392549859926</v>
      </c>
      <c r="C25" s="455">
        <f t="shared" ca="1" si="3"/>
        <v>0</v>
      </c>
      <c r="D25" s="455">
        <f t="shared" si="4"/>
        <v>44.628569139796653</v>
      </c>
      <c r="E25" s="455">
        <f t="shared" si="5"/>
        <v>34.496922002391486</v>
      </c>
      <c r="F25" s="455">
        <f t="shared" si="6"/>
        <v>3529.9643509653397</v>
      </c>
      <c r="G25" s="455">
        <f t="shared" si="7"/>
        <v>0</v>
      </c>
      <c r="H25" s="455">
        <f t="shared" si="8"/>
        <v>0</v>
      </c>
      <c r="I25" s="455">
        <f t="shared" si="9"/>
        <v>0</v>
      </c>
      <c r="J25" s="455">
        <f t="shared" si="10"/>
        <v>378.67551212147578</v>
      </c>
      <c r="K25" s="455">
        <f t="shared" si="11"/>
        <v>0</v>
      </c>
      <c r="L25" s="455">
        <f t="shared" si="12"/>
        <v>0</v>
      </c>
      <c r="M25" s="455">
        <f t="shared" si="13"/>
        <v>0</v>
      </c>
      <c r="N25" s="455">
        <f t="shared" si="14"/>
        <v>0</v>
      </c>
      <c r="O25" s="455">
        <f t="shared" si="15"/>
        <v>0</v>
      </c>
      <c r="P25" s="456">
        <f t="shared" si="16"/>
        <v>0</v>
      </c>
      <c r="Q25" s="454">
        <f t="shared" ca="1" si="17"/>
        <v>4639.3192797276024</v>
      </c>
    </row>
    <row r="26" spans="1:17">
      <c r="A26" s="454" t="s">
        <v>626</v>
      </c>
      <c r="B26" s="455">
        <f t="shared" ca="1" si="2"/>
        <v>2703.3790925014823</v>
      </c>
      <c r="C26" s="455">
        <f t="shared" ca="1" si="3"/>
        <v>0</v>
      </c>
      <c r="D26" s="455">
        <f t="shared" si="4"/>
        <v>3672.1585303692123</v>
      </c>
      <c r="E26" s="455">
        <f t="shared" si="5"/>
        <v>11.7223656621485</v>
      </c>
      <c r="F26" s="455">
        <f t="shared" si="6"/>
        <v>1267.693243660503</v>
      </c>
      <c r="G26" s="455">
        <f t="shared" si="7"/>
        <v>0</v>
      </c>
      <c r="H26" s="455">
        <f t="shared" si="8"/>
        <v>0</v>
      </c>
      <c r="I26" s="455">
        <f t="shared" si="9"/>
        <v>0</v>
      </c>
      <c r="J26" s="455">
        <f t="shared" si="10"/>
        <v>1.1461981530932783</v>
      </c>
      <c r="K26" s="455">
        <f t="shared" si="11"/>
        <v>0</v>
      </c>
      <c r="L26" s="455">
        <f t="shared" si="12"/>
        <v>0</v>
      </c>
      <c r="M26" s="455">
        <f t="shared" si="13"/>
        <v>0</v>
      </c>
      <c r="N26" s="455">
        <f t="shared" si="14"/>
        <v>0</v>
      </c>
      <c r="O26" s="455">
        <f t="shared" si="15"/>
        <v>0</v>
      </c>
      <c r="P26" s="456">
        <f t="shared" si="16"/>
        <v>0</v>
      </c>
      <c r="Q26" s="454">
        <f t="shared" ca="1" si="17"/>
        <v>7656.0994303464386</v>
      </c>
    </row>
    <row r="27" spans="1:17" s="460" customFormat="1">
      <c r="A27" s="458" t="s">
        <v>552</v>
      </c>
      <c r="B27" s="778">
        <f t="shared" ca="1" si="2"/>
        <v>26.904626120132917</v>
      </c>
      <c r="C27" s="459">
        <f t="shared" ca="1" si="3"/>
        <v>0</v>
      </c>
      <c r="D27" s="459">
        <f t="shared" si="4"/>
        <v>131.93079003265805</v>
      </c>
      <c r="E27" s="459">
        <f t="shared" si="5"/>
        <v>92.220593199547594</v>
      </c>
      <c r="F27" s="459">
        <f t="shared" si="6"/>
        <v>0</v>
      </c>
      <c r="G27" s="459">
        <f t="shared" si="7"/>
        <v>56592.122356462307</v>
      </c>
      <c r="H27" s="459">
        <f t="shared" si="8"/>
        <v>10663.349100449803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67506.527466264452</v>
      </c>
    </row>
    <row r="28" spans="1:17" ht="16.5" customHeight="1">
      <c r="A28" s="454" t="s">
        <v>542</v>
      </c>
      <c r="B28" s="455">
        <f t="shared" ca="1" si="2"/>
        <v>0</v>
      </c>
      <c r="C28" s="455">
        <f t="shared" ca="1" si="3"/>
        <v>0</v>
      </c>
      <c r="D28" s="455">
        <f t="shared" si="4"/>
        <v>0</v>
      </c>
      <c r="E28" s="455">
        <f t="shared" si="5"/>
        <v>0</v>
      </c>
      <c r="F28" s="455">
        <f t="shared" si="6"/>
        <v>0</v>
      </c>
      <c r="G28" s="455">
        <f t="shared" si="7"/>
        <v>254.03613589459945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254.03613589459945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137.83672914003472</v>
      </c>
      <c r="C32" s="455">
        <f t="shared" ca="1" si="3"/>
        <v>0</v>
      </c>
      <c r="D32" s="455">
        <f t="shared" si="4"/>
        <v>236.56568112224696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374.40241026228171</v>
      </c>
    </row>
    <row r="33" spans="1:17" s="466" customFormat="1">
      <c r="A33" s="464" t="s">
        <v>546</v>
      </c>
      <c r="B33" s="465">
        <f ca="1">SUM(B22:B32)</f>
        <v>11513.049564446774</v>
      </c>
      <c r="C33" s="465">
        <f t="shared" ref="C33:Q33" ca="1" si="19">SUM(C22:C32)</f>
        <v>0</v>
      </c>
      <c r="D33" s="465">
        <f t="shared" ca="1" si="19"/>
        <v>23386.33394946127</v>
      </c>
      <c r="E33" s="465">
        <f t="shared" si="19"/>
        <v>4147.3545877388278</v>
      </c>
      <c r="F33" s="465">
        <f t="shared" ca="1" si="19"/>
        <v>7775.8611431874606</v>
      </c>
      <c r="G33" s="465">
        <f t="shared" si="19"/>
        <v>56846.15849235691</v>
      </c>
      <c r="H33" s="465">
        <f t="shared" si="19"/>
        <v>10663.349100449803</v>
      </c>
      <c r="I33" s="465">
        <f t="shared" si="19"/>
        <v>0</v>
      </c>
      <c r="J33" s="465">
        <f t="shared" si="19"/>
        <v>692.54552544033572</v>
      </c>
      <c r="K33" s="465">
        <f t="shared" si="19"/>
        <v>0</v>
      </c>
      <c r="L33" s="465">
        <f t="shared" ca="1" si="19"/>
        <v>0</v>
      </c>
      <c r="M33" s="465">
        <f t="shared" si="19"/>
        <v>0</v>
      </c>
      <c r="N33" s="465">
        <f t="shared" ca="1" si="19"/>
        <v>0</v>
      </c>
      <c r="O33" s="465">
        <f t="shared" si="19"/>
        <v>0</v>
      </c>
      <c r="P33" s="465">
        <f t="shared" si="19"/>
        <v>0</v>
      </c>
      <c r="Q33" s="465">
        <f t="shared" ca="1" si="19"/>
        <v>115024.65236308138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8760.7393993719888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11149.65</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13117.235294117647</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19910.38939937199</v>
      </c>
      <c r="C10" s="1028">
        <f>SUM(C4:C9)</f>
        <v>0</v>
      </c>
      <c r="D10" s="1028">
        <f t="shared" ref="D10:H10" si="0">SUM(D8:D9)</f>
        <v>0</v>
      </c>
      <c r="E10" s="1028">
        <f t="shared" si="0"/>
        <v>0</v>
      </c>
      <c r="F10" s="1028">
        <f t="shared" si="0"/>
        <v>0</v>
      </c>
      <c r="G10" s="1028">
        <f t="shared" si="0"/>
        <v>0</v>
      </c>
      <c r="H10" s="1028">
        <f t="shared" si="0"/>
        <v>0</v>
      </c>
      <c r="I10" s="1028">
        <f>SUM(I8:I9)</f>
        <v>0</v>
      </c>
      <c r="J10" s="1028">
        <f>SUM(J8:J9)</f>
        <v>13117.235294117647</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0.1598909496043866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15928.071428571429</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18738.907563025212</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15928.071428571429</v>
      </c>
      <c r="C20" s="1028">
        <f>SUM(C17:C19)</f>
        <v>0</v>
      </c>
      <c r="D20" s="1028">
        <f t="shared" ref="D20:H20" si="2">SUM(D17:D19)</f>
        <v>0</v>
      </c>
      <c r="E20" s="1028">
        <f t="shared" si="2"/>
        <v>0</v>
      </c>
      <c r="F20" s="1028">
        <f t="shared" si="2"/>
        <v>0</v>
      </c>
      <c r="G20" s="1028">
        <f t="shared" si="2"/>
        <v>0</v>
      </c>
      <c r="H20" s="1028">
        <f t="shared" si="2"/>
        <v>0</v>
      </c>
      <c r="I20" s="1028">
        <f>SUM(I17:I19)</f>
        <v>0</v>
      </c>
      <c r="J20" s="1028">
        <f>SUM(J17:J19)</f>
        <v>18738.907563025212</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0.1598909496043866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2</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38.133333333333333</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2020-06-20T15:21:23Z</dcterms:modified>
</cp:coreProperties>
</file>