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8" i="15"/>
  <c r="C20" i="15" s="1"/>
  <c r="D40" i="14" s="1"/>
  <c r="C10" i="13"/>
  <c r="C12" i="13" s="1"/>
  <c r="D41" i="14" s="1"/>
  <c r="D46" i="14" s="1"/>
  <c r="D61" i="14" s="1"/>
  <c r="D63" i="14" s="1"/>
  <c r="C29" i="20"/>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<sst xmlns="http://schemas.openxmlformats.org/spreadsheetml/2006/main" count="2374" uniqueCount="871">
  <si>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</si>
  <si>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</si>
  <si>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</si>
  <si>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</si>
  <si>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</si>
  <si>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</si>
  <si>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</si>
  <si>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</si>
  <si>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</si>
  <si>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</si>
  <si>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</si>
  <si>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</si>
  <si>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</si>
  <si>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</si>
  <si>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</si>
  <si>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</si>
  <si>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</si>
  <si>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</si>
  <si>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</si>
  <si>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</si>
  <si>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</si>
  <si>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</si>
  <si>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</si>
  <si>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</si>
  <si>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</si>
  <si>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</si>
  <si>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</si>
  <si>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</si>
  <si>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</si>
  <si>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</si>
  <si>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</si>
  <si>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</si>
  <si>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</si>
  <si>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</si>
  <si>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</si>
  <si>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</si>
  <si>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</si>
  <si>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</si>
  <si>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</si>
  <si>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</si>
  <si>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</si>
  <si>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</si>
  <si>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</si>
  <si>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</si>
  <si>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</si>
  <si>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</si>
  <si>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</si>
  <si>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</si>
  <si>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</si>
  <si>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</si>
  <si>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</si>
  <si>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</si>
  <si>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</si>
  <si>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</si>
  <si>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</si>
  <si>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</si>
  <si>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</si>
  <si>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</si>
  <si>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</si>
  <si>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</si>
  <si>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</si>
  <si>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</si>
  <si>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</si>
  <si>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</si>
  <si>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</si>
  <si>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</si>
  <si>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</si>
  <si>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</si>
  <si>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</si>
  <si>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</si>
  <si>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</si>
  <si>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</si>
  <si>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</si>
  <si>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</si>
  <si>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</si>
  <si>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</si>
  <si>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</si>
  <si>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</si>
  <si>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</si>
  <si>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</si>
  <si>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</si>
  <si>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</si>
  <si>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</si>
  <si>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</si>
  <si>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</si>
  <si>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</si>
  <si>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</si>
  <si>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</si>
  <si>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</si>
  <si>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</si>
  <si>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</si>
  <si>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</si>
  <si>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</si>
  <si>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</si>
  <si>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</si>
  <si>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</si>
  <si>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</si>
  <si>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</si>
  <si>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</si>
  <si>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</si>
  <si>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</si>
  <si>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</si>
  <si>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</si>
  <si>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</si>
  <si>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</si>
  <si>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</si>
  <si>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</si>
  <si>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</si>
  <si>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</si>
  <si>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</si>
  <si>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</si>
  <si>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</si>
  <si>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</si>
  <si>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</si>
  <si>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</si>
  <si>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</si>
  <si>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</si>
  <si>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</si>
  <si>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</si>
  <si>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</si>
  <si>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</si>
  <si>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</si>
  <si>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</si>
  <si>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</si>
  <si>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</si>
  <si>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</si>
  <si>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</si>
  <si>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</si>
  <si>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</si>
  <si>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</si>
  <si>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</si>
  <si>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</si>
  <si>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</si>
  <si>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</si>
  <si>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</si>
  <si>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</si>
  <si>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</si>
  <si>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</si>
  <si>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</si>
  <si>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</si>
  <si>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</si>
  <si>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</si>
  <si>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</si>
  <si>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</si>
  <si>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</si>
  <si>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</si>
  <si>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</si>
  <si>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</si>
  <si>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</si>
  <si>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</si>
  <si>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</si>
  <si>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</si>
  <si>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</si>
  <si>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</si>
  <si>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</si>
  <si>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</si>
  <si>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</si>
  <si>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</si>
  <si>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</si>
  <si>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</si>
  <si>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</si>
  <si>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</si>
  <si>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</si>
  <si>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</si>
  <si>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</si>
  <si>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</si>
  <si>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</si>
  <si>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</si>
  <si>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</si>
  <si>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</si>
  <si>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</si>
  <si>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</si>
  <si>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</si>
  <si>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</si>
  <si>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</si>
  <si>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</si>
  <si>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</si>
  <si>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</si>
  <si>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</si>
  <si>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</si>
  <si>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</si>
  <si>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</si>
  <si>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</si>
  <si>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</si>
  <si>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</si>
  <si>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</si>
  <si>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</si>
  <si>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</si>
  <si>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</si>
  <si>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</si>
  <si>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</si>
  <si>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</si>
  <si>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</si>
  <si>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</si>
  <si>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</si>
  <si>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</si>
  <si>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</si>
  <si>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</si>
  <si>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</si>
  <si>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</si>
  <si>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</si>
  <si>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</si>
  <si>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</si>
  <si>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</si>
  <si>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</si>
  <si>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</si>
  <si>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</si>
  <si>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</si>
  <si>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</si>
  <si>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</si>
  <si>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</si>
  <si>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</si>
  <si>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</si>
  <si>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</si>
  <si>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</si>
  <si>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</si>
  <si>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</si>
  <si>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</si>
  <si>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</si>
  <si>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</si>
  <si>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</si>
  <si>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</si>
  <si>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</si>
  <si>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</si>
  <si>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</si>
  <si>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</si>
  <si>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</si>
  <si>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</si>
  <si>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</si>
  <si>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</si>
  <si>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</si>
  <si>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</si>
  <si>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</si>
  <si>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</si>
  <si>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</si>
  <si>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</si>
  <si>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</si>
  <si>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</si>
  <si>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</si>
  <si>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</si>
  <si>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</si>
  <si>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</si>
  <si>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</si>
  <si>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</si>
  <si>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</si>
  <si>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</si>
  <si>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</si>
  <si>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</si>
  <si>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</si>
  <si>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</si>
  <si>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</si>
  <si>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</si>
  <si>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</si>
  <si>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</si>
  <si>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</si>
  <si>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</si>
  <si>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</si>
  <si>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</si>
  <si>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</si>
  <si>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</si>
  <si>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</si>
  <si>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</si>
  <si>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</si>
  <si>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</si>
  <si>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</si>
  <si>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</si>
  <si>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</si>
  <si>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</si>
  <si>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</si>
  <si>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</si>
  <si>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</si>
  <si>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</si>
  <si>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</si>
  <si>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</si>
  <si>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</si>
  <si>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</si>
  <si>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</si>
  <si>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</si>
  <si>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</si>
  <si>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</si>
  <si>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</si>
  <si>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</si>
  <si>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</si>
  <si>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</si>
  <si>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</si>
  <si>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</si>
  <si>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</si>
  <si>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</si>
  <si>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</si>
  <si>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</si>
  <si>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</si>
  <si>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</si>
  <si>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</si>
  <si>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</si>
  <si>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</si>
  <si>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</si>
  <si>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</si>
  <si>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</si>
  <si>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</si>
  <si>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</si>
  <si>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</si>
  <si>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</si>
  <si>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</si>
  <si>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</si>
  <si>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</si>
  <si>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</si>
  <si>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</si>
  <si>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</si>
  <si>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</si>
  <si>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</si>
  <si>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</si>
  <si>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</si>
  <si>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</si>
  <si>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</si>
  <si>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</si>
  <si>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</si>
  <si>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</si>
  <si>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</si>
  <si>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</si>
  <si>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</si>
  <si>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</si>
  <si>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</si>
  <si>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</si>
  <si>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</si>
  <si>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</si>
  <si>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</si>
  <si>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</si>
  <si>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</si>
  <si>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</si>
  <si>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</si>
  <si>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</si>
  <si>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</si>
  <si>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</si>
  <si>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</si>
  <si>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</si>
  <si>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</si>
  <si>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</si>
  <si>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</si>
  <si>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</si>
  <si>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</si>
  <si>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</si>
  <si>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</si>
  <si>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</si>
  <si>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</si>
  <si>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</si>
  <si>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</si>
  <si>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</si>
  <si>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</si>
  <si>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</si>
  <si>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</si>
  <si>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</si>
  <si>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</si>
  <si>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</si>
  <si>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</si>
  <si>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</si>
  <si>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</si>
  <si>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</si>
  <si>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</si>
  <si>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</si>
  <si>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</si>
  <si>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</si>
  <si>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</si>
  <si>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</si>
  <si>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</si>
  <si>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</si>
  <si>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</si>
  <si>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</si>
  <si>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</si>
  <si>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</si>
  <si>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</si>
  <si>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</si>
  <si>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</si>
  <si>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</si>
  <si>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</si>
  <si>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</si>
  <si>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</si>
  <si>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</si>
  <si>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</si>
  <si>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</si>
  <si>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</si>
  <si>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</si>
  <si>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</si>
  <si>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</si>
  <si>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</si>
  <si>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</si>
  <si>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</si>
  <si>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</si>
  <si>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</si>
  <si>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</si>
  <si>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</si>
  <si>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</si>
  <si>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</si>
  <si>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</si>
  <si>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</si>
  <si>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</si>
  <si>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</si>
  <si>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</si>
  <si>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</si>
  <si>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</si>
  <si>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</si>
  <si>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</si>
  <si>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</si>
  <si>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</si>
  <si>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</si>
  <si>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</si>
  <si>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</si>
  <si>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</si>
  <si>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</si>
  <si>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</si>
  <si>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</si>
  <si>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</si>
  <si>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</si>
  <si>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</si>
  <si>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</si>
  <si>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</si>
  <si>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</si>
  <si>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</si>
  <si>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</si>
  <si>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</si>
  <si>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</si>
  <si>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</si>
  <si>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</si>
  <si>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</si>
  <si>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</si>
  <si>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</si>
  <si>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</si>
  <si>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</si>
  <si>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</si>
  <si>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</si>
  <si>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</si>
  <si>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</si>
  <si>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</si>
  <si>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</si>
  <si>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</si>
  <si>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</si>
  <si>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</si>
  <si>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</si>
  <si>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</si>
  <si>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</si>
  <si>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</si>
  <si>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</si>
  <si>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</si>
  <si>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</si>
  <si>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</si>
  <si>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</si>
  <si>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</si>
  <si>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</si>
  <si>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</si>
  <si>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</si>
  <si>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</si>
  <si>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</si>
  <si>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</si>
  <si>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</si>
  <si>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</si>
  <si>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</si>
  <si>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</si>
  <si>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</si>
  <si>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</si>
  <si>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</si>
  <si>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</si>
  <si>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</si>
  <si>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</si>
  <si>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</si>
  <si>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</si>
  <si>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</si>
  <si>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</si>
  <si>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</si>
  <si>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</si>
  <si>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</si>
  <si>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</si>
  <si>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</si>
  <si>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</si>
  <si>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</si>
  <si>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</si>
  <si>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</si>
  <si>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</si>
  <si>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</si>
  <si>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</si>
  <si>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</si>
  <si>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</si>
  <si>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</si>
  <si>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</si>
  <si>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</si>
  <si>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</si>
  <si>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</si>
  <si>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</si>
  <si>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</si>
  <si>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</si>
  <si>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</si>
  <si>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</si>
  <si>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</si>
  <si>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</si>
  <si>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</si>
  <si>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</si>
  <si>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</si>
  <si>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</si>
  <si>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</si>
  <si>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</si>
  <si>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</si>
  <si>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</si>
  <si>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</si>
  <si>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</si>
  <si>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</si>
  <si>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</si>
  <si>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</si>
  <si>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</si>
  <si>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</si>
  <si>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</si>
  <si>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</si>
  <si>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</si>
  <si>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</si>
  <si>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</si>
  <si>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</si>
  <si>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</si>
  <si>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</si>
  <si>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</si>
  <si>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</si>
  <si>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</si>
  <si>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</si>
  <si>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</si>
  <si>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</si>
  <si>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</si>
  <si>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</si>
  <si>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</si>
  <si>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</si>
  <si>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</si>
  <si>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</si>
  <si>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</si>
  <si>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</si>
  <si>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</si>
  <si>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</si>
  <si>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</si>
  <si>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</si>
  <si>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</si>
  <si>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</si>
  <si>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</si>
  <si>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</si>
  <si>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</si>
  <si>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</si>
  <si>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</si>
  <si>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</si>
  <si>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</si>
  <si>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</si>
  <si>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</si>
  <si>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</si>
  <si>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</si>
  <si>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</si>
  <si>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</si>
  <si>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</si>
  <si>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</si>
  <si>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</si>
  <si>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</si>
  <si>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</si>
  <si>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</si>
  <si>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</si>
  <si>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</si>
  <si>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</si>
  <si>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</si>
  <si>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</si>
  <si>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</si>
  <si>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</si>
  <si>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</si>
  <si>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</si>
  <si>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</si>
  <si>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</si>
  <si>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</si>
  <si>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</si>
  <si>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</si>
  <si>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</si>
  <si>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</si>
  <si>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</si>
  <si>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</si>
  <si>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</si>
  <si>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</si>
  <si>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</si>
  <si>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</si>
  <si>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</si>
  <si>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</si>
  <si>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</si>
  <si>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</si>
  <si>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</si>
  <si>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</si>
  <si>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</si>
  <si>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</si>
  <si>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</si>
  <si>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</si>
  <si>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</si>
  <si>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</si>
  <si>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</si>
  <si>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</si>
  <si>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</si>
  <si>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</si>
  <si>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</si>
  <si>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</si>
  <si>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</si>
  <si>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</si>
  <si>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</si>
  <si>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</si>
  <si>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</si>
  <si>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</si>
  <si>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</si>
  <si>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</si>
  <si>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</si>
  <si>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</si>
  <si>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</si>
  <si>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</si>
  <si>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</si>
  <si>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</si>
  <si>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</si>
  <si>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</si>
  <si>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</si>
  <si>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</si>
  <si>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</si>
  <si>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</si>
  <si>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</si>
  <si>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</si>
  <si>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</si>
  <si>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</si>
  <si>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</si>
  <si>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</si>
  <si>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</si>
  <si>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</si>
  <si>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</si>
  <si>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</si>
  <si>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</si>
  <si>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</si>
  <si>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</si>
  <si>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</si>
  <si>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</si>
  <si>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</si>
  <si>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</si>
  <si>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</si>
  <si>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</si>
  <si>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</si>
  <si>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</si>
  <si>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</si>
  <si>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</si>
  <si>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</si>
  <si>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</si>
  <si>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</si>
  <si>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</si>
  <si>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</si>
  <si>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</si>
  <si>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</si>
  <si>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</si>
  <si>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</si>
  <si>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</si>
  <si>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</si>
  <si>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</si>
  <si>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</si>
  <si>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</si>
  <si>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</si>
  <si>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</si>
  <si>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</si>
  <si>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</si>
  <si>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</si>
  <si>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</si>
  <si>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</si>
  <si>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</si>
  <si>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</si>
  <si>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</si>
  <si>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</si>
  <si>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</si>
  <si>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</si>
  <si>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</si>
  <si>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</si>
  <si>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</si>
  <si>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</si>
  <si>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</si>
  <si>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</si>
  <si>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</si>
  <si>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</si>
  <si>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</si>
  <si>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</si>
  <si>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</si>
  <si>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</si>
  <si>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</si>
  <si>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</si>
  <si>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</si>
  <si>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</si>
  <si>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</si>
  <si>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</si>
  <si>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</si>
  <si>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</si>
  <si>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</si>
  <si>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</si>
  <si>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</si>
  <si>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</si>
  <si>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</si>
  <si>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</si>
  <si>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</si>
  <si>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</si>
  <si>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</si>
  <si>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</si>
  <si>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</si>
  <si>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</si>
  <si>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</si>
  <si>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</si>
  <si>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</si>
  <si>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</si>
  <si>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</si>
  <si>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</si>
  <si>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</si>
  <si>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</si>
  <si>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</si>
  <si>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</si>
  <si>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</si>
  <si>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</si>
  <si>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</si>
  <si>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</si>
  <si>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</si>
  <si>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</si>
  <si>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</si>
  <si>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</si>
  <si>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</si>
  <si>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</si>
  <si>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</si>
  <si>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</si>
  <si>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</si>
  <si>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</si>
  <si>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</si>
  <si>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</si>
  <si>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</si>
  <si>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</si>
  <si>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</si>
  <si>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</si>
  <si>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</si>
  <si>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</si>
  <si>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</si>
  <si>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</si>
  <si>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</si>
  <si>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</si>
  <si>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</si>
  <si>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</si>
  <si>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</si>
  <si>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</si>
  <si>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</si>
  <si>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</si>
  <si>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</si>
  <si>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</si>
  <si>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</si>
  <si>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</si>
  <si>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</si>
  <si>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</si>
  <si>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</si>
  <si>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</si>
  <si>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</si>
  <si>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</si>
  <si>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</si>
  <si>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</si>
  <si>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</si>
  <si>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</si>
  <si>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</si>
  <si>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</si>
  <si>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</si>
  <si>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</si>
  <si>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</si>
  <si>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</si>
  <si>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</si>
  <si>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</si>
  <si>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</si>
  <si>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</si>
  <si>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</si>
  <si>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</si>
  <si>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</si>
  <si>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</si>
  <si>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</si>
  <si>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</si>
  <si>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</si>
  <si>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</si>
  <si>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</si>
  <si>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</si>
  <si>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</si>
  <si>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</si>
  <si>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</si>
  <si>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</si>
  <si>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</si>
  <si>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</si>
  <si>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</si>
  <si>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</si>
  <si>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</si>
  <si>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</si>
  <si>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</si>
  <si>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</si>
  <si>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</si>
  <si>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</si>
  <si>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</si>
  <si>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</si>
  <si>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</si>
  <si>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</si>
  <si>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</si>
  <si>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</si>
  <si>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</si>
  <si>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</si>
  <si>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</si>
  <si>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</si>
  <si>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</si>
  <si>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</si>
  <si>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</si>
  <si>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</si>
  <si>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</si>
  <si>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</si>
  <si>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</si>
  <si>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</si>
  <si>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</si>
  <si>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</si>
  <si>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</si>
  <si>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</si>
  <si>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</si>
  <si>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</si>
  <si>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</si>
  <si>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</si>
  <si>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</si>
  <si>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</si>
  <si>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</si>
  <si>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</si>
  <si>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</si>
  <si>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</si>
  <si>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</si>
  <si>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</si>
  <si>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</si>
  <si>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</si>
  <si>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</si>
  <si>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</si>
  <si>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</si>
  <si>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</si>
  <si>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</si>
  <si>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</si>
  <si>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</si>
  <si>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</si>
  <si>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</si>
  <si>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</si>
  <si>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</si>
  <si>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</si>
  <si>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</si>
  <si>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</si>
  <si>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</si>
  <si>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</si>
  <si>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</si>
  <si>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</si>
  <si>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</si>
  <si>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</si>
  <si>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</si>
  <si>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</si>
  <si>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</si>
  <si>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</si>
  <si>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</si>
  <si>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</si>
  <si>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</si>
  <si>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</si>
  <si>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</si>
  <si>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</si>
  <si>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</si>
  <si>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</si>
  <si>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</si>
  <si>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</si>
  <si>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</si>
  <si>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</si>
  <si>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</si>
  <si>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</si>
  <si>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</si>
  <si>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</si>
  <si>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24133</t>
  </si>
  <si>
    <t>LINTER</t>
  </si>
  <si>
    <t>referentietaak LNE (2017); Jaarverslag De Lijn</t>
  </si>
  <si>
    <t>Prepidec</t>
  </si>
  <si>
    <t>WKK-0846</t>
  </si>
  <si>
    <t>Brandstofcel</t>
  </si>
  <si>
    <t>brandstofcel</t>
  </si>
  <si>
    <t>Helen-Bosstraat 65 / a</t>
  </si>
  <si>
    <t>P.B.E.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</si>
</sst>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70723.206144427022</c:v>
                </c:pt>
                <c:pt idx="1">
                  <c:v>7380.5491318269669</c:v>
                </c:pt>
                <c:pt idx="2">
                  <c:v>506.44</c:v>
                </c:pt>
                <c:pt idx="3">
                  <c:v>6649.4911429770646</c:v>
                </c:pt>
                <c:pt idx="4">
                  <c:v>1107.4111165509571</c:v>
                </c:pt>
                <c:pt idx="5">
                  <c:v>45301.075045685247</c:v>
                </c:pt>
                <c:pt idx="6">
                  <c:v>807.89557609800875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70723.206144427022</c:v>
                </c:pt>
                <c:pt idx="1">
                  <c:v>7380.5491318269669</c:v>
                </c:pt>
                <c:pt idx="2">
                  <c:v>506.44</c:v>
                </c:pt>
                <c:pt idx="3">
                  <c:v>6649.4911429770646</c:v>
                </c:pt>
                <c:pt idx="4">
                  <c:v>1107.4111165509571</c:v>
                </c:pt>
                <c:pt idx="5">
                  <c:v>45301.075045685247</c:v>
                </c:pt>
                <c:pt idx="6">
                  <c:v>807.89557609800875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14538.160752200751</c:v>
                </c:pt>
                <c:pt idx="1">
                  <c:v>1437.9736151093618</c:v>
                </c:pt>
                <c:pt idx="2">
                  <c:v>94.826792440485875</c:v>
                </c:pt>
                <c:pt idx="3">
                  <c:v>1680.9057815711421</c:v>
                </c:pt>
                <c:pt idx="4">
                  <c:v>218.28987697453888</c:v>
                </c:pt>
                <c:pt idx="5">
                  <c:v>11239.726435093477</c:v>
                </c:pt>
                <c:pt idx="6">
                  <c:v>204.6050817368091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14538.160752200751</c:v>
                </c:pt>
                <c:pt idx="1">
                  <c:v>1437.9736151093618</c:v>
                </c:pt>
                <c:pt idx="2">
                  <c:v>94.826792440485875</c:v>
                </c:pt>
                <c:pt idx="3">
                  <c:v>1680.9057815711421</c:v>
                </c:pt>
                <c:pt idx="4">
                  <c:v>218.28987697453888</c:v>
                </c:pt>
                <c:pt idx="5">
                  <c:v>11239.726435093477</c:v>
                </c:pt>
                <c:pt idx="6">
                  <c:v>204.6050817368091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24133</v>
      </c>
      <c r="B6" s="392"/>
      <c r="C6" s="393"/>
    </row>
    <row r="7" spans="1:7" s="390" customFormat="1" ht="15.75" customHeight="1">
      <c r="A7" s="394" t="str">
        <f>txtMunicipality</f>
        <v>LINTER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0.1872419090918685</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0.1872419090918685</v>
      </c>
      <c r="C29" s="505">
        <f ca="1">'EF ele_warmte'!B22</f>
        <v>0.22444444444444442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2984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2601.16</v>
      </c>
      <c r="C14" s="332"/>
      <c r="D14" s="332"/>
      <c r="E14" s="332"/>
      <c r="F14" s="332"/>
    </row>
    <row r="15" spans="1:6">
      <c r="A15" s="1310" t="s">
        <v>183</v>
      </c>
      <c r="B15" s="1311">
        <v>394</v>
      </c>
      <c r="C15" s="332"/>
      <c r="D15" s="332"/>
      <c r="E15" s="332"/>
      <c r="F15" s="332"/>
    </row>
    <row r="16" spans="1:6">
      <c r="A16" s="1310" t="s">
        <v>6</v>
      </c>
      <c r="B16" s="1311">
        <v>138</v>
      </c>
      <c r="C16" s="332"/>
      <c r="D16" s="332"/>
      <c r="E16" s="332"/>
      <c r="F16" s="332"/>
    </row>
    <row r="17" spans="1:6">
      <c r="A17" s="1310" t="s">
        <v>7</v>
      </c>
      <c r="B17" s="1311">
        <v>694</v>
      </c>
      <c r="C17" s="332"/>
      <c r="D17" s="332"/>
      <c r="E17" s="332"/>
      <c r="F17" s="332"/>
    </row>
    <row r="18" spans="1:6">
      <c r="A18" s="1310" t="s">
        <v>8</v>
      </c>
      <c r="B18" s="1311">
        <v>698</v>
      </c>
      <c r="C18" s="332"/>
      <c r="D18" s="332"/>
      <c r="E18" s="332"/>
      <c r="F18" s="332"/>
    </row>
    <row r="19" spans="1:6">
      <c r="A19" s="1310" t="s">
        <v>9</v>
      </c>
      <c r="B19" s="1311">
        <v>718</v>
      </c>
      <c r="C19" s="332"/>
      <c r="D19" s="332"/>
      <c r="E19" s="332"/>
      <c r="F19" s="332"/>
    </row>
    <row r="20" spans="1:6">
      <c r="A20" s="1310" t="s">
        <v>10</v>
      </c>
      <c r="B20" s="1311">
        <v>610</v>
      </c>
      <c r="C20" s="332"/>
      <c r="D20" s="332"/>
      <c r="E20" s="332"/>
      <c r="F20" s="332"/>
    </row>
    <row r="21" spans="1:6">
      <c r="A21" s="1310" t="s">
        <v>11</v>
      </c>
      <c r="B21" s="1311">
        <v>2722</v>
      </c>
      <c r="C21" s="332"/>
      <c r="D21" s="332"/>
      <c r="E21" s="332"/>
      <c r="F21" s="332"/>
    </row>
    <row r="22" spans="1:6">
      <c r="A22" s="1310" t="s">
        <v>12</v>
      </c>
      <c r="B22" s="1311">
        <v>6084</v>
      </c>
      <c r="C22" s="332"/>
      <c r="D22" s="332"/>
      <c r="E22" s="332"/>
      <c r="F22" s="332"/>
    </row>
    <row r="23" spans="1:6">
      <c r="A23" s="1310" t="s">
        <v>13</v>
      </c>
      <c r="B23" s="1311">
        <v>234</v>
      </c>
      <c r="C23" s="332"/>
      <c r="D23" s="332"/>
      <c r="E23" s="332"/>
      <c r="F23" s="332"/>
    </row>
    <row r="24" spans="1:6">
      <c r="A24" s="1310" t="s">
        <v>14</v>
      </c>
      <c r="B24" s="1311">
        <v>8</v>
      </c>
      <c r="C24" s="332"/>
      <c r="D24" s="332"/>
      <c r="E24" s="332"/>
      <c r="F24" s="332"/>
    </row>
    <row r="25" spans="1:6">
      <c r="A25" s="1310" t="s">
        <v>15</v>
      </c>
      <c r="B25" s="1311">
        <v>883</v>
      </c>
      <c r="C25" s="332"/>
      <c r="D25" s="332"/>
      <c r="E25" s="332"/>
      <c r="F25" s="332"/>
    </row>
    <row r="26" spans="1:6">
      <c r="A26" s="1310" t="s">
        <v>16</v>
      </c>
      <c r="B26" s="1311">
        <v>263</v>
      </c>
      <c r="C26" s="332"/>
      <c r="D26" s="332"/>
      <c r="E26" s="332"/>
      <c r="F26" s="332"/>
    </row>
    <row r="27" spans="1:6">
      <c r="A27" s="1310" t="s">
        <v>17</v>
      </c>
      <c r="B27" s="1311">
        <v>0</v>
      </c>
      <c r="C27" s="332"/>
      <c r="D27" s="332"/>
      <c r="E27" s="332"/>
      <c r="F27" s="332"/>
    </row>
    <row r="28" spans="1:6" s="43" customFormat="1">
      <c r="A28" s="1312" t="s">
        <v>18</v>
      </c>
      <c r="B28" s="1313">
        <v>102608</v>
      </c>
      <c r="C28" s="338"/>
      <c r="D28" s="338"/>
      <c r="E28" s="338"/>
      <c r="F28" s="338"/>
    </row>
    <row r="29" spans="1:6">
      <c r="A29" s="1312" t="s">
        <v>699</v>
      </c>
      <c r="B29" s="1313">
        <v>51</v>
      </c>
      <c r="C29" s="338"/>
      <c r="D29" s="338"/>
      <c r="E29" s="338"/>
      <c r="F29" s="338"/>
    </row>
    <row r="30" spans="1:6">
      <c r="A30" s="1305" t="s">
        <v>700</v>
      </c>
      <c r="B30" s="1314">
        <v>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3127.7759999999998</v>
      </c>
    </row>
    <row r="39" spans="1:6">
      <c r="A39" s="1310" t="s">
        <v>29</v>
      </c>
      <c r="B39" s="1310" t="s">
        <v>30</v>
      </c>
      <c r="C39" s="1311">
        <v>1028</v>
      </c>
      <c r="D39" s="1311">
        <v>17476264.105</v>
      </c>
      <c r="E39" s="1311">
        <v>2905</v>
      </c>
      <c r="F39" s="1311">
        <v>10042608.352</v>
      </c>
    </row>
    <row r="40" spans="1:6">
      <c r="A40" s="1310" t="s">
        <v>29</v>
      </c>
      <c r="B40" s="1310" t="s">
        <v>28</v>
      </c>
      <c r="C40" s="1311">
        <v>0</v>
      </c>
      <c r="D40" s="1311">
        <v>0</v>
      </c>
      <c r="E40" s="1311">
        <v>0</v>
      </c>
      <c r="F40" s="1311">
        <v>0</v>
      </c>
    </row>
    <row r="41" spans="1:6">
      <c r="A41" s="1310" t="s">
        <v>31</v>
      </c>
      <c r="B41" s="1310" t="s">
        <v>32</v>
      </c>
      <c r="C41" s="1311">
        <v>14</v>
      </c>
      <c r="D41" s="1311">
        <v>286700.51400000002</v>
      </c>
      <c r="E41" s="1311">
        <v>43</v>
      </c>
      <c r="F41" s="1311">
        <v>172254.878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9</v>
      </c>
      <c r="F44" s="1311">
        <v>71401.410999999993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108942.477</v>
      </c>
      <c r="E48" s="1311">
        <v>1</v>
      </c>
      <c r="F48" s="1311">
        <v>2897.9560000000001</v>
      </c>
    </row>
    <row r="49" spans="1:6">
      <c r="A49" s="1310" t="s">
        <v>31</v>
      </c>
      <c r="B49" s="1310" t="s">
        <v>39</v>
      </c>
      <c r="C49" s="1311">
        <v>0</v>
      </c>
      <c r="D49" s="1311">
        <v>0</v>
      </c>
      <c r="E49" s="1311">
        <v>0</v>
      </c>
      <c r="F49" s="1311">
        <v>0</v>
      </c>
    </row>
    <row r="50" spans="1:6">
      <c r="A50" s="1310" t="s">
        <v>31</v>
      </c>
      <c r="B50" s="1310" t="s">
        <v>40</v>
      </c>
      <c r="C50" s="1311">
        <v>0</v>
      </c>
      <c r="D50" s="1311">
        <v>0</v>
      </c>
      <c r="E50" s="1311">
        <v>6</v>
      </c>
      <c r="F50" s="1311">
        <v>365689.777</v>
      </c>
    </row>
    <row r="51" spans="1:6">
      <c r="A51" s="1310" t="s">
        <v>41</v>
      </c>
      <c r="B51" s="1310" t="s">
        <v>42</v>
      </c>
      <c r="C51" s="1311">
        <v>7</v>
      </c>
      <c r="D51" s="1311">
        <v>191863.95</v>
      </c>
      <c r="E51" s="1311">
        <v>76</v>
      </c>
      <c r="F51" s="1311">
        <v>1425170.594</v>
      </c>
    </row>
    <row r="52" spans="1:6">
      <c r="A52" s="1310" t="s">
        <v>41</v>
      </c>
      <c r="B52" s="1310" t="s">
        <v>28</v>
      </c>
      <c r="C52" s="1311">
        <v>0</v>
      </c>
      <c r="D52" s="1311">
        <v>0</v>
      </c>
      <c r="E52" s="1311">
        <v>0</v>
      </c>
      <c r="F52" s="1311">
        <v>0</v>
      </c>
    </row>
    <row r="53" spans="1:6">
      <c r="A53" s="1310" t="s">
        <v>43</v>
      </c>
      <c r="B53" s="1310" t="s">
        <v>44</v>
      </c>
      <c r="C53" s="1311">
        <v>18</v>
      </c>
      <c r="D53" s="1311">
        <v>411075.42300000001</v>
      </c>
      <c r="E53" s="1311">
        <v>48</v>
      </c>
      <c r="F53" s="1311">
        <v>226822.25200000001</v>
      </c>
    </row>
    <row r="54" spans="1:6">
      <c r="A54" s="1310" t="s">
        <v>45</v>
      </c>
      <c r="B54" s="1310" t="s">
        <v>46</v>
      </c>
      <c r="C54" s="1311">
        <v>0</v>
      </c>
      <c r="D54" s="1311">
        <v>0</v>
      </c>
      <c r="E54" s="1311">
        <v>1</v>
      </c>
      <c r="F54" s="1311">
        <v>506440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v>
      </c>
      <c r="D57" s="1311">
        <v>254322.33300000001</v>
      </c>
      <c r="E57" s="1311">
        <v>42</v>
      </c>
      <c r="F57" s="1311">
        <v>306790.50699999998</v>
      </c>
    </row>
    <row r="58" spans="1:6">
      <c r="A58" s="1310" t="s">
        <v>48</v>
      </c>
      <c r="B58" s="1310" t="s">
        <v>50</v>
      </c>
      <c r="C58" s="1311">
        <v>13</v>
      </c>
      <c r="D58" s="1311">
        <v>925262.25899999996</v>
      </c>
      <c r="E58" s="1311">
        <v>24</v>
      </c>
      <c r="F58" s="1311">
        <v>326393.67800000001</v>
      </c>
    </row>
    <row r="59" spans="1:6">
      <c r="A59" s="1310" t="s">
        <v>48</v>
      </c>
      <c r="B59" s="1310" t="s">
        <v>51</v>
      </c>
      <c r="C59" s="1311">
        <v>24</v>
      </c>
      <c r="D59" s="1311">
        <v>599733.67599999998</v>
      </c>
      <c r="E59" s="1311">
        <v>70</v>
      </c>
      <c r="F59" s="1311">
        <v>1117406.273</v>
      </c>
    </row>
    <row r="60" spans="1:6">
      <c r="A60" s="1310" t="s">
        <v>48</v>
      </c>
      <c r="B60" s="1310" t="s">
        <v>52</v>
      </c>
      <c r="C60" s="1311">
        <v>17</v>
      </c>
      <c r="D60" s="1311">
        <v>777597.80900000001</v>
      </c>
      <c r="E60" s="1311">
        <v>43</v>
      </c>
      <c r="F60" s="1311">
        <v>674684.35100000002</v>
      </c>
    </row>
    <row r="61" spans="1:6">
      <c r="A61" s="1310" t="s">
        <v>48</v>
      </c>
      <c r="B61" s="1310" t="s">
        <v>53</v>
      </c>
      <c r="C61" s="1311">
        <v>32</v>
      </c>
      <c r="D61" s="1311">
        <v>1045043.9840000001</v>
      </c>
      <c r="E61" s="1311">
        <v>86</v>
      </c>
      <c r="F61" s="1311">
        <v>979884.01699999999</v>
      </c>
    </row>
    <row r="62" spans="1:6">
      <c r="A62" s="1310" t="s">
        <v>48</v>
      </c>
      <c r="B62" s="1310" t="s">
        <v>54</v>
      </c>
      <c r="C62" s="1311">
        <v>0</v>
      </c>
      <c r="D62" s="1311">
        <v>0</v>
      </c>
      <c r="E62" s="1311">
        <v>5</v>
      </c>
      <c r="F62" s="1311">
        <v>41212.476000000002</v>
      </c>
    </row>
    <row r="63" spans="1:6">
      <c r="A63" s="1310" t="s">
        <v>48</v>
      </c>
      <c r="B63" s="1310" t="s">
        <v>28</v>
      </c>
      <c r="C63" s="1311">
        <v>2</v>
      </c>
      <c r="D63" s="1311">
        <v>35131.832999999999</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112990.901</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31610743</v>
      </c>
      <c r="E73" s="453"/>
      <c r="F73" s="332"/>
    </row>
    <row r="74" spans="1:6">
      <c r="A74" s="1310" t="s">
        <v>63</v>
      </c>
      <c r="B74" s="1310" t="s">
        <v>648</v>
      </c>
      <c r="C74" s="1324" t="s">
        <v>650</v>
      </c>
      <c r="D74" s="1325">
        <v>3049152.6944316807</v>
      </c>
      <c r="E74" s="453"/>
      <c r="F74" s="332"/>
    </row>
    <row r="75" spans="1:6">
      <c r="A75" s="1310" t="s">
        <v>64</v>
      </c>
      <c r="B75" s="1310" t="s">
        <v>647</v>
      </c>
      <c r="C75" s="1324" t="s">
        <v>651</v>
      </c>
      <c r="D75" s="1325">
        <v>16898168</v>
      </c>
      <c r="E75" s="453"/>
      <c r="F75" s="332"/>
    </row>
    <row r="76" spans="1:6">
      <c r="A76" s="1310" t="s">
        <v>64</v>
      </c>
      <c r="B76" s="1310" t="s">
        <v>648</v>
      </c>
      <c r="C76" s="1324" t="s">
        <v>652</v>
      </c>
      <c r="D76" s="1325">
        <v>499542.69443168049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224090.611136639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2530.4505612819312</v>
      </c>
      <c r="C91" s="332"/>
      <c r="D91" s="332"/>
      <c r="E91" s="332"/>
      <c r="F91" s="332"/>
    </row>
    <row r="92" spans="1:6">
      <c r="A92" s="1305" t="s">
        <v>68</v>
      </c>
      <c r="B92" s="1306">
        <v>346.20357248782824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195</v>
      </c>
      <c r="C97" s="332"/>
      <c r="D97" s="332"/>
      <c r="E97" s="332"/>
      <c r="F97" s="332"/>
    </row>
    <row r="98" spans="1:6">
      <c r="A98" s="1310" t="s">
        <v>71</v>
      </c>
      <c r="B98" s="1311">
        <v>1</v>
      </c>
      <c r="C98" s="332"/>
      <c r="D98" s="332"/>
      <c r="E98" s="332"/>
      <c r="F98" s="332"/>
    </row>
    <row r="99" spans="1:6">
      <c r="A99" s="1310" t="s">
        <v>72</v>
      </c>
      <c r="B99" s="1311">
        <v>54</v>
      </c>
      <c r="C99" s="332"/>
      <c r="D99" s="332"/>
      <c r="E99" s="332"/>
      <c r="F99" s="332"/>
    </row>
    <row r="100" spans="1:6">
      <c r="A100" s="1310" t="s">
        <v>73</v>
      </c>
      <c r="B100" s="1311">
        <v>96</v>
      </c>
      <c r="C100" s="332"/>
      <c r="D100" s="332"/>
      <c r="E100" s="332"/>
      <c r="F100" s="332"/>
    </row>
    <row r="101" spans="1:6">
      <c r="A101" s="1310" t="s">
        <v>74</v>
      </c>
      <c r="B101" s="1311">
        <v>41</v>
      </c>
      <c r="C101" s="332"/>
      <c r="D101" s="332"/>
      <c r="E101" s="332"/>
      <c r="F101" s="332"/>
    </row>
    <row r="102" spans="1:6">
      <c r="A102" s="1310" t="s">
        <v>75</v>
      </c>
      <c r="B102" s="1311">
        <v>24</v>
      </c>
      <c r="C102" s="332"/>
      <c r="D102" s="332"/>
      <c r="E102" s="332"/>
      <c r="F102" s="332"/>
    </row>
    <row r="103" spans="1:6">
      <c r="A103" s="1310" t="s">
        <v>76</v>
      </c>
      <c r="B103" s="1311">
        <v>69</v>
      </c>
      <c r="C103" s="332"/>
      <c r="D103" s="332"/>
      <c r="E103" s="332"/>
      <c r="F103" s="332"/>
    </row>
    <row r="104" spans="1:6">
      <c r="A104" s="1310" t="s">
        <v>77</v>
      </c>
      <c r="B104" s="1311">
        <v>2161</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19</v>
      </c>
      <c r="C123" s="1311">
        <v>13</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59</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18831.375492036826</v>
      </c>
      <c r="C3" s="43" t="s">
        <v>169</v>
      </c>
      <c r="D3" s="43"/>
      <c r="E3" s="154"/>
      <c r="F3" s="43"/>
      <c r="G3" s="43"/>
      <c r="H3" s="43"/>
      <c r="I3" s="43"/>
      <c r="J3" s="43"/>
      <c r="K3" s="96"/>
    </row>
    <row r="4" spans="1:11">
      <c r="A4" s="360" t="s">
        <v>170</v>
      </c>
      <c r="B4" s="49">
        <f>IF(ISERROR('SEAP template'!B78+'SEAP template'!C78),0,'SEAP template'!B78+'SEAP template'!C78)</f>
        <v>2885.1541337697595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1.9077777777777776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0.1872419090918685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2.7327627627627624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12.175675675675675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506.44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506.44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0.1872419090918685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94.826792440485875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10042.608351999999</v>
      </c>
      <c r="C5" s="17">
        <f>IF(ISERROR('Eigen informatie GS &amp; warmtenet'!B59),0,'Eigen informatie GS &amp; warmtenet'!B59)</f>
        <v>0</v>
      </c>
      <c r="D5" s="30">
        <f>(SUM(HH_hh_gas_kWh,HH_rest_gas_kWh)/1000)*0.903</f>
        <v>15781.066486815002</v>
      </c>
      <c r="E5" s="17">
        <f>B46*B57</f>
        <v>5202.4325199347304</v>
      </c>
      <c r="F5" s="17">
        <f>B51*B62</f>
        <v>29270.522793226566</v>
      </c>
      <c r="G5" s="18"/>
      <c r="H5" s="17"/>
      <c r="I5" s="17"/>
      <c r="J5" s="17">
        <f>B50*B61+C50*C61</f>
        <v>0</v>
      </c>
      <c r="K5" s="17"/>
      <c r="L5" s="17"/>
      <c r="M5" s="17"/>
      <c r="N5" s="17">
        <f>B48*B59+C48*C59</f>
        <v>7403.6758239999363</v>
      </c>
      <c r="O5" s="17">
        <f>B69*B70*B71</f>
        <v>144.82895001525333</v>
      </c>
      <c r="P5" s="17">
        <f>B77*B78*B79/1000-B77*B78*B79/1000/B80</f>
        <v>347.62065715360575</v>
      </c>
    </row>
    <row r="6" spans="1:16">
      <c r="A6" s="16" t="s">
        <v>612</v>
      </c>
      <c r="B6" s="786">
        <f>kWh_PV_kleiner_dan_10kW</f>
        <v>2530.4505612819312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12573.05891328193</v>
      </c>
      <c r="C8" s="21">
        <f>C5</f>
        <v>0</v>
      </c>
      <c r="D8" s="21">
        <f>D5</f>
        <v>15781.066486815002</v>
      </c>
      <c r="E8" s="21">
        <f>E5</f>
        <v>5202.4325199347304</v>
      </c>
      <c r="F8" s="21">
        <f>F5</f>
        <v>29270.522793226566</v>
      </c>
      <c r="G8" s="21"/>
      <c r="H8" s="21"/>
      <c r="I8" s="21"/>
      <c r="J8" s="21">
        <f>J5</f>
        <v>0</v>
      </c>
      <c r="K8" s="21"/>
      <c r="L8" s="21">
        <f>L5</f>
        <v>0</v>
      </c>
      <c r="M8" s="21">
        <f>M5</f>
        <v>0</v>
      </c>
      <c r="N8" s="21">
        <f>N5</f>
        <v>7403.6758239999363</v>
      </c>
      <c r="O8" s="21">
        <f>O5</f>
        <v>144.82895001525333</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0.1872419090918685</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2354.2035540474421</v>
      </c>
      <c r="C12" s="23">
        <f ca="1">C10*C8</f>
        <v>0</v>
      </c>
      <c r="D12" s="23">
        <f>D8*D10</f>
        <v>3187.7754303366305</v>
      </c>
      <c r="E12" s="23">
        <f>E10*E8</f>
        <v>1180.9521820251839</v>
      </c>
      <c r="F12" s="23">
        <f>F10*F8</f>
        <v>7815.2295857914933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195</v>
      </c>
      <c r="C18" s="166" t="s">
        <v>110</v>
      </c>
      <c r="D18" s="228"/>
      <c r="E18" s="15"/>
    </row>
    <row r="19" spans="1:7">
      <c r="A19" s="171" t="s">
        <v>71</v>
      </c>
      <c r="B19" s="37">
        <f>aantalw2001_ander</f>
        <v>1</v>
      </c>
      <c r="C19" s="166" t="s">
        <v>110</v>
      </c>
      <c r="D19" s="229"/>
      <c r="E19" s="15"/>
    </row>
    <row r="20" spans="1:7">
      <c r="A20" s="171" t="s">
        <v>72</v>
      </c>
      <c r="B20" s="37">
        <f>aantalw2001_propaan</f>
        <v>54</v>
      </c>
      <c r="C20" s="167">
        <f>IF(ISERROR(B20/SUM($B$20,$B$21,$B$22)*100),0,B20/SUM($B$20,$B$21,$B$22)*100)</f>
        <v>28.272251308900525</v>
      </c>
      <c r="D20" s="229"/>
      <c r="E20" s="15"/>
    </row>
    <row r="21" spans="1:7">
      <c r="A21" s="171" t="s">
        <v>73</v>
      </c>
      <c r="B21" s="37">
        <f>aantalw2001_elektriciteit</f>
        <v>96</v>
      </c>
      <c r="C21" s="167">
        <f>IF(ISERROR(B21/SUM($B$20,$B$21,$B$22)*100),0,B21/SUM($B$20,$B$21,$B$22)*100)</f>
        <v>50.261780104712038</v>
      </c>
      <c r="D21" s="229"/>
      <c r="E21" s="15"/>
    </row>
    <row r="22" spans="1:7">
      <c r="A22" s="171" t="s">
        <v>74</v>
      </c>
      <c r="B22" s="37">
        <f>aantalw2001_hout</f>
        <v>41</v>
      </c>
      <c r="C22" s="167">
        <f>IF(ISERROR(B22/SUM($B$20,$B$21,$B$22)*100),0,B22/SUM($B$20,$B$21,$B$22)*100)</f>
        <v>21.465968586387437</v>
      </c>
      <c r="D22" s="229"/>
      <c r="E22" s="15"/>
    </row>
    <row r="23" spans="1:7">
      <c r="A23" s="171" t="s">
        <v>75</v>
      </c>
      <c r="B23" s="37">
        <f>aantalw2001_niet_gespec</f>
        <v>24</v>
      </c>
      <c r="C23" s="166" t="s">
        <v>110</v>
      </c>
      <c r="D23" s="228"/>
      <c r="E23" s="15"/>
    </row>
    <row r="24" spans="1:7">
      <c r="A24" s="171" t="s">
        <v>76</v>
      </c>
      <c r="B24" s="37">
        <f>aantalw2001_steenkool</f>
        <v>69</v>
      </c>
      <c r="C24" s="166" t="s">
        <v>110</v>
      </c>
      <c r="D24" s="229"/>
      <c r="E24" s="15"/>
    </row>
    <row r="25" spans="1:7">
      <c r="A25" s="171" t="s">
        <v>77</v>
      </c>
      <c r="B25" s="37">
        <f>aantalw2001_stookolie</f>
        <v>2161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2984</v>
      </c>
      <c r="C28" s="36"/>
      <c r="D28" s="228"/>
    </row>
    <row r="29" spans="1:7" s="15" customFormat="1">
      <c r="A29" s="230" t="s">
        <v>839</v>
      </c>
      <c r="B29" s="37">
        <f>SUM(HH_hh_gas_aantal,HH_rest_gas_aantal)</f>
        <v>1028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1028</v>
      </c>
      <c r="C32" s="167">
        <f>IF(ISERROR(B32/SUM($B$32,$B$34,$B$35,$B$36,$B$38,$B$39)*100),0,B32/SUM($B$32,$B$34,$B$35,$B$36,$B$38,$B$39)*100)</f>
        <v>34.835648932565235</v>
      </c>
      <c r="D32" s="233"/>
      <c r="G32" s="15"/>
    </row>
    <row r="33" spans="1:7">
      <c r="A33" s="171" t="s">
        <v>71</v>
      </c>
      <c r="B33" s="34" t="s">
        <v>110</v>
      </c>
      <c r="C33" s="167"/>
      <c r="D33" s="233"/>
      <c r="G33" s="15"/>
    </row>
    <row r="34" spans="1:7">
      <c r="A34" s="171" t="s">
        <v>72</v>
      </c>
      <c r="B34" s="33">
        <f>IF((($B$28-$B$32-$B$39-$B$77-$B$38)*C20/100)&lt;0,0,($B$28-$B$32-$B$39-$B$77-$B$38)*C20/100)</f>
        <v>144.66910994764402</v>
      </c>
      <c r="C34" s="167">
        <f>IF(ISERROR(B34/SUM($B$32,$B$34,$B$35,$B$36,$B$38,$B$39)*100),0,B34/SUM($B$32,$B$34,$B$35,$B$36,$B$38,$B$39)*100)</f>
        <v>4.9023758030377511</v>
      </c>
      <c r="D34" s="233"/>
      <c r="G34" s="15"/>
    </row>
    <row r="35" spans="1:7">
      <c r="A35" s="171" t="s">
        <v>73</v>
      </c>
      <c r="B35" s="33">
        <f>IF((($B$28-$B$32-$B$39-$B$77-$B$38)*C21/100)&lt;0,0,($B$28-$B$32-$B$39-$B$77-$B$38)*C21/100)</f>
        <v>257.18952879581155</v>
      </c>
      <c r="C35" s="167">
        <f>IF(ISERROR(B35/SUM($B$32,$B$34,$B$35,$B$36,$B$38,$B$39)*100),0,B35/SUM($B$32,$B$34,$B$35,$B$36,$B$38,$B$39)*100)</f>
        <v>8.715334760955999</v>
      </c>
      <c r="D35" s="233"/>
      <c r="G35" s="15"/>
    </row>
    <row r="36" spans="1:7">
      <c r="A36" s="171" t="s">
        <v>74</v>
      </c>
      <c r="B36" s="33">
        <f>IF((($B$28-$B$32-$B$39-$B$77-$B$38)*C22/100)&lt;0,0,($B$28-$B$32-$B$39-$B$77-$B$38)*C22/100)</f>
        <v>109.84136125654452</v>
      </c>
      <c r="C36" s="167">
        <f>IF(ISERROR(B36/SUM($B$32,$B$34,$B$35,$B$36,$B$38,$B$39)*100),0,B36/SUM($B$32,$B$34,$B$35,$B$36,$B$38,$B$39)*100)</f>
        <v>3.7221742208249577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1411.3</v>
      </c>
      <c r="C39" s="167">
        <f>IF(ISERROR(B39/SUM($B$32,$B$34,$B$35,$B$36,$B$38,$B$39)*100),0,B39/SUM($B$32,$B$34,$B$35,$B$36,$B$38,$B$39)*100)</f>
        <v>47.824466282616065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1028</v>
      </c>
      <c r="C44" s="34" t="s">
        <v>110</v>
      </c>
      <c r="D44" s="174"/>
    </row>
    <row r="45" spans="1:7">
      <c r="A45" s="171" t="s">
        <v>71</v>
      </c>
      <c r="B45" s="33" t="str">
        <f t="shared" si="0"/>
        <v>-</v>
      </c>
      <c r="C45" s="34" t="s">
        <v>110</v>
      </c>
      <c r="D45" s="174"/>
    </row>
    <row r="46" spans="1:7">
      <c r="A46" s="171" t="s">
        <v>72</v>
      </c>
      <c r="B46" s="33">
        <f t="shared" si="0"/>
        <v>144.66910994764402</v>
      </c>
      <c r="C46" s="34" t="s">
        <v>110</v>
      </c>
      <c r="D46" s="174"/>
    </row>
    <row r="47" spans="1:7">
      <c r="A47" s="171" t="s">
        <v>73</v>
      </c>
      <c r="B47" s="33">
        <f t="shared" si="0"/>
        <v>257.18952879581155</v>
      </c>
      <c r="C47" s="34" t="s">
        <v>110</v>
      </c>
      <c r="D47" s="174"/>
    </row>
    <row r="48" spans="1:7">
      <c r="A48" s="171" t="s">
        <v>74</v>
      </c>
      <c r="B48" s="33">
        <f t="shared" si="0"/>
        <v>109.84136125654452</v>
      </c>
      <c r="C48" s="33">
        <f>B48*10</f>
        <v>1098.4136125654452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1411.3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3446.371302</v>
      </c>
      <c r="C5" s="17">
        <f>IF(ISERROR('Eigen informatie GS &amp; warmtenet'!B60),0,'Eigen informatie GS &amp; warmtenet'!B60)</f>
        <v>0</v>
      </c>
      <c r="D5" s="30">
        <f>SUM(D6:D12)</f>
        <v>3284.2939802820006</v>
      </c>
      <c r="E5" s="17">
        <f>SUM(E6:E12)</f>
        <v>8.5557464804999057</v>
      </c>
      <c r="F5" s="17">
        <f>SUM(F6:F12)</f>
        <v>477.95536934056508</v>
      </c>
      <c r="G5" s="18"/>
      <c r="H5" s="17"/>
      <c r="I5" s="17"/>
      <c r="J5" s="17">
        <f>SUM(J6:J12)</f>
        <v>3.0298078577008559E-3</v>
      </c>
      <c r="K5" s="17"/>
      <c r="L5" s="17"/>
      <c r="M5" s="17"/>
      <c r="N5" s="17">
        <f>SUM(N6:N12)</f>
        <v>113.12786290684622</v>
      </c>
      <c r="O5" s="17">
        <f>B38*B39*B40</f>
        <v>0</v>
      </c>
      <c r="P5" s="17">
        <f>B46*B47*B48/1000-B46*B47*B48/1000/B49</f>
        <v>52.539138306495019</v>
      </c>
      <c r="R5" s="32"/>
    </row>
    <row r="6" spans="1:18">
      <c r="A6" s="32" t="s">
        <v>53</v>
      </c>
      <c r="B6" s="37">
        <f>B26</f>
        <v>979.88401699999997</v>
      </c>
      <c r="C6" s="33"/>
      <c r="D6" s="37">
        <f>IF(ISERROR(TER_kantoor_gas_kWh/1000),0,TER_kantoor_gas_kWh/1000)*0.903</f>
        <v>943.67471755200017</v>
      </c>
      <c r="E6" s="33">
        <f>$C$26*'E Balans VL '!I12/100/3.6*1000000</f>
        <v>0.23475691900341608</v>
      </c>
      <c r="F6" s="33">
        <f>$C$26*('E Balans VL '!L12+'E Balans VL '!N12)/100/3.6*1000000</f>
        <v>92.921250427586486</v>
      </c>
      <c r="G6" s="34"/>
      <c r="H6" s="33"/>
      <c r="I6" s="33"/>
      <c r="J6" s="33">
        <f>$C$26*('E Balans VL '!D12+'E Balans VL '!E12)/100/3.6*1000000</f>
        <v>0</v>
      </c>
      <c r="K6" s="33"/>
      <c r="L6" s="33"/>
      <c r="M6" s="33"/>
      <c r="N6" s="33">
        <f>$C$26*'E Balans VL '!Y12/100/3.6*1000000</f>
        <v>0.4977303974131605</v>
      </c>
      <c r="O6" s="33"/>
      <c r="P6" s="33"/>
      <c r="R6" s="32"/>
    </row>
    <row r="7" spans="1:18">
      <c r="A7" s="32" t="s">
        <v>52</v>
      </c>
      <c r="B7" s="37">
        <f t="shared" ref="B7:B12" si="0">B27</f>
        <v>674.68435099999999</v>
      </c>
      <c r="C7" s="33"/>
      <c r="D7" s="37">
        <f>IF(ISERROR(TER_horeca_gas_kWh/1000),0,TER_horeca_gas_kWh/1000)*0.903</f>
        <v>702.17082152700004</v>
      </c>
      <c r="E7" s="33">
        <f>$C$27*'E Balans VL '!I9/100/3.6*1000000</f>
        <v>0</v>
      </c>
      <c r="F7" s="33">
        <f>$C$27*('E Balans VL '!L9+'E Balans VL '!N9)/100/3.6*1000000</f>
        <v>55.32253080871633</v>
      </c>
      <c r="G7" s="34"/>
      <c r="H7" s="33"/>
      <c r="I7" s="33"/>
      <c r="J7" s="33">
        <f>$C$27*('E Balans VL '!D9+'E Balans VL '!E9)/100/3.6*1000000</f>
        <v>0</v>
      </c>
      <c r="K7" s="33"/>
      <c r="L7" s="33"/>
      <c r="M7" s="33"/>
      <c r="N7" s="33">
        <f>$C$27*'E Balans VL '!Y9/100/3.6*1000000</f>
        <v>0.20681786041087957</v>
      </c>
      <c r="O7" s="33"/>
      <c r="P7" s="33"/>
      <c r="R7" s="32"/>
    </row>
    <row r="8" spans="1:18">
      <c r="A8" s="6" t="s">
        <v>51</v>
      </c>
      <c r="B8" s="37">
        <f t="shared" si="0"/>
        <v>1117.4062730000001</v>
      </c>
      <c r="C8" s="33"/>
      <c r="D8" s="37">
        <f>IF(ISERROR(TER_handel_gas_kWh/1000),0,TER_handel_gas_kWh/1000)*0.903</f>
        <v>541.55950942799996</v>
      </c>
      <c r="E8" s="33">
        <f>$C$28*'E Balans VL '!I13/100/3.6*1000000</f>
        <v>3.9270723277299129</v>
      </c>
      <c r="F8" s="33">
        <f>$C$28*('E Balans VL '!L13+'E Balans VL '!N13)/100/3.6*1000000</f>
        <v>102.24066730510933</v>
      </c>
      <c r="G8" s="34"/>
      <c r="H8" s="33"/>
      <c r="I8" s="33"/>
      <c r="J8" s="33">
        <f>$C$28*('E Balans VL '!D13+'E Balans VL '!E13)/100/3.6*1000000</f>
        <v>0</v>
      </c>
      <c r="K8" s="33"/>
      <c r="L8" s="33"/>
      <c r="M8" s="33"/>
      <c r="N8" s="33">
        <f>$C$28*'E Balans VL '!Y13/100/3.6*1000000</f>
        <v>0.40467644594019259</v>
      </c>
      <c r="O8" s="33"/>
      <c r="P8" s="33"/>
      <c r="R8" s="32"/>
    </row>
    <row r="9" spans="1:18">
      <c r="A9" s="32" t="s">
        <v>50</v>
      </c>
      <c r="B9" s="37">
        <f t="shared" si="0"/>
        <v>326.39367800000002</v>
      </c>
      <c r="C9" s="33"/>
      <c r="D9" s="37">
        <f>IF(ISERROR(TER_gezond_gas_kWh/1000),0,TER_gezond_gas_kWh/1000)*0.903</f>
        <v>835.51181987699999</v>
      </c>
      <c r="E9" s="33">
        <f>$C$29*'E Balans VL '!I10/100/3.6*1000000</f>
        <v>0</v>
      </c>
      <c r="F9" s="33">
        <f>$C$29*('E Balans VL '!L10+'E Balans VL '!N10)/100/3.6*1000000</f>
        <v>40.009871372572057</v>
      </c>
      <c r="G9" s="34"/>
      <c r="H9" s="33"/>
      <c r="I9" s="33"/>
      <c r="J9" s="33">
        <f>$C$29*('E Balans VL '!D10+'E Balans VL '!E10)/100/3.6*1000000</f>
        <v>0</v>
      </c>
      <c r="K9" s="33"/>
      <c r="L9" s="33"/>
      <c r="M9" s="33"/>
      <c r="N9" s="33">
        <f>$C$29*'E Balans VL '!Y10/100/3.6*1000000</f>
        <v>2.4069259262372653</v>
      </c>
      <c r="O9" s="33"/>
      <c r="P9" s="33"/>
      <c r="R9" s="32"/>
    </row>
    <row r="10" spans="1:18">
      <c r="A10" s="32" t="s">
        <v>49</v>
      </c>
      <c r="B10" s="37">
        <f t="shared" si="0"/>
        <v>306.79050699999999</v>
      </c>
      <c r="C10" s="33"/>
      <c r="D10" s="37">
        <f>IF(ISERROR(TER_ander_gas_kWh/1000),0,TER_ander_gas_kWh/1000)*0.903</f>
        <v>229.65306669900002</v>
      </c>
      <c r="E10" s="33">
        <f>$C$30*'E Balans VL '!I14/100/3.6*1000000</f>
        <v>4.3939172337665759</v>
      </c>
      <c r="F10" s="33">
        <f>$C$30*('E Balans VL '!L14+'E Balans VL '!N14)/100/3.6*1000000</f>
        <v>182.6428202070046</v>
      </c>
      <c r="G10" s="34"/>
      <c r="H10" s="33"/>
      <c r="I10" s="33"/>
      <c r="J10" s="33">
        <f>$C$30*('E Balans VL '!D14+'E Balans VL '!E14)/100/3.6*1000000</f>
        <v>3.0298078577008559E-3</v>
      </c>
      <c r="K10" s="33"/>
      <c r="L10" s="33"/>
      <c r="M10" s="33"/>
      <c r="N10" s="33">
        <f>$C$30*'E Balans VL '!Y14/100/3.6*1000000</f>
        <v>109.4956626769075</v>
      </c>
      <c r="O10" s="33"/>
      <c r="P10" s="33"/>
      <c r="R10" s="32"/>
    </row>
    <row r="11" spans="1:18">
      <c r="A11" s="32" t="s">
        <v>54</v>
      </c>
      <c r="B11" s="37">
        <f t="shared" si="0"/>
        <v>41.212476000000002</v>
      </c>
      <c r="C11" s="33"/>
      <c r="D11" s="37">
        <f>IF(ISERROR(TER_onderwijs_gas_kWh/1000),0,TER_onderwijs_gas_kWh/1000)*0.903</f>
        <v>0</v>
      </c>
      <c r="E11" s="33">
        <f>$C$31*'E Balans VL '!I11/100/3.6*1000000</f>
        <v>0</v>
      </c>
      <c r="F11" s="33">
        <f>$C$31*('E Balans VL '!L11+'E Balans VL '!N11)/100/3.6*1000000</f>
        <v>4.8182292195762386</v>
      </c>
      <c r="G11" s="34"/>
      <c r="H11" s="33"/>
      <c r="I11" s="33"/>
      <c r="J11" s="33">
        <f>$C$31*('E Balans VL '!D11+'E Balans VL '!E11)/100/3.6*1000000</f>
        <v>0</v>
      </c>
      <c r="K11" s="33"/>
      <c r="L11" s="33"/>
      <c r="M11" s="33"/>
      <c r="N11" s="33">
        <f>$C$31*'E Balans VL '!Y11/100/3.6*1000000</f>
        <v>0.11604959993721339</v>
      </c>
      <c r="O11" s="33"/>
      <c r="P11" s="33"/>
      <c r="R11" s="32"/>
    </row>
    <row r="12" spans="1:18">
      <c r="A12" s="32" t="s">
        <v>259</v>
      </c>
      <c r="B12" s="37">
        <f t="shared" si="0"/>
        <v>0</v>
      </c>
      <c r="C12" s="33"/>
      <c r="D12" s="37">
        <f>IF(ISERROR(TER_rest_gas_kWh/1000),0,TER_rest_gas_kWh/1000)*0.903</f>
        <v>31.724045199000003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8.5</v>
      </c>
      <c r="C13" s="247">
        <f ca="1">'lokale energieproductie'!O38+'lokale energieproductie'!O31</f>
        <v>12.175675675675675</v>
      </c>
      <c r="D13" s="310">
        <f ca="1">('lokale energieproductie'!P31+'lokale energieproductie'!P38)*(-1)</f>
        <v>-22.972972972972972</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3454.871302</v>
      </c>
      <c r="C16" s="21">
        <f t="shared" ca="1" si="1"/>
        <v>12.175675675675675</v>
      </c>
      <c r="D16" s="21">
        <f t="shared" ca="1" si="1"/>
        <v>3261.3210073090277</v>
      </c>
      <c r="E16" s="21">
        <f t="shared" si="1"/>
        <v>8.5557464804999057</v>
      </c>
      <c r="F16" s="21">
        <f t="shared" ca="1" si="1"/>
        <v>477.95536934056508</v>
      </c>
      <c r="G16" s="21">
        <f t="shared" si="1"/>
        <v>0</v>
      </c>
      <c r="H16" s="21">
        <f t="shared" si="1"/>
        <v>0</v>
      </c>
      <c r="I16" s="21">
        <f t="shared" si="1"/>
        <v>0</v>
      </c>
      <c r="J16" s="21">
        <f t="shared" si="1"/>
        <v>3.0298078577008559E-3</v>
      </c>
      <c r="K16" s="21">
        <f t="shared" si="1"/>
        <v>0</v>
      </c>
      <c r="L16" s="21">
        <f t="shared" ca="1" si="1"/>
        <v>0</v>
      </c>
      <c r="M16" s="21">
        <f t="shared" si="1"/>
        <v>0</v>
      </c>
      <c r="N16" s="21">
        <f t="shared" ca="1" si="1"/>
        <v>113.12786290684622</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0.1872419090918685</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646.89669825318936</v>
      </c>
      <c r="C20" s="23">
        <f t="shared" ref="C20:P20" ca="1" si="2">C16*C18</f>
        <v>2.7327627627627624</v>
      </c>
      <c r="D20" s="23">
        <f t="shared" ca="1" si="2"/>
        <v>658.78684347642366</v>
      </c>
      <c r="E20" s="23">
        <f t="shared" si="2"/>
        <v>1.9421544510734787</v>
      </c>
      <c r="F20" s="23">
        <f t="shared" ca="1" si="2"/>
        <v>127.61408361393089</v>
      </c>
      <c r="G20" s="23">
        <f t="shared" si="2"/>
        <v>0</v>
      </c>
      <c r="H20" s="23">
        <f t="shared" si="2"/>
        <v>0</v>
      </c>
      <c r="I20" s="23">
        <f t="shared" si="2"/>
        <v>0</v>
      </c>
      <c r="J20" s="23">
        <f t="shared" si="2"/>
        <v>1.072551981626103E-3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979.88401699999997</v>
      </c>
      <c r="C26" s="39">
        <f>IF(ISERROR(B26*3.6/1000000/'E Balans VL '!Z12*100),0,B26*3.6/1000000/'E Balans VL '!Z12*100)</f>
        <v>2.7635324143655458E-2</v>
      </c>
      <c r="D26" s="237" t="s">
        <v>702</v>
      </c>
      <c r="F26" s="6"/>
    </row>
    <row r="27" spans="1:18">
      <c r="A27" s="231" t="s">
        <v>52</v>
      </c>
      <c r="B27" s="33">
        <f>IF(ISERROR(TER_horeca_ele_kWh/1000),0,TER_horeca_ele_kWh/1000)</f>
        <v>674.68435099999999</v>
      </c>
      <c r="C27" s="39">
        <f>IF(ISERROR(B27*3.6/1000000/'E Balans VL '!Z9*100),0,B27*3.6/1000000/'E Balans VL '!Z9*100)</f>
        <v>5.0019556347165622E-2</v>
      </c>
      <c r="D27" s="237" t="s">
        <v>702</v>
      </c>
      <c r="F27" s="6"/>
    </row>
    <row r="28" spans="1:18">
      <c r="A28" s="171" t="s">
        <v>51</v>
      </c>
      <c r="B28" s="33">
        <f>IF(ISERROR(TER_handel_ele_kWh/1000),0,TER_handel_ele_kWh/1000)</f>
        <v>1117.4062730000001</v>
      </c>
      <c r="C28" s="39">
        <f>IF(ISERROR(B28*3.6/1000000/'E Balans VL '!Z13*100),0,B28*3.6/1000000/'E Balans VL '!Z13*100)</f>
        <v>3.3474835206474707E-2</v>
      </c>
      <c r="D28" s="237" t="s">
        <v>702</v>
      </c>
      <c r="F28" s="6"/>
    </row>
    <row r="29" spans="1:18">
      <c r="A29" s="231" t="s">
        <v>50</v>
      </c>
      <c r="B29" s="33">
        <f>IF(ISERROR(TER_gezond_ele_kWh/1000),0,TER_gezond_ele_kWh/1000)</f>
        <v>326.39367800000002</v>
      </c>
      <c r="C29" s="39">
        <f>IF(ISERROR(B29*3.6/1000000/'E Balans VL '!Z10*100),0,B29*3.6/1000000/'E Balans VL '!Z10*100)</f>
        <v>3.2273934810025828E-2</v>
      </c>
      <c r="D29" s="237" t="s">
        <v>702</v>
      </c>
      <c r="F29" s="6"/>
    </row>
    <row r="30" spans="1:18">
      <c r="A30" s="231" t="s">
        <v>49</v>
      </c>
      <c r="B30" s="33">
        <f>IF(ISERROR(TER_ander_ele_kWh/1000),0,TER_ander_ele_kWh/1000)</f>
        <v>306.79050699999999</v>
      </c>
      <c r="C30" s="39">
        <f>IF(ISERROR(B30*3.6/1000000/'E Balans VL '!Z14*100),0,B30*3.6/1000000/'E Balans VL '!Z14*100)</f>
        <v>1.2408769383075178E-2</v>
      </c>
      <c r="D30" s="237" t="s">
        <v>702</v>
      </c>
      <c r="F30" s="6"/>
    </row>
    <row r="31" spans="1:18">
      <c r="A31" s="231" t="s">
        <v>54</v>
      </c>
      <c r="B31" s="33">
        <f>IF(ISERROR(TER_onderwijs_ele_kWh/1000),0,TER_onderwijs_ele_kWh/1000)</f>
        <v>41.212476000000002</v>
      </c>
      <c r="C31" s="39">
        <f>IF(ISERROR(B31*3.6/1000000/'E Balans VL '!Z11*100),0,B31*3.6/1000000/'E Balans VL '!Z11*100)</f>
        <v>1.1322869569838105E-2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612.24402199999997</v>
      </c>
      <c r="C5" s="17">
        <f>IF(ISERROR('Eigen informatie GS &amp; warmtenet'!B61),0,'Eigen informatie GS &amp; warmtenet'!B61)</f>
        <v>0</v>
      </c>
      <c r="D5" s="30">
        <f>SUM(D6:D15)</f>
        <v>357.26562087299999</v>
      </c>
      <c r="E5" s="17">
        <f>SUM(E6:E15)</f>
        <v>1.5588585207100973</v>
      </c>
      <c r="F5" s="17">
        <f>SUM(F6:F15)</f>
        <v>116.50231220484538</v>
      </c>
      <c r="G5" s="18"/>
      <c r="H5" s="17"/>
      <c r="I5" s="17"/>
      <c r="J5" s="17">
        <f>SUM(J6:J15)</f>
        <v>6.9219790774035214E-2</v>
      </c>
      <c r="K5" s="17"/>
      <c r="L5" s="17"/>
      <c r="M5" s="17"/>
      <c r="N5" s="17">
        <f>SUM(N6:N15)</f>
        <v>19.771083161627558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71.401410999999996</v>
      </c>
      <c r="C8" s="33"/>
      <c r="D8" s="37">
        <f>IF( ISERROR(IND_metaal_Gas_kWH/1000),0,IND_metaal_Gas_kWH/1000)*0.903</f>
        <v>0</v>
      </c>
      <c r="E8" s="33">
        <f>C30*'E Balans VL '!I18/100/3.6*1000000</f>
        <v>0.36001837233205297</v>
      </c>
      <c r="F8" s="33">
        <f>C30*'E Balans VL '!L18/100/3.6*1000000+C30*'E Balans VL '!N18/100/3.6*1000000</f>
        <v>4.8782903048066535</v>
      </c>
      <c r="G8" s="34"/>
      <c r="H8" s="33"/>
      <c r="I8" s="33"/>
      <c r="J8" s="40">
        <f>C30*'E Balans VL '!D18/100/3.6*1000000+C30*'E Balans VL '!E18/100/3.6*1000000</f>
        <v>6.3303441470320562E-2</v>
      </c>
      <c r="K8" s="33"/>
      <c r="L8" s="33"/>
      <c r="M8" s="33"/>
      <c r="N8" s="33">
        <f>C30*'E Balans VL '!Y18/100/3.6*1000000</f>
        <v>0.94892517592362224</v>
      </c>
      <c r="O8" s="33"/>
      <c r="P8" s="33"/>
      <c r="R8" s="32"/>
    </row>
    <row r="9" spans="1:18">
      <c r="A9" s="6" t="s">
        <v>32</v>
      </c>
      <c r="B9" s="37">
        <f t="shared" si="0"/>
        <v>172.25487799999999</v>
      </c>
      <c r="C9" s="33"/>
      <c r="D9" s="37">
        <f>IF( ISERROR(IND_andere_gas_kWh/1000),0,IND_andere_gas_kWh/1000)*0.903</f>
        <v>258.89056414200002</v>
      </c>
      <c r="E9" s="33">
        <f>C31*'E Balans VL '!I19/100/3.6*1000000</f>
        <v>0.54298808674325871</v>
      </c>
      <c r="F9" s="33">
        <f>C31*'E Balans VL '!L19/100/3.6*1000000+C31*'E Balans VL '!N19/100/3.6*1000000</f>
        <v>105.44719149339799</v>
      </c>
      <c r="G9" s="34"/>
      <c r="H9" s="33"/>
      <c r="I9" s="33"/>
      <c r="J9" s="40">
        <f>C31*'E Balans VL '!D19/100/3.6*1000000+C31*'E Balans VL '!E19/100/3.6*1000000</f>
        <v>0</v>
      </c>
      <c r="K9" s="33"/>
      <c r="L9" s="33"/>
      <c r="M9" s="33"/>
      <c r="N9" s="33">
        <f>C31*'E Balans VL '!Y19/100/3.6*1000000</f>
        <v>7.2228809258071918</v>
      </c>
      <c r="O9" s="33"/>
      <c r="P9" s="33"/>
      <c r="R9" s="32"/>
    </row>
    <row r="10" spans="1:18">
      <c r="A10" s="6" t="s">
        <v>40</v>
      </c>
      <c r="B10" s="37">
        <f t="shared" si="0"/>
        <v>365.68977699999999</v>
      </c>
      <c r="C10" s="33"/>
      <c r="D10" s="37">
        <f>IF( ISERROR(IND_voed_gas_kWh/1000),0,IND_voed_gas_kWh/1000)*0.903</f>
        <v>0</v>
      </c>
      <c r="E10" s="33">
        <f>C32*'E Balans VL '!I20/100/3.6*1000000</f>
        <v>0.58280680304872723</v>
      </c>
      <c r="F10" s="33">
        <f>C32*'E Balans VL '!L20/100/3.6*1000000+C32*'E Balans VL '!N20/100/3.6*1000000</f>
        <v>5.9415705150822689</v>
      </c>
      <c r="G10" s="34"/>
      <c r="H10" s="33"/>
      <c r="I10" s="33"/>
      <c r="J10" s="40">
        <f>C32*'E Balans VL '!D20/100/3.6*1000000+C32*'E Balans VL '!E20/100/3.6*1000000</f>
        <v>0</v>
      </c>
      <c r="K10" s="33"/>
      <c r="L10" s="33"/>
      <c r="M10" s="33"/>
      <c r="N10" s="33">
        <f>C32*'E Balans VL '!Y20/100/3.6*1000000</f>
        <v>11.550309548414182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2.8979560000000002</v>
      </c>
      <c r="C15" s="33"/>
      <c r="D15" s="37">
        <f>IF( ISERROR(IND_rest_gas_kWh/1000),0,IND_rest_gas_kWh/1000)*0.903</f>
        <v>98.375056731000001</v>
      </c>
      <c r="E15" s="33">
        <f>C37*'E Balans VL '!I15/100/3.6*1000000</f>
        <v>7.3045258586058356E-2</v>
      </c>
      <c r="F15" s="33">
        <f>C37*'E Balans VL '!L15/100/3.6*1000000+C37*'E Balans VL '!N15/100/3.6*1000000</f>
        <v>0.23525989155846486</v>
      </c>
      <c r="G15" s="34"/>
      <c r="H15" s="33"/>
      <c r="I15" s="33"/>
      <c r="J15" s="40">
        <f>C37*'E Balans VL '!D15/100/3.6*1000000+C37*'E Balans VL '!E15/100/3.6*1000000</f>
        <v>5.9163493037146459E-3</v>
      </c>
      <c r="K15" s="33"/>
      <c r="L15" s="33"/>
      <c r="M15" s="33"/>
      <c r="N15" s="33">
        <f>C37*'E Balans VL '!Y15/100/3.6*1000000</f>
        <v>4.8967511482560559E-2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612.24402199999997</v>
      </c>
      <c r="C18" s="21">
        <f>C5+C16</f>
        <v>0</v>
      </c>
      <c r="D18" s="21">
        <f>MAX((D5+D16),0)</f>
        <v>357.26562087299999</v>
      </c>
      <c r="E18" s="21">
        <f>MAX((E5+E16),0)</f>
        <v>1.5588585207100973</v>
      </c>
      <c r="F18" s="21">
        <f>MAX((F5+F16),0)</f>
        <v>116.50231220484538</v>
      </c>
      <c r="G18" s="21"/>
      <c r="H18" s="21"/>
      <c r="I18" s="21"/>
      <c r="J18" s="21">
        <f>MAX((J5+J16),0)</f>
        <v>6.9219790774035214E-2</v>
      </c>
      <c r="K18" s="21"/>
      <c r="L18" s="21">
        <f>MAX((L5+L16),0)</f>
        <v>0</v>
      </c>
      <c r="M18" s="21"/>
      <c r="N18" s="21">
        <f>MAX((N5+N16),0)</f>
        <v>19.771083161627558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0.1872419090918685</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114.63773950936393</v>
      </c>
      <c r="C22" s="23">
        <f ca="1">C18*C20</f>
        <v>0</v>
      </c>
      <c r="D22" s="23">
        <f>D18*D20</f>
        <v>72.167655416346008</v>
      </c>
      <c r="E22" s="23">
        <f>E18*E20</f>
        <v>0.35386088420119211</v>
      </c>
      <c r="F22" s="23">
        <f>F18*F20</f>
        <v>31.106117358693719</v>
      </c>
      <c r="G22" s="23"/>
      <c r="H22" s="23"/>
      <c r="I22" s="23"/>
      <c r="J22" s="23">
        <f>J18*J20</f>
        <v>2.4503805934008464E-2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71.401410999999996</v>
      </c>
      <c r="C30" s="39">
        <f>IF(ISERROR(B30*3.6/1000000/'E Balans VL '!Z18*100),0,B30*3.6/1000000/'E Balans VL '!Z18*100)</f>
        <v>3.5442051211998968E-3</v>
      </c>
      <c r="D30" s="237" t="s">
        <v>702</v>
      </c>
    </row>
    <row r="31" spans="1:18">
      <c r="A31" s="6" t="s">
        <v>32</v>
      </c>
      <c r="B31" s="37">
        <f>IF( ISERROR(IND_ander_ele_kWh/1000),0,IND_ander_ele_kWh/1000)</f>
        <v>172.25487799999999</v>
      </c>
      <c r="C31" s="39">
        <f>IF(ISERROR(B31*3.6/1000000/'E Balans VL '!Z19*100),0,B31*3.6/1000000/'E Balans VL '!Z19*100)</f>
        <v>5.8127194438887522E-3</v>
      </c>
      <c r="D31" s="237" t="s">
        <v>702</v>
      </c>
    </row>
    <row r="32" spans="1:18">
      <c r="A32" s="171" t="s">
        <v>40</v>
      </c>
      <c r="B32" s="37">
        <f>IF( ISERROR(IND_voed_ele_kWh/1000),0,IND_voed_ele_kWh/1000)</f>
        <v>365.68977699999999</v>
      </c>
      <c r="C32" s="39">
        <f>IF(ISERROR(B32*3.6/1000000/'E Balans VL '!Z20*100),0,B32*3.6/1000000/'E Balans VL '!Z20*100)</f>
        <v>8.5879732133280363E-3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2.8979560000000002</v>
      </c>
      <c r="C37" s="39">
        <f>IF(ISERROR(B37*3.6/1000000/'E Balans VL '!Z15*100),0,B37*3.6/1000000/'E Balans VL '!Z15*100)</f>
        <v>1.0860174738108564E-5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1425.1705939999999</v>
      </c>
      <c r="C5" s="17">
        <f>'Eigen informatie GS &amp; warmtenet'!B62</f>
        <v>0</v>
      </c>
      <c r="D5" s="30">
        <f>IF(ISERROR(SUM(LB_lb_gas_kWh,LB_rest_gas_kWh)/1000),0,SUM(LB_lb_gas_kWh,LB_rest_gas_kWh)/1000)*0.903</f>
        <v>173.25314685000001</v>
      </c>
      <c r="E5" s="17">
        <f>B17*'E Balans VL '!I25/3.6*1000000/100</f>
        <v>53.148970736133997</v>
      </c>
      <c r="F5" s="17">
        <f>B17*('E Balans VL '!L25/3.6*1000000+'E Balans VL '!N25/3.6*1000000)/100</f>
        <v>4623.804114531059</v>
      </c>
      <c r="G5" s="18"/>
      <c r="H5" s="17"/>
      <c r="I5" s="17"/>
      <c r="J5" s="17">
        <f>('E Balans VL '!D25+'E Balans VL '!E25)/3.6*1000000*landbouw!B17/100</f>
        <v>374.11431685987213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1425.1705939999999</v>
      </c>
      <c r="C8" s="21">
        <f>C5+C6</f>
        <v>0</v>
      </c>
      <c r="D8" s="21">
        <f>MAX((D5+D6),0)</f>
        <v>173.25314685000001</v>
      </c>
      <c r="E8" s="21">
        <f>MAX((E5+E6),0)</f>
        <v>53.148970736133997</v>
      </c>
      <c r="F8" s="21">
        <f>MAX((F5+F6),0)</f>
        <v>4623.804114531059</v>
      </c>
      <c r="G8" s="21"/>
      <c r="H8" s="21"/>
      <c r="I8" s="21"/>
      <c r="J8" s="21">
        <f>MAX((J5+J6),0)</f>
        <v>374.11431685987213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0.1872419090918685</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266.85166280215219</v>
      </c>
      <c r="C12" s="23">
        <f ca="1">C8*C10</f>
        <v>0</v>
      </c>
      <c r="D12" s="23">
        <f>D8*D10</f>
        <v>34.997135663700007</v>
      </c>
      <c r="E12" s="23">
        <f>E8*E10</f>
        <v>12.064816357102417</v>
      </c>
      <c r="F12" s="23">
        <f>F8*F10</f>
        <v>1234.5556985797928</v>
      </c>
      <c r="G12" s="23"/>
      <c r="H12" s="23"/>
      <c r="I12" s="23"/>
      <c r="J12" s="23">
        <f>J8*J10</f>
        <v>132.43646816839473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0.19574346207707727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192.33741729398847</v>
      </c>
      <c r="C26" s="247">
        <f>B26*'GWP N2O_CH4'!B5</f>
        <v>4039.0857631737576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64.368219636638585</v>
      </c>
      <c r="C27" s="247">
        <f>B27*'GWP N2O_CH4'!B5</f>
        <v>1351.7326123694104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3.2898842748597681</v>
      </c>
      <c r="C28" s="247">
        <f>B28*'GWP N2O_CH4'!B4</f>
        <v>1019.8641252065281</v>
      </c>
      <c r="D28" s="50"/>
    </row>
    <row r="29" spans="1:4">
      <c r="A29" s="41" t="s">
        <v>276</v>
      </c>
      <c r="B29" s="247">
        <f>B34*'ha_N2O bodem landbouw'!B4</f>
        <v>16.885923975285273</v>
      </c>
      <c r="C29" s="247">
        <f>B29*'GWP N2O_CH4'!B4</f>
        <v>5234.636432338435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3.8483502969897422E-3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1.1796627151762695E-4</v>
      </c>
      <c r="C5" s="440" t="s">
        <v>210</v>
      </c>
      <c r="D5" s="425">
        <f>SUM(D6:D11)</f>
        <v>5.2921845906465806E-4</v>
      </c>
      <c r="E5" s="425">
        <f>SUM(E6:E11)</f>
        <v>2.808168594983962E-4</v>
      </c>
      <c r="F5" s="438" t="s">
        <v>210</v>
      </c>
      <c r="G5" s="425">
        <f>SUM(G6:G11)</f>
        <v>0.11946303859275248</v>
      </c>
      <c r="H5" s="425">
        <f>SUM(H6:H11)</f>
        <v>3.3629108740349335E-2</v>
      </c>
      <c r="I5" s="440" t="s">
        <v>210</v>
      </c>
      <c r="J5" s="440" t="s">
        <v>210</v>
      </c>
      <c r="K5" s="440" t="s">
        <v>210</v>
      </c>
      <c r="L5" s="440" t="s">
        <v>210</v>
      </c>
      <c r="M5" s="425">
        <f>SUM(M6:M11)</f>
        <v>9.0637212412843955E-3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7.6872504757155349E-5</v>
      </c>
      <c r="C6" s="426"/>
      <c r="D6" s="893">
        <f>vkm_GW_PW*SUMIFS(TableVerdeelsleutelVkm[CNG],TableVerdeelsleutelVkm[Voertuigtype],"Lichte voertuigen")*SUMIFS(TableECFTransport[EnergieConsumptieFactor (PJ per km)],TableECFTransport[Index],CONCATENATE($A6,"_CNG_CNG"))</f>
        <v>2.776400280102513E-4</v>
      </c>
      <c r="E6" s="893">
        <f>vkm_GW_PW*SUMIFS(TableVerdeelsleutelVkm[LPG],TableVerdeelsleutelVkm[Voertuigtype],"Lichte voertuigen")*SUMIFS(TableECFTransport[EnergieConsumptieFactor (PJ per km)],TableECFTransport[Index],CONCATENATE($A6,"_LPG_LPG"))</f>
        <v>1.5089022857104627E-4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4.6956109444960127E-2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1.7771002044613283E-2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3.8790854000139083E-3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2.9127959212409276E-2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3.0664584462620057E-7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1.6399497279154262E-3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4.1093766760471597E-5</v>
      </c>
      <c r="C8" s="426"/>
      <c r="D8" s="428">
        <f>vkm_NGW_PW*SUMIFS(TableVerdeelsleutelVkm[CNG],TableVerdeelsleutelVkm[Voertuigtype],"Lichte voertuigen")*SUMIFS(TableECFTransport[EnergieConsumptieFactor (PJ per km)],TableECFTransport[Index],CONCATENATE($A8,"_CNG_CNG"))</f>
        <v>2.5157843105440676E-4</v>
      </c>
      <c r="E8" s="428">
        <f>vkm_NGW_PW*SUMIFS(TableVerdeelsleutelVkm[LPG],TableVerdeelsleutelVkm[Voertuigtype],"Lichte voertuigen")*SUMIFS(TableECFTransport[EnergieConsumptieFactor (PJ per km)],TableECFTransport[Index],CONCATENATE($A8,"_LPG_LPG"))</f>
        <v>1.2992663092734996E-4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3.7626784383735748E-2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1.5857712094427438E-2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3.2208271521760104E-3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5.7521855516473354E-3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8.7955463986493952E-8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3.2385896117905193E-4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32.76840875489637</v>
      </c>
      <c r="C14" s="21"/>
      <c r="D14" s="21">
        <f t="shared" ref="D14:M14" si="0">((D5)*10^9/3600)+D12</f>
        <v>147.00512751796057</v>
      </c>
      <c r="E14" s="21">
        <f t="shared" si="0"/>
        <v>78.004683193998957</v>
      </c>
      <c r="F14" s="21"/>
      <c r="G14" s="21">
        <f t="shared" si="0"/>
        <v>33184.177386875694</v>
      </c>
      <c r="H14" s="21">
        <f t="shared" si="0"/>
        <v>9341.419094541483</v>
      </c>
      <c r="I14" s="21"/>
      <c r="J14" s="21"/>
      <c r="K14" s="21"/>
      <c r="L14" s="21"/>
      <c r="M14" s="21">
        <f t="shared" si="0"/>
        <v>2517.7003448012206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0.1872419090918685</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6.1356194131694943</v>
      </c>
      <c r="C18" s="23"/>
      <c r="D18" s="23">
        <f t="shared" ref="D18:M18" si="1">D14*D16</f>
        <v>29.695035758628038</v>
      </c>
      <c r="E18" s="23">
        <f t="shared" si="1"/>
        <v>17.707063085037763</v>
      </c>
      <c r="F18" s="23"/>
      <c r="G18" s="23">
        <f t="shared" si="1"/>
        <v>8860.1753622958113</v>
      </c>
      <c r="H18" s="23">
        <f t="shared" si="1"/>
        <v>2326.0133545408294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2.7587202031929318E-3</v>
      </c>
      <c r="H50" s="321">
        <f t="shared" si="2"/>
        <v>0</v>
      </c>
      <c r="I50" s="321">
        <f t="shared" si="2"/>
        <v>0</v>
      </c>
      <c r="J50" s="321">
        <f t="shared" si="2"/>
        <v>0</v>
      </c>
      <c r="K50" s="321">
        <f t="shared" si="2"/>
        <v>0</v>
      </c>
      <c r="L50" s="321">
        <f t="shared" si="2"/>
        <v>0</v>
      </c>
      <c r="M50" s="321">
        <f t="shared" si="2"/>
        <v>1.4970387075990003E-4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2.7587202031929318E-3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1.4970387075990003E-4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766.3111675535921</v>
      </c>
      <c r="H54" s="21">
        <f t="shared" si="3"/>
        <v>0</v>
      </c>
      <c r="I54" s="21">
        <f t="shared" si="3"/>
        <v>0</v>
      </c>
      <c r="J54" s="21">
        <f t="shared" si="3"/>
        <v>0</v>
      </c>
      <c r="K54" s="21">
        <f t="shared" si="3"/>
        <v>0</v>
      </c>
      <c r="L54" s="21">
        <f t="shared" si="3"/>
        <v>0</v>
      </c>
      <c r="M54" s="21">
        <f t="shared" si="3"/>
        <v>41.584408544416675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0.1872419090918685</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204.6050817368091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3961.3113020000001</v>
      </c>
      <c r="D10" s="689">
        <f ca="1">tertiair!C16</f>
        <v>12.175675675675675</v>
      </c>
      <c r="E10" s="689">
        <f ca="1">tertiair!D16</f>
        <v>3261.3210073090277</v>
      </c>
      <c r="F10" s="689">
        <f>tertiair!E16</f>
        <v>8.5557464804999057</v>
      </c>
      <c r="G10" s="689">
        <f ca="1">tertiair!F16</f>
        <v>477.95536934056508</v>
      </c>
      <c r="H10" s="689">
        <f>tertiair!G16</f>
        <v>0</v>
      </c>
      <c r="I10" s="689">
        <f>tertiair!H16</f>
        <v>0</v>
      </c>
      <c r="J10" s="689">
        <f>tertiair!I16</f>
        <v>0</v>
      </c>
      <c r="K10" s="689">
        <f>tertiair!J16</f>
        <v>3.0298078577008559E-3</v>
      </c>
      <c r="L10" s="689">
        <f>tertiair!K16</f>
        <v>0</v>
      </c>
      <c r="M10" s="689">
        <f ca="1">tertiair!L16</f>
        <v>0</v>
      </c>
      <c r="N10" s="689">
        <f>tertiair!M16</f>
        <v>0</v>
      </c>
      <c r="O10" s="689">
        <f ca="1">tertiair!N16</f>
        <v>113.12786290684622</v>
      </c>
      <c r="P10" s="689">
        <f>tertiair!O16</f>
        <v>0</v>
      </c>
      <c r="Q10" s="690">
        <f>tertiair!P16</f>
        <v>52.539138306495019</v>
      </c>
      <c r="R10" s="692">
        <f ca="1">SUM(C10:Q10)</f>
        <v>7886.9891318269674</v>
      </c>
      <c r="S10" s="67"/>
    </row>
    <row r="11" spans="1:19" s="451" customFormat="1">
      <c r="A11" s="811" t="s">
        <v>224</v>
      </c>
      <c r="B11" s="816"/>
      <c r="C11" s="689">
        <f>huishoudens!B8</f>
        <v>12573.05891328193</v>
      </c>
      <c r="D11" s="689">
        <f>huishoudens!C8</f>
        <v>0</v>
      </c>
      <c r="E11" s="689">
        <f>huishoudens!D8</f>
        <v>15781.066486815002</v>
      </c>
      <c r="F11" s="689">
        <f>huishoudens!E8</f>
        <v>5202.4325199347304</v>
      </c>
      <c r="G11" s="689">
        <f>huishoudens!F8</f>
        <v>29270.522793226566</v>
      </c>
      <c r="H11" s="689">
        <f>huishoudens!G8</f>
        <v>0</v>
      </c>
      <c r="I11" s="689">
        <f>huishoudens!H8</f>
        <v>0</v>
      </c>
      <c r="J11" s="689">
        <f>huishoudens!I8</f>
        <v>0</v>
      </c>
      <c r="K11" s="689">
        <f>huishoudens!J8</f>
        <v>0</v>
      </c>
      <c r="L11" s="689">
        <f>huishoudens!K8</f>
        <v>0</v>
      </c>
      <c r="M11" s="689">
        <f>huishoudens!L8</f>
        <v>0</v>
      </c>
      <c r="N11" s="689">
        <f>huishoudens!M8</f>
        <v>0</v>
      </c>
      <c r="O11" s="689">
        <f>huishoudens!N8</f>
        <v>7403.6758239999363</v>
      </c>
      <c r="P11" s="689">
        <f>huishoudens!O8</f>
        <v>144.82895001525333</v>
      </c>
      <c r="Q11" s="690">
        <f>huishoudens!P8</f>
        <v>347.62065715360575</v>
      </c>
      <c r="R11" s="692">
        <f>SUM(C11:Q11)</f>
        <v>70723.206144427022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612.24402199999997</v>
      </c>
      <c r="D13" s="689">
        <f>industrie!C18</f>
        <v>0</v>
      </c>
      <c r="E13" s="689">
        <f>industrie!D18</f>
        <v>357.26562087299999</v>
      </c>
      <c r="F13" s="689">
        <f>industrie!E18</f>
        <v>1.5588585207100973</v>
      </c>
      <c r="G13" s="689">
        <f>industrie!F18</f>
        <v>116.50231220484538</v>
      </c>
      <c r="H13" s="689">
        <f>industrie!G18</f>
        <v>0</v>
      </c>
      <c r="I13" s="689">
        <f>industrie!H18</f>
        <v>0</v>
      </c>
      <c r="J13" s="689">
        <f>industrie!I18</f>
        <v>0</v>
      </c>
      <c r="K13" s="689">
        <f>industrie!J18</f>
        <v>6.9219790774035214E-2</v>
      </c>
      <c r="L13" s="689">
        <f>industrie!K18</f>
        <v>0</v>
      </c>
      <c r="M13" s="689">
        <f>industrie!L18</f>
        <v>0</v>
      </c>
      <c r="N13" s="689">
        <f>industrie!M18</f>
        <v>0</v>
      </c>
      <c r="O13" s="689">
        <f>industrie!N18</f>
        <v>19.771083161627558</v>
      </c>
      <c r="P13" s="689">
        <f>industrie!O18</f>
        <v>0</v>
      </c>
      <c r="Q13" s="690">
        <f>industrie!P18</f>
        <v>0</v>
      </c>
      <c r="R13" s="692">
        <f>SUM(C13:Q13)</f>
        <v>1107.4111165509571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17146.61423728193</v>
      </c>
      <c r="D16" s="725">
        <f t="shared" ref="D16:R16" ca="1" si="0">SUM(D9:D15)</f>
        <v>12.175675675675675</v>
      </c>
      <c r="E16" s="725">
        <f t="shared" ca="1" si="0"/>
        <v>19399.653114997029</v>
      </c>
      <c r="F16" s="725">
        <f t="shared" si="0"/>
        <v>5212.5471249359398</v>
      </c>
      <c r="G16" s="725">
        <f t="shared" ca="1" si="0"/>
        <v>29864.980474771975</v>
      </c>
      <c r="H16" s="725">
        <f t="shared" si="0"/>
        <v>0</v>
      </c>
      <c r="I16" s="725">
        <f t="shared" si="0"/>
        <v>0</v>
      </c>
      <c r="J16" s="725">
        <f t="shared" si="0"/>
        <v>0</v>
      </c>
      <c r="K16" s="725">
        <f t="shared" si="0"/>
        <v>7.2249598631736064E-2</v>
      </c>
      <c r="L16" s="725">
        <f t="shared" si="0"/>
        <v>0</v>
      </c>
      <c r="M16" s="725">
        <f t="shared" ca="1" si="0"/>
        <v>0</v>
      </c>
      <c r="N16" s="725">
        <f t="shared" si="0"/>
        <v>0</v>
      </c>
      <c r="O16" s="725">
        <f t="shared" ca="1" si="0"/>
        <v>7536.5747700684105</v>
      </c>
      <c r="P16" s="725">
        <f t="shared" si="0"/>
        <v>144.82895001525333</v>
      </c>
      <c r="Q16" s="725">
        <f t="shared" si="0"/>
        <v>400.15979546010078</v>
      </c>
      <c r="R16" s="725">
        <f t="shared" ca="1" si="0"/>
        <v>79717.606392804941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766.3111675535921</v>
      </c>
      <c r="I19" s="689">
        <f>transport!H54</f>
        <v>0</v>
      </c>
      <c r="J19" s="689">
        <f>transport!I54</f>
        <v>0</v>
      </c>
      <c r="K19" s="689">
        <f>transport!J54</f>
        <v>0</v>
      </c>
      <c r="L19" s="689">
        <f>transport!K54</f>
        <v>0</v>
      </c>
      <c r="M19" s="689">
        <f>transport!L54</f>
        <v>0</v>
      </c>
      <c r="N19" s="689">
        <f>transport!M54</f>
        <v>41.584408544416675</v>
      </c>
      <c r="O19" s="689">
        <f>transport!N54</f>
        <v>0</v>
      </c>
      <c r="P19" s="689">
        <f>transport!O54</f>
        <v>0</v>
      </c>
      <c r="Q19" s="690">
        <f>transport!P54</f>
        <v>0</v>
      </c>
      <c r="R19" s="692">
        <f>SUM(C19:Q19)</f>
        <v>807.89557609800875</v>
      </c>
      <c r="S19" s="67"/>
    </row>
    <row r="20" spans="1:19" s="451" customFormat="1">
      <c r="A20" s="811" t="s">
        <v>306</v>
      </c>
      <c r="B20" s="816"/>
      <c r="C20" s="689">
        <f>transport!B14</f>
        <v>32.76840875489637</v>
      </c>
      <c r="D20" s="689">
        <f>transport!C14</f>
        <v>0</v>
      </c>
      <c r="E20" s="689">
        <f>transport!D14</f>
        <v>147.00512751796057</v>
      </c>
      <c r="F20" s="689">
        <f>transport!E14</f>
        <v>78.004683193998957</v>
      </c>
      <c r="G20" s="689">
        <f>transport!F14</f>
        <v>0</v>
      </c>
      <c r="H20" s="689">
        <f>transport!G14</f>
        <v>33184.177386875694</v>
      </c>
      <c r="I20" s="689">
        <f>transport!H14</f>
        <v>9341.419094541483</v>
      </c>
      <c r="J20" s="689">
        <f>transport!I14</f>
        <v>0</v>
      </c>
      <c r="K20" s="689">
        <f>transport!J14</f>
        <v>0</v>
      </c>
      <c r="L20" s="689">
        <f>transport!K14</f>
        <v>0</v>
      </c>
      <c r="M20" s="689">
        <f>transport!L14</f>
        <v>0</v>
      </c>
      <c r="N20" s="689">
        <f>transport!M14</f>
        <v>2517.7003448012206</v>
      </c>
      <c r="O20" s="689">
        <f>transport!N14</f>
        <v>0</v>
      </c>
      <c r="P20" s="689">
        <f>transport!O14</f>
        <v>0</v>
      </c>
      <c r="Q20" s="690">
        <f>transport!P14</f>
        <v>0</v>
      </c>
      <c r="R20" s="692">
        <f>SUM(C20:Q20)</f>
        <v>45301.075045685247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32.76840875489637</v>
      </c>
      <c r="D22" s="814">
        <f t="shared" ref="D22:R22" si="1">SUM(D18:D21)</f>
        <v>0</v>
      </c>
      <c r="E22" s="814">
        <f t="shared" si="1"/>
        <v>147.00512751796057</v>
      </c>
      <c r="F22" s="814">
        <f t="shared" si="1"/>
        <v>78.004683193998957</v>
      </c>
      <c r="G22" s="814">
        <f t="shared" si="1"/>
        <v>0</v>
      </c>
      <c r="H22" s="814">
        <f t="shared" si="1"/>
        <v>33950.488554429285</v>
      </c>
      <c r="I22" s="814">
        <f t="shared" si="1"/>
        <v>9341.419094541483</v>
      </c>
      <c r="J22" s="814">
        <f t="shared" si="1"/>
        <v>0</v>
      </c>
      <c r="K22" s="814">
        <f t="shared" si="1"/>
        <v>0</v>
      </c>
      <c r="L22" s="814">
        <f t="shared" si="1"/>
        <v>0</v>
      </c>
      <c r="M22" s="814">
        <f t="shared" si="1"/>
        <v>0</v>
      </c>
      <c r="N22" s="814">
        <f t="shared" si="1"/>
        <v>2559.2847533456375</v>
      </c>
      <c r="O22" s="814">
        <f t="shared" si="1"/>
        <v>0</v>
      </c>
      <c r="P22" s="814">
        <f t="shared" si="1"/>
        <v>0</v>
      </c>
      <c r="Q22" s="814">
        <f t="shared" si="1"/>
        <v>0</v>
      </c>
      <c r="R22" s="814">
        <f t="shared" si="1"/>
        <v>46108.970621783257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1425.1705939999999</v>
      </c>
      <c r="D24" s="689">
        <f>+landbouw!C8</f>
        <v>0</v>
      </c>
      <c r="E24" s="689">
        <f>+landbouw!D8</f>
        <v>173.25314685000001</v>
      </c>
      <c r="F24" s="689">
        <f>+landbouw!E8</f>
        <v>53.148970736133997</v>
      </c>
      <c r="G24" s="689">
        <f>+landbouw!F8</f>
        <v>4623.804114531059</v>
      </c>
      <c r="H24" s="689">
        <f>+landbouw!G8</f>
        <v>0</v>
      </c>
      <c r="I24" s="689">
        <f>+landbouw!H8</f>
        <v>0</v>
      </c>
      <c r="J24" s="689">
        <f>+landbouw!I8</f>
        <v>0</v>
      </c>
      <c r="K24" s="689">
        <f>+landbouw!J8</f>
        <v>374.11431685987213</v>
      </c>
      <c r="L24" s="689">
        <f>+landbouw!K8</f>
        <v>0</v>
      </c>
      <c r="M24" s="689">
        <f>+landbouw!L8</f>
        <v>0</v>
      </c>
      <c r="N24" s="689">
        <f>+landbouw!M8</f>
        <v>0</v>
      </c>
      <c r="O24" s="689">
        <f>+landbouw!N8</f>
        <v>0</v>
      </c>
      <c r="P24" s="689">
        <f>+landbouw!O8</f>
        <v>0</v>
      </c>
      <c r="Q24" s="690">
        <f>+landbouw!P8</f>
        <v>0</v>
      </c>
      <c r="R24" s="692">
        <f>SUM(C24:Q24)</f>
        <v>6649.4911429770646</v>
      </c>
      <c r="S24" s="67"/>
    </row>
    <row r="25" spans="1:19" s="451" customFormat="1" ht="15" thickBot="1">
      <c r="A25" s="833" t="s">
        <v>714</v>
      </c>
      <c r="B25" s="947"/>
      <c r="C25" s="948">
        <f>IF(Onbekend_ele_kWh="---",0,Onbekend_ele_kWh)/1000+IF(REST_rest_ele_kWh="---",0,REST_rest_ele_kWh)/1000</f>
        <v>226.82225200000002</v>
      </c>
      <c r="D25" s="948"/>
      <c r="E25" s="948">
        <f>IF(onbekend_gas_kWh="---",0,onbekend_gas_kWh)/1000+IF(REST_rest_gas_kWh="---",0,REST_rest_gas_kWh)/1000</f>
        <v>411.075423</v>
      </c>
      <c r="F25" s="948"/>
      <c r="G25" s="948"/>
      <c r="H25" s="948"/>
      <c r="I25" s="948"/>
      <c r="J25" s="948"/>
      <c r="K25" s="948"/>
      <c r="L25" s="948"/>
      <c r="M25" s="948"/>
      <c r="N25" s="948"/>
      <c r="O25" s="948"/>
      <c r="P25" s="948"/>
      <c r="Q25" s="949"/>
      <c r="R25" s="692">
        <f>SUM(C25:Q25)</f>
        <v>637.89767500000005</v>
      </c>
      <c r="S25" s="67"/>
    </row>
    <row r="26" spans="1:19" s="451" customFormat="1" ht="15.75" thickBot="1">
      <c r="A26" s="697" t="s">
        <v>715</v>
      </c>
      <c r="B26" s="819"/>
      <c r="C26" s="814">
        <f>SUM(C24:C25)</f>
        <v>1651.9928459999999</v>
      </c>
      <c r="D26" s="814">
        <f t="shared" ref="D26:R26" si="2">SUM(D24:D25)</f>
        <v>0</v>
      </c>
      <c r="E26" s="814">
        <f t="shared" si="2"/>
        <v>584.32856985000001</v>
      </c>
      <c r="F26" s="814">
        <f t="shared" si="2"/>
        <v>53.148970736133997</v>
      </c>
      <c r="G26" s="814">
        <f t="shared" si="2"/>
        <v>4623.804114531059</v>
      </c>
      <c r="H26" s="814">
        <f t="shared" si="2"/>
        <v>0</v>
      </c>
      <c r="I26" s="814">
        <f t="shared" si="2"/>
        <v>0</v>
      </c>
      <c r="J26" s="814">
        <f t="shared" si="2"/>
        <v>0</v>
      </c>
      <c r="K26" s="814">
        <f t="shared" si="2"/>
        <v>374.11431685987213</v>
      </c>
      <c r="L26" s="814">
        <f t="shared" si="2"/>
        <v>0</v>
      </c>
      <c r="M26" s="814">
        <f t="shared" si="2"/>
        <v>0</v>
      </c>
      <c r="N26" s="814">
        <f t="shared" si="2"/>
        <v>0</v>
      </c>
      <c r="O26" s="814">
        <f t="shared" si="2"/>
        <v>0</v>
      </c>
      <c r="P26" s="814">
        <f t="shared" si="2"/>
        <v>0</v>
      </c>
      <c r="Q26" s="814">
        <f t="shared" si="2"/>
        <v>0</v>
      </c>
      <c r="R26" s="814">
        <f t="shared" si="2"/>
        <v>7287.3888179770647</v>
      </c>
      <c r="S26" s="67"/>
    </row>
    <row r="27" spans="1:19" s="451" customFormat="1" ht="17.25" thickTop="1" thickBot="1">
      <c r="A27" s="698" t="s">
        <v>115</v>
      </c>
      <c r="B27" s="806"/>
      <c r="C27" s="699">
        <f ca="1">C22+C16+C26</f>
        <v>18831.375492036826</v>
      </c>
      <c r="D27" s="699">
        <f t="shared" ref="D27:R27" ca="1" si="3">D22+D16+D26</f>
        <v>12.175675675675675</v>
      </c>
      <c r="E27" s="699">
        <f t="shared" ca="1" si="3"/>
        <v>20130.98681236499</v>
      </c>
      <c r="F27" s="699">
        <f t="shared" si="3"/>
        <v>5343.7007788660731</v>
      </c>
      <c r="G27" s="699">
        <f t="shared" ca="1" si="3"/>
        <v>34488.784589303032</v>
      </c>
      <c r="H27" s="699">
        <f t="shared" si="3"/>
        <v>33950.488554429285</v>
      </c>
      <c r="I27" s="699">
        <f t="shared" si="3"/>
        <v>9341.419094541483</v>
      </c>
      <c r="J27" s="699">
        <f t="shared" si="3"/>
        <v>0</v>
      </c>
      <c r="K27" s="699">
        <f t="shared" si="3"/>
        <v>374.18656645850388</v>
      </c>
      <c r="L27" s="699">
        <f t="shared" si="3"/>
        <v>0</v>
      </c>
      <c r="M27" s="699">
        <f t="shared" ca="1" si="3"/>
        <v>0</v>
      </c>
      <c r="N27" s="699">
        <f t="shared" si="3"/>
        <v>2559.2847533456375</v>
      </c>
      <c r="O27" s="699">
        <f t="shared" ca="1" si="3"/>
        <v>7536.5747700684105</v>
      </c>
      <c r="P27" s="699">
        <f t="shared" si="3"/>
        <v>144.82895001525333</v>
      </c>
      <c r="Q27" s="699">
        <f t="shared" si="3"/>
        <v>400.15979546010078</v>
      </c>
      <c r="R27" s="699">
        <f t="shared" ca="1" si="3"/>
        <v>133113.96583256527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741.72349069367522</v>
      </c>
      <c r="D40" s="689">
        <f ca="1">tertiair!C20</f>
        <v>2.7327627627627624</v>
      </c>
      <c r="E40" s="689">
        <f ca="1">tertiair!D20</f>
        <v>658.78684347642366</v>
      </c>
      <c r="F40" s="689">
        <f>tertiair!E20</f>
        <v>1.9421544510734787</v>
      </c>
      <c r="G40" s="689">
        <f ca="1">tertiair!F20</f>
        <v>127.61408361393089</v>
      </c>
      <c r="H40" s="689">
        <f>tertiair!G20</f>
        <v>0</v>
      </c>
      <c r="I40" s="689">
        <f>tertiair!H20</f>
        <v>0</v>
      </c>
      <c r="J40" s="689">
        <f>tertiair!I20</f>
        <v>0</v>
      </c>
      <c r="K40" s="689">
        <f>tertiair!J20</f>
        <v>1.072551981626103E-3</v>
      </c>
      <c r="L40" s="689">
        <f>tertiair!K20</f>
        <v>0</v>
      </c>
      <c r="M40" s="689">
        <f ca="1">tertiair!L20</f>
        <v>0</v>
      </c>
      <c r="N40" s="689">
        <f>tertiair!M20</f>
        <v>0</v>
      </c>
      <c r="O40" s="689">
        <f ca="1">tertiair!N20</f>
        <v>0</v>
      </c>
      <c r="P40" s="689">
        <f>tertiair!O20</f>
        <v>0</v>
      </c>
      <c r="Q40" s="772">
        <f>tertiair!P20</f>
        <v>0</v>
      </c>
      <c r="R40" s="852">
        <f t="shared" ca="1" si="4"/>
        <v>1532.8004075498477</v>
      </c>
    </row>
    <row r="41" spans="1:18">
      <c r="A41" s="824" t="s">
        <v>224</v>
      </c>
      <c r="B41" s="831"/>
      <c r="C41" s="689">
        <f ca="1">huishoudens!B12</f>
        <v>2354.2035540474421</v>
      </c>
      <c r="D41" s="689">
        <f ca="1">huishoudens!C12</f>
        <v>0</v>
      </c>
      <c r="E41" s="689">
        <f>huishoudens!D12</f>
        <v>3187.7754303366305</v>
      </c>
      <c r="F41" s="689">
        <f>huishoudens!E12</f>
        <v>1180.9521820251839</v>
      </c>
      <c r="G41" s="689">
        <f>huishoudens!F12</f>
        <v>7815.2295857914933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14538.160752200751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114.63773950936393</v>
      </c>
      <c r="D43" s="689">
        <f ca="1">industrie!C22</f>
        <v>0</v>
      </c>
      <c r="E43" s="689">
        <f>industrie!D22</f>
        <v>72.167655416346008</v>
      </c>
      <c r="F43" s="689">
        <f>industrie!E22</f>
        <v>0.35386088420119211</v>
      </c>
      <c r="G43" s="689">
        <f>industrie!F22</f>
        <v>31.106117358693719</v>
      </c>
      <c r="H43" s="689">
        <f>industrie!G22</f>
        <v>0</v>
      </c>
      <c r="I43" s="689">
        <f>industrie!H22</f>
        <v>0</v>
      </c>
      <c r="J43" s="689">
        <f>industrie!I22</f>
        <v>0</v>
      </c>
      <c r="K43" s="689">
        <f>industrie!J22</f>
        <v>2.4503805934008464E-2</v>
      </c>
      <c r="L43" s="689">
        <f>industrie!K22</f>
        <v>0</v>
      </c>
      <c r="M43" s="689">
        <f>industrie!L22</f>
        <v>0</v>
      </c>
      <c r="N43" s="689">
        <f>industrie!M22</f>
        <v>0</v>
      </c>
      <c r="O43" s="689">
        <f>industrie!N22</f>
        <v>0</v>
      </c>
      <c r="P43" s="689">
        <f>industrie!O22</f>
        <v>0</v>
      </c>
      <c r="Q43" s="772">
        <f>industrie!P22</f>
        <v>0</v>
      </c>
      <c r="R43" s="851">
        <f t="shared" ca="1" si="4"/>
        <v>218.28987697453888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3210.5647842504814</v>
      </c>
      <c r="D46" s="725">
        <f t="shared" ref="D46:Q46" ca="1" si="5">SUM(D39:D45)</f>
        <v>2.7327627627627624</v>
      </c>
      <c r="E46" s="725">
        <f t="shared" ca="1" si="5"/>
        <v>3918.7299292294001</v>
      </c>
      <c r="F46" s="725">
        <f t="shared" si="5"/>
        <v>1183.2481973604586</v>
      </c>
      <c r="G46" s="725">
        <f t="shared" ca="1" si="5"/>
        <v>7973.9497867641185</v>
      </c>
      <c r="H46" s="725">
        <f t="shared" si="5"/>
        <v>0</v>
      </c>
      <c r="I46" s="725">
        <f t="shared" si="5"/>
        <v>0</v>
      </c>
      <c r="J46" s="725">
        <f t="shared" si="5"/>
        <v>0</v>
      </c>
      <c r="K46" s="725">
        <f t="shared" si="5"/>
        <v>2.5576357915634569E-2</v>
      </c>
      <c r="L46" s="725">
        <f t="shared" si="5"/>
        <v>0</v>
      </c>
      <c r="M46" s="725">
        <f t="shared" ca="1" si="5"/>
        <v>0</v>
      </c>
      <c r="N46" s="725">
        <f t="shared" si="5"/>
        <v>0</v>
      </c>
      <c r="O46" s="725">
        <f t="shared" ca="1" si="5"/>
        <v>0</v>
      </c>
      <c r="P46" s="725">
        <f t="shared" si="5"/>
        <v>0</v>
      </c>
      <c r="Q46" s="725">
        <f t="shared" si="5"/>
        <v>0</v>
      </c>
      <c r="R46" s="725">
        <f ca="1">SUM(R39:R45)</f>
        <v>16289.251036725138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204.6050817368091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204.6050817368091</v>
      </c>
    </row>
    <row r="50" spans="1:18">
      <c r="A50" s="827" t="s">
        <v>306</v>
      </c>
      <c r="B50" s="837"/>
      <c r="C50" s="695">
        <f ca="1">transport!B18</f>
        <v>6.1356194131694943</v>
      </c>
      <c r="D50" s="695">
        <f>transport!C18</f>
        <v>0</v>
      </c>
      <c r="E50" s="695">
        <f>transport!D18</f>
        <v>29.695035758628038</v>
      </c>
      <c r="F50" s="695">
        <f>transport!E18</f>
        <v>17.707063085037763</v>
      </c>
      <c r="G50" s="695">
        <f>transport!F18</f>
        <v>0</v>
      </c>
      <c r="H50" s="695">
        <f>transport!G18</f>
        <v>8860.1753622958113</v>
      </c>
      <c r="I50" s="695">
        <f>transport!H18</f>
        <v>2326.0133545408294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11239.726435093477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6.1356194131694943</v>
      </c>
      <c r="D52" s="725">
        <f t="shared" ref="D52:Q52" ca="1" si="6">SUM(D48:D51)</f>
        <v>0</v>
      </c>
      <c r="E52" s="725">
        <f t="shared" si="6"/>
        <v>29.695035758628038</v>
      </c>
      <c r="F52" s="725">
        <f t="shared" si="6"/>
        <v>17.707063085037763</v>
      </c>
      <c r="G52" s="725">
        <f t="shared" si="6"/>
        <v>0</v>
      </c>
      <c r="H52" s="725">
        <f t="shared" si="6"/>
        <v>9064.7804440326199</v>
      </c>
      <c r="I52" s="725">
        <f t="shared" si="6"/>
        <v>2326.0133545408294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11444.331516830285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266.85166280215219</v>
      </c>
      <c r="D54" s="695">
        <f ca="1">+landbouw!C12</f>
        <v>0</v>
      </c>
      <c r="E54" s="695">
        <f>+landbouw!D12</f>
        <v>34.997135663700007</v>
      </c>
      <c r="F54" s="695">
        <f>+landbouw!E12</f>
        <v>12.064816357102417</v>
      </c>
      <c r="G54" s="695">
        <f>+landbouw!F12</f>
        <v>1234.5556985797928</v>
      </c>
      <c r="H54" s="695">
        <f>+landbouw!G12</f>
        <v>0</v>
      </c>
      <c r="I54" s="695">
        <f>+landbouw!H12</f>
        <v>0</v>
      </c>
      <c r="J54" s="695">
        <f>+landbouw!I12</f>
        <v>0</v>
      </c>
      <c r="K54" s="695">
        <f>+landbouw!J12</f>
        <v>132.43646816839473</v>
      </c>
      <c r="L54" s="695">
        <f>+landbouw!K12</f>
        <v>0</v>
      </c>
      <c r="M54" s="695">
        <f>+landbouw!L12</f>
        <v>0</v>
      </c>
      <c r="N54" s="695">
        <f>+landbouw!M12</f>
        <v>0</v>
      </c>
      <c r="O54" s="695">
        <f>+landbouw!N12</f>
        <v>0</v>
      </c>
      <c r="P54" s="695">
        <f>+landbouw!O12</f>
        <v>0</v>
      </c>
      <c r="Q54" s="696">
        <f>+landbouw!P12</f>
        <v>0</v>
      </c>
      <c r="R54" s="724">
        <f ca="1">SUM(C54:Q54)</f>
        <v>1680.9057815711421</v>
      </c>
    </row>
    <row r="55" spans="1:18" ht="15" thickBot="1">
      <c r="A55" s="827" t="s">
        <v>714</v>
      </c>
      <c r="B55" s="837"/>
      <c r="C55" s="695">
        <f ca="1">C25*'EF ele_warmte'!B12</f>
        <v>42.470631488996894</v>
      </c>
      <c r="D55" s="695"/>
      <c r="E55" s="695">
        <f>E25*EF_CO2_aardgas</f>
        <v>83.037235446000011</v>
      </c>
      <c r="F55" s="695"/>
      <c r="G55" s="695"/>
      <c r="H55" s="695"/>
      <c r="I55" s="695"/>
      <c r="J55" s="695"/>
      <c r="K55" s="695"/>
      <c r="L55" s="695"/>
      <c r="M55" s="695"/>
      <c r="N55" s="695"/>
      <c r="O55" s="695"/>
      <c r="P55" s="695"/>
      <c r="Q55" s="696"/>
      <c r="R55" s="724">
        <f ca="1">SUM(C55:Q55)</f>
        <v>125.50786693499691</v>
      </c>
    </row>
    <row r="56" spans="1:18" ht="15.75" thickBot="1">
      <c r="A56" s="825" t="s">
        <v>715</v>
      </c>
      <c r="B56" s="838"/>
      <c r="C56" s="725">
        <f ca="1">SUM(C54:C55)</f>
        <v>309.32229429114909</v>
      </c>
      <c r="D56" s="725">
        <f t="shared" ref="D56:Q56" ca="1" si="7">SUM(D54:D55)</f>
        <v>0</v>
      </c>
      <c r="E56" s="725">
        <f t="shared" si="7"/>
        <v>118.03437110970002</v>
      </c>
      <c r="F56" s="725">
        <f t="shared" si="7"/>
        <v>12.064816357102417</v>
      </c>
      <c r="G56" s="725">
        <f t="shared" si="7"/>
        <v>1234.5556985797928</v>
      </c>
      <c r="H56" s="725">
        <f t="shared" si="7"/>
        <v>0</v>
      </c>
      <c r="I56" s="725">
        <f t="shared" si="7"/>
        <v>0</v>
      </c>
      <c r="J56" s="725">
        <f t="shared" si="7"/>
        <v>0</v>
      </c>
      <c r="K56" s="725">
        <f t="shared" si="7"/>
        <v>132.43646816839473</v>
      </c>
      <c r="L56" s="725">
        <f t="shared" si="7"/>
        <v>0</v>
      </c>
      <c r="M56" s="725">
        <f t="shared" si="7"/>
        <v>0</v>
      </c>
      <c r="N56" s="725">
        <f t="shared" si="7"/>
        <v>0</v>
      </c>
      <c r="O56" s="725">
        <f t="shared" si="7"/>
        <v>0</v>
      </c>
      <c r="P56" s="725">
        <f t="shared" si="7"/>
        <v>0</v>
      </c>
      <c r="Q56" s="726">
        <f t="shared" si="7"/>
        <v>0</v>
      </c>
      <c r="R56" s="727">
        <f ca="1">SUM(R54:R55)</f>
        <v>1806.413648506139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3526.0226979547997</v>
      </c>
      <c r="D61" s="733">
        <f t="shared" ref="D61:Q61" ca="1" si="8">D46+D52+D56</f>
        <v>2.7327627627627624</v>
      </c>
      <c r="E61" s="733">
        <f t="shared" ca="1" si="8"/>
        <v>4066.4593360977278</v>
      </c>
      <c r="F61" s="733">
        <f t="shared" si="8"/>
        <v>1213.0200768025989</v>
      </c>
      <c r="G61" s="733">
        <f t="shared" ca="1" si="8"/>
        <v>9208.5054853439106</v>
      </c>
      <c r="H61" s="733">
        <f t="shared" si="8"/>
        <v>9064.7804440326199</v>
      </c>
      <c r="I61" s="733">
        <f t="shared" si="8"/>
        <v>2326.0133545408294</v>
      </c>
      <c r="J61" s="733">
        <f t="shared" si="8"/>
        <v>0</v>
      </c>
      <c r="K61" s="733">
        <f t="shared" si="8"/>
        <v>132.46204452631036</v>
      </c>
      <c r="L61" s="733">
        <f t="shared" si="8"/>
        <v>0</v>
      </c>
      <c r="M61" s="733">
        <f t="shared" ca="1" si="8"/>
        <v>0</v>
      </c>
      <c r="N61" s="733">
        <f t="shared" si="8"/>
        <v>0</v>
      </c>
      <c r="O61" s="733">
        <f t="shared" ca="1" si="8"/>
        <v>0</v>
      </c>
      <c r="P61" s="733">
        <f t="shared" si="8"/>
        <v>0</v>
      </c>
      <c r="Q61" s="733">
        <f t="shared" si="8"/>
        <v>0</v>
      </c>
      <c r="R61" s="733">
        <f ca="1">R46+R52+R56</f>
        <v>29539.996202061564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0.1872419090918685</v>
      </c>
      <c r="D63" s="779">
        <f t="shared" ca="1" si="9"/>
        <v>0.22444444444444442</v>
      </c>
      <c r="E63" s="973">
        <f t="shared" ca="1" si="9"/>
        <v>0.20199999999999999</v>
      </c>
      <c r="F63" s="779">
        <f t="shared" si="9"/>
        <v>0.22700000000000006</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2876.6541337697595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8.5</v>
      </c>
      <c r="D76" s="956">
        <f>'lokale energieproductie'!C8</f>
        <v>9.4444444444444429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1.9077777777777776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2876.6541337697595</v>
      </c>
      <c r="C78" s="751">
        <f>SUM(C72:C77)</f>
        <v>8.5</v>
      </c>
      <c r="D78" s="752">
        <f t="shared" ref="D78:H78" si="10">SUM(D76:D77)</f>
        <v>9.4444444444444429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1.9077777777777776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12.175675675675675</v>
      </c>
      <c r="D87" s="775">
        <f>'lokale energieproductie'!C17</f>
        <v>13.528528528528525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2.7327627627627624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12.175675675675675</v>
      </c>
      <c r="D90" s="751">
        <f t="shared" ref="D90:H90" si="12">SUM(D87:D89)</f>
        <v>13.528528528528525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2.7327627627627624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2876.6541337697595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8.5</v>
      </c>
      <c r="C8" s="551">
        <f>B48</f>
        <v>9.4444444444444429</v>
      </c>
      <c r="D8" s="552"/>
      <c r="E8" s="552">
        <f>E48</f>
        <v>0</v>
      </c>
      <c r="F8" s="553"/>
      <c r="G8" s="554"/>
      <c r="H8" s="552">
        <f>I48</f>
        <v>0</v>
      </c>
      <c r="I8" s="552">
        <f>G48+F48</f>
        <v>0</v>
      </c>
      <c r="J8" s="552">
        <f>H48+D48+C48</f>
        <v>0</v>
      </c>
      <c r="K8" s="552"/>
      <c r="L8" s="552"/>
      <c r="M8" s="552"/>
      <c r="N8" s="555"/>
      <c r="O8" s="556">
        <f>C8*$C$12+D8*$D$12+E8*$E$12+F8*$F$12+G8*$G$12+H8*$H$12+I8*$I$12+J8*$J$12</f>
        <v>1.9077777777777776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2885.1541337697595</v>
      </c>
      <c r="C10" s="566">
        <f t="shared" ref="C10:L10" si="0">SUM(C8:C9)</f>
        <v>9.4444444444444429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1.9077777777777776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12.175675675675675</v>
      </c>
      <c r="C17" s="582">
        <f>B49</f>
        <v>13.528528528528525</v>
      </c>
      <c r="D17" s="583"/>
      <c r="E17" s="583">
        <f>E49</f>
        <v>0</v>
      </c>
      <c r="F17" s="584"/>
      <c r="G17" s="585"/>
      <c r="H17" s="582">
        <f>I49</f>
        <v>0</v>
      </c>
      <c r="I17" s="583">
        <f>G49+F49</f>
        <v>0</v>
      </c>
      <c r="J17" s="583">
        <f>H49+D49+C49</f>
        <v>0</v>
      </c>
      <c r="K17" s="583"/>
      <c r="L17" s="583"/>
      <c r="M17" s="583"/>
      <c r="N17" s="970"/>
      <c r="O17" s="586">
        <f>C17*$C$22+E17*$E$22+H17*$H$22+I17*$I$22+J17*$J$22+D17*$D$22+F17*$F$22+G17*$G$22+K17*$K$22+L17*$L$22</f>
        <v>2.7327627627627624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12.175675675675675</v>
      </c>
      <c r="C20" s="565">
        <f>SUM(C17:C19)</f>
        <v>13.528528528528525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2.7327627627627624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v>24133</v>
      </c>
      <c r="C28" s="794">
        <v>3350</v>
      </c>
      <c r="D28" s="643" t="s">
        <v>865</v>
      </c>
      <c r="E28" s="642"/>
      <c r="F28" s="642" t="s">
        <v>866</v>
      </c>
      <c r="G28" s="642" t="s">
        <v>867</v>
      </c>
      <c r="H28" s="642" t="s">
        <v>868</v>
      </c>
      <c r="I28" s="642" t="s">
        <v>869</v>
      </c>
      <c r="J28" s="793">
        <v>42838</v>
      </c>
      <c r="K28" s="793">
        <v>42838</v>
      </c>
      <c r="L28" s="642" t="s">
        <v>870</v>
      </c>
      <c r="M28" s="642">
        <v>1.7</v>
      </c>
      <c r="N28" s="642">
        <v>8.5</v>
      </c>
      <c r="O28" s="642">
        <v>12.175675675675675</v>
      </c>
      <c r="P28" s="642">
        <v>22.972972972972972</v>
      </c>
      <c r="Q28" s="642">
        <v>0</v>
      </c>
      <c r="R28" s="642">
        <v>0</v>
      </c>
      <c r="S28" s="642">
        <v>0</v>
      </c>
      <c r="T28" s="642">
        <v>0</v>
      </c>
      <c r="U28" s="642">
        <v>0</v>
      </c>
      <c r="V28" s="642">
        <v>0</v>
      </c>
      <c r="W28" s="642">
        <v>0</v>
      </c>
      <c r="X28" s="642">
        <v>1100</v>
      </c>
      <c r="Y28" s="642" t="s">
        <v>160</v>
      </c>
      <c r="Z28" s="644" t="s">
        <v>155</v>
      </c>
    </row>
    <row r="29" spans="1:26" s="576" customFormat="1">
      <c r="A29" s="598" t="s">
        <v>279</v>
      </c>
      <c r="B29" s="599"/>
      <c r="C29" s="599"/>
      <c r="D29" s="599"/>
      <c r="E29" s="599"/>
      <c r="F29" s="599"/>
      <c r="G29" s="599"/>
      <c r="H29" s="599"/>
      <c r="I29" s="599"/>
      <c r="J29" s="599"/>
      <c r="K29" s="599"/>
      <c r="L29" s="600"/>
      <c r="M29" s="600">
        <f>SUM(M28:M28)</f>
        <v>1.7</v>
      </c>
      <c r="N29" s="600">
        <f>SUM(N28:N28)</f>
        <v>8.5</v>
      </c>
      <c r="O29" s="600">
        <f>SUM(O28:O28)</f>
        <v>12.175675675675675</v>
      </c>
      <c r="P29" s="600">
        <f>SUM(P28:P28)</f>
        <v>22.972972972972972</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1.7</v>
      </c>
      <c r="N31" s="600">
        <f ca="1">SUMIF($Z$28:AD28,"tertiair",N28:N28)</f>
        <v>8.5</v>
      </c>
      <c r="O31" s="600">
        <f ca="1">SUMIF($Z$28:AE28,"tertiair",O28:O28)</f>
        <v>12.175675675675675</v>
      </c>
      <c r="P31" s="600">
        <f ca="1">SUMIF($Z$28:AF28,"tertiair",P28:P28)</f>
        <v>22.972972972972972</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0.5888888888888888</v>
      </c>
      <c r="C45" s="625">
        <f>IF(ISERROR(N29/(O29+N29)),0,N29/(N29+O29))</f>
        <v>0.41111111111111109</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9.4444444444444429</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13.528528528528525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12573.05891328193</v>
      </c>
      <c r="C4" s="455">
        <f>huishoudens!C8</f>
        <v>0</v>
      </c>
      <c r="D4" s="455">
        <f>huishoudens!D8</f>
        <v>15781.066486815002</v>
      </c>
      <c r="E4" s="455">
        <f>huishoudens!E8</f>
        <v>5202.4325199347304</v>
      </c>
      <c r="F4" s="455">
        <f>huishoudens!F8</f>
        <v>29270.522793226566</v>
      </c>
      <c r="G4" s="455">
        <f>huishoudens!G8</f>
        <v>0</v>
      </c>
      <c r="H4" s="455">
        <f>huishoudens!H8</f>
        <v>0</v>
      </c>
      <c r="I4" s="455">
        <f>huishoudens!I8</f>
        <v>0</v>
      </c>
      <c r="J4" s="455">
        <f>huishoudens!J8</f>
        <v>0</v>
      </c>
      <c r="K4" s="455">
        <f>huishoudens!K8</f>
        <v>0</v>
      </c>
      <c r="L4" s="455">
        <f>huishoudens!L8</f>
        <v>0</v>
      </c>
      <c r="M4" s="455">
        <f>huishoudens!M8</f>
        <v>0</v>
      </c>
      <c r="N4" s="455">
        <f>huishoudens!N8</f>
        <v>7403.6758239999363</v>
      </c>
      <c r="O4" s="455">
        <f>huishoudens!O8</f>
        <v>144.82895001525333</v>
      </c>
      <c r="P4" s="456">
        <f>huishoudens!P8</f>
        <v>347.62065715360575</v>
      </c>
      <c r="Q4" s="457">
        <f>SUM(B4:P4)</f>
        <v>70723.206144427022</v>
      </c>
    </row>
    <row r="5" spans="1:17">
      <c r="A5" s="454" t="s">
        <v>155</v>
      </c>
      <c r="B5" s="455">
        <f ca="1">tertiair!B16</f>
        <v>3454.871302</v>
      </c>
      <c r="C5" s="455">
        <f ca="1">tertiair!C16</f>
        <v>12.175675675675675</v>
      </c>
      <c r="D5" s="455">
        <f ca="1">tertiair!D16</f>
        <v>3261.3210073090277</v>
      </c>
      <c r="E5" s="455">
        <f>tertiair!E16</f>
        <v>8.5557464804999057</v>
      </c>
      <c r="F5" s="455">
        <f ca="1">tertiair!F16</f>
        <v>477.95536934056508</v>
      </c>
      <c r="G5" s="455">
        <f>tertiair!G16</f>
        <v>0</v>
      </c>
      <c r="H5" s="455">
        <f>tertiair!H16</f>
        <v>0</v>
      </c>
      <c r="I5" s="455">
        <f>tertiair!I16</f>
        <v>0</v>
      </c>
      <c r="J5" s="455">
        <f>tertiair!J16</f>
        <v>3.0298078577008559E-3</v>
      </c>
      <c r="K5" s="455">
        <f>tertiair!K16</f>
        <v>0</v>
      </c>
      <c r="L5" s="455">
        <f ca="1">tertiair!L16</f>
        <v>0</v>
      </c>
      <c r="M5" s="455">
        <f>tertiair!M16</f>
        <v>0</v>
      </c>
      <c r="N5" s="455">
        <f ca="1">tertiair!N16</f>
        <v>113.12786290684622</v>
      </c>
      <c r="O5" s="455">
        <f>tertiair!O16</f>
        <v>0</v>
      </c>
      <c r="P5" s="456">
        <f>tertiair!P16</f>
        <v>52.539138306495019</v>
      </c>
      <c r="Q5" s="454">
        <f t="shared" ref="Q5:Q14" ca="1" si="0">SUM(B5:P5)</f>
        <v>7380.5491318269669</v>
      </c>
    </row>
    <row r="6" spans="1:17">
      <c r="A6" s="454" t="s">
        <v>193</v>
      </c>
      <c r="B6" s="455">
        <f>'openbare verlichting'!B8</f>
        <v>506.44</v>
      </c>
      <c r="C6" s="455"/>
      <c r="D6" s="455"/>
      <c r="E6" s="455"/>
      <c r="F6" s="455"/>
      <c r="G6" s="455"/>
      <c r="H6" s="455"/>
      <c r="I6" s="455"/>
      <c r="J6" s="455"/>
      <c r="K6" s="455"/>
      <c r="L6" s="455"/>
      <c r="M6" s="455"/>
      <c r="N6" s="455"/>
      <c r="O6" s="455"/>
      <c r="P6" s="456"/>
      <c r="Q6" s="454">
        <f t="shared" si="0"/>
        <v>506.44</v>
      </c>
    </row>
    <row r="7" spans="1:17">
      <c r="A7" s="454" t="s">
        <v>111</v>
      </c>
      <c r="B7" s="455">
        <f>landbouw!B8</f>
        <v>1425.1705939999999</v>
      </c>
      <c r="C7" s="455">
        <f>landbouw!C8</f>
        <v>0</v>
      </c>
      <c r="D7" s="455">
        <f>landbouw!D8</f>
        <v>173.25314685000001</v>
      </c>
      <c r="E7" s="455">
        <f>landbouw!E8</f>
        <v>53.148970736133997</v>
      </c>
      <c r="F7" s="455">
        <f>landbouw!F8</f>
        <v>4623.804114531059</v>
      </c>
      <c r="G7" s="455">
        <f>landbouw!G8</f>
        <v>0</v>
      </c>
      <c r="H7" s="455">
        <f>landbouw!H8</f>
        <v>0</v>
      </c>
      <c r="I7" s="455">
        <f>landbouw!I8</f>
        <v>0</v>
      </c>
      <c r="J7" s="455">
        <f>landbouw!J8</f>
        <v>374.11431685987213</v>
      </c>
      <c r="K7" s="455">
        <f>landbouw!K8</f>
        <v>0</v>
      </c>
      <c r="L7" s="455">
        <f>landbouw!L8</f>
        <v>0</v>
      </c>
      <c r="M7" s="455">
        <f>landbouw!M8</f>
        <v>0</v>
      </c>
      <c r="N7" s="455">
        <f>landbouw!N8</f>
        <v>0</v>
      </c>
      <c r="O7" s="455">
        <f>landbouw!O8</f>
        <v>0</v>
      </c>
      <c r="P7" s="456">
        <f>landbouw!P8</f>
        <v>0</v>
      </c>
      <c r="Q7" s="454">
        <f t="shared" si="0"/>
        <v>6649.4911429770646</v>
      </c>
    </row>
    <row r="8" spans="1:17">
      <c r="A8" s="454" t="s">
        <v>626</v>
      </c>
      <c r="B8" s="455">
        <f>industrie!B18</f>
        <v>612.24402199999997</v>
      </c>
      <c r="C8" s="455">
        <f>industrie!C18</f>
        <v>0</v>
      </c>
      <c r="D8" s="455">
        <f>industrie!D18</f>
        <v>357.26562087299999</v>
      </c>
      <c r="E8" s="455">
        <f>industrie!E18</f>
        <v>1.5588585207100973</v>
      </c>
      <c r="F8" s="455">
        <f>industrie!F18</f>
        <v>116.50231220484538</v>
      </c>
      <c r="G8" s="455">
        <f>industrie!G18</f>
        <v>0</v>
      </c>
      <c r="H8" s="455">
        <f>industrie!H18</f>
        <v>0</v>
      </c>
      <c r="I8" s="455">
        <f>industrie!I18</f>
        <v>0</v>
      </c>
      <c r="J8" s="455">
        <f>industrie!J18</f>
        <v>6.9219790774035214E-2</v>
      </c>
      <c r="K8" s="455">
        <f>industrie!K18</f>
        <v>0</v>
      </c>
      <c r="L8" s="455">
        <f>industrie!L18</f>
        <v>0</v>
      </c>
      <c r="M8" s="455">
        <f>industrie!M18</f>
        <v>0</v>
      </c>
      <c r="N8" s="455">
        <f>industrie!N18</f>
        <v>19.771083161627558</v>
      </c>
      <c r="O8" s="455">
        <f>industrie!O18</f>
        <v>0</v>
      </c>
      <c r="P8" s="456">
        <f>industrie!P18</f>
        <v>0</v>
      </c>
      <c r="Q8" s="454">
        <f t="shared" si="0"/>
        <v>1107.4111165509571</v>
      </c>
    </row>
    <row r="9" spans="1:17" s="460" customFormat="1">
      <c r="A9" s="458" t="s">
        <v>552</v>
      </c>
      <c r="B9" s="459">
        <f>transport!B14</f>
        <v>32.76840875489637</v>
      </c>
      <c r="C9" s="459">
        <f>transport!C14</f>
        <v>0</v>
      </c>
      <c r="D9" s="459">
        <f>transport!D14</f>
        <v>147.00512751796057</v>
      </c>
      <c r="E9" s="459">
        <f>transport!E14</f>
        <v>78.004683193998957</v>
      </c>
      <c r="F9" s="459">
        <f>transport!F14</f>
        <v>0</v>
      </c>
      <c r="G9" s="459">
        <f>transport!G14</f>
        <v>33184.177386875694</v>
      </c>
      <c r="H9" s="459">
        <f>transport!H14</f>
        <v>9341.419094541483</v>
      </c>
      <c r="I9" s="459">
        <f>transport!I14</f>
        <v>0</v>
      </c>
      <c r="J9" s="459">
        <f>transport!J14</f>
        <v>0</v>
      </c>
      <c r="K9" s="459">
        <f>transport!K14</f>
        <v>0</v>
      </c>
      <c r="L9" s="459">
        <f>transport!L14</f>
        <v>0</v>
      </c>
      <c r="M9" s="459">
        <f>transport!M14</f>
        <v>2517.7003448012206</v>
      </c>
      <c r="N9" s="459">
        <f>transport!N14</f>
        <v>0</v>
      </c>
      <c r="O9" s="459">
        <f>transport!O14</f>
        <v>0</v>
      </c>
      <c r="P9" s="459">
        <f>transport!P14</f>
        <v>0</v>
      </c>
      <c r="Q9" s="458">
        <f>SUM(B9:P9)</f>
        <v>45301.075045685247</v>
      </c>
    </row>
    <row r="10" spans="1:17">
      <c r="A10" s="454" t="s">
        <v>542</v>
      </c>
      <c r="B10" s="455">
        <f>transport!B54</f>
        <v>0</v>
      </c>
      <c r="C10" s="455">
        <f>transport!C54</f>
        <v>0</v>
      </c>
      <c r="D10" s="455">
        <f>transport!D54</f>
        <v>0</v>
      </c>
      <c r="E10" s="455">
        <f>transport!E54</f>
        <v>0</v>
      </c>
      <c r="F10" s="455">
        <f>transport!F54</f>
        <v>0</v>
      </c>
      <c r="G10" s="455">
        <f>transport!G54</f>
        <v>766.3111675535921</v>
      </c>
      <c r="H10" s="455">
        <f>transport!H54</f>
        <v>0</v>
      </c>
      <c r="I10" s="455">
        <f>transport!I54</f>
        <v>0</v>
      </c>
      <c r="J10" s="455">
        <f>transport!J54</f>
        <v>0</v>
      </c>
      <c r="K10" s="455">
        <f>transport!K54</f>
        <v>0</v>
      </c>
      <c r="L10" s="455">
        <f>transport!L54</f>
        <v>0</v>
      </c>
      <c r="M10" s="455">
        <f>transport!M54</f>
        <v>41.584408544416675</v>
      </c>
      <c r="N10" s="455">
        <f>transport!N54</f>
        <v>0</v>
      </c>
      <c r="O10" s="455">
        <f>transport!O54</f>
        <v>0</v>
      </c>
      <c r="P10" s="456">
        <f>transport!P54</f>
        <v>0</v>
      </c>
      <c r="Q10" s="454">
        <f t="shared" si="0"/>
        <v>807.89557609800875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226.82225200000002</v>
      </c>
      <c r="C14" s="462"/>
      <c r="D14" s="462">
        <f>'SEAP template'!E25</f>
        <v>411.075423</v>
      </c>
      <c r="E14" s="462"/>
      <c r="F14" s="462"/>
      <c r="G14" s="462"/>
      <c r="H14" s="462"/>
      <c r="I14" s="462"/>
      <c r="J14" s="462"/>
      <c r="K14" s="462"/>
      <c r="L14" s="462"/>
      <c r="M14" s="462"/>
      <c r="N14" s="462"/>
      <c r="O14" s="462"/>
      <c r="P14" s="463"/>
      <c r="Q14" s="454">
        <f t="shared" si="0"/>
        <v>637.89767500000005</v>
      </c>
    </row>
    <row r="15" spans="1:17" s="466" customFormat="1">
      <c r="A15" s="464" t="s">
        <v>546</v>
      </c>
      <c r="B15" s="465">
        <f ca="1">SUM(B4:B14)</f>
        <v>18831.375492036823</v>
      </c>
      <c r="C15" s="465">
        <f t="shared" ref="C15:Q15" ca="1" si="1">SUM(C4:C14)</f>
        <v>12.175675675675675</v>
      </c>
      <c r="D15" s="465">
        <f t="shared" ca="1" si="1"/>
        <v>20130.986812364987</v>
      </c>
      <c r="E15" s="465">
        <f t="shared" si="1"/>
        <v>5343.7007788660731</v>
      </c>
      <c r="F15" s="465">
        <f t="shared" ca="1" si="1"/>
        <v>34488.784589303032</v>
      </c>
      <c r="G15" s="465">
        <f t="shared" si="1"/>
        <v>33950.488554429285</v>
      </c>
      <c r="H15" s="465">
        <f t="shared" si="1"/>
        <v>9341.419094541483</v>
      </c>
      <c r="I15" s="465">
        <f t="shared" si="1"/>
        <v>0</v>
      </c>
      <c r="J15" s="465">
        <f t="shared" si="1"/>
        <v>374.18656645850388</v>
      </c>
      <c r="K15" s="465">
        <f t="shared" si="1"/>
        <v>0</v>
      </c>
      <c r="L15" s="465">
        <f t="shared" ca="1" si="1"/>
        <v>0</v>
      </c>
      <c r="M15" s="465">
        <f t="shared" si="1"/>
        <v>2559.2847533456375</v>
      </c>
      <c r="N15" s="465">
        <f t="shared" ca="1" si="1"/>
        <v>7536.5747700684105</v>
      </c>
      <c r="O15" s="465">
        <f t="shared" si="1"/>
        <v>144.82895001525333</v>
      </c>
      <c r="P15" s="465">
        <f t="shared" si="1"/>
        <v>400.15979546010078</v>
      </c>
      <c r="Q15" s="465">
        <f t="shared" ca="1" si="1"/>
        <v>133113.96583256524</v>
      </c>
    </row>
    <row r="17" spans="1:17">
      <c r="A17" s="467" t="s">
        <v>547</v>
      </c>
      <c r="B17" s="784">
        <f ca="1">huishoudens!B10</f>
        <v>0.1872419090918685</v>
      </c>
      <c r="C17" s="784">
        <f ca="1">huishoudens!C10</f>
        <v>0.22444444444444442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2354.2035540474421</v>
      </c>
      <c r="C22" s="455">
        <f t="shared" ref="C22:C32" ca="1" si="3">C4*$C$17</f>
        <v>0</v>
      </c>
      <c r="D22" s="455">
        <f t="shared" ref="D22:D32" si="4">D4*$D$17</f>
        <v>3187.7754303366305</v>
      </c>
      <c r="E22" s="455">
        <f t="shared" ref="E22:E32" si="5">E4*$E$17</f>
        <v>1180.9521820251839</v>
      </c>
      <c r="F22" s="455">
        <f t="shared" ref="F22:F32" si="6">F4*$F$17</f>
        <v>7815.2295857914933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14538.160752200751</v>
      </c>
    </row>
    <row r="23" spans="1:17">
      <c r="A23" s="454" t="s">
        <v>155</v>
      </c>
      <c r="B23" s="455">
        <f t="shared" ca="1" si="2"/>
        <v>646.89669825318936</v>
      </c>
      <c r="C23" s="455">
        <f t="shared" ca="1" si="3"/>
        <v>2.7327627627627624</v>
      </c>
      <c r="D23" s="455">
        <f t="shared" ca="1" si="4"/>
        <v>658.78684347642366</v>
      </c>
      <c r="E23" s="455">
        <f t="shared" si="5"/>
        <v>1.9421544510734787</v>
      </c>
      <c r="F23" s="455">
        <f t="shared" ca="1" si="6"/>
        <v>127.61408361393089</v>
      </c>
      <c r="G23" s="455">
        <f t="shared" si="7"/>
        <v>0</v>
      </c>
      <c r="H23" s="455">
        <f t="shared" si="8"/>
        <v>0</v>
      </c>
      <c r="I23" s="455">
        <f t="shared" si="9"/>
        <v>0</v>
      </c>
      <c r="J23" s="455">
        <f t="shared" si="10"/>
        <v>1.072551981626103E-3</v>
      </c>
      <c r="K23" s="455">
        <f t="shared" si="11"/>
        <v>0</v>
      </c>
      <c r="L23" s="455">
        <f t="shared" ca="1" si="12"/>
        <v>0</v>
      </c>
      <c r="M23" s="455">
        <f t="shared" si="13"/>
        <v>0</v>
      </c>
      <c r="N23" s="455">
        <f t="shared" ca="1" si="14"/>
        <v>0</v>
      </c>
      <c r="O23" s="455">
        <f t="shared" si="15"/>
        <v>0</v>
      </c>
      <c r="P23" s="456">
        <f t="shared" si="16"/>
        <v>0</v>
      </c>
      <c r="Q23" s="454">
        <f t="shared" ref="Q23:Q31" ca="1" si="17">SUM(B23:P23)</f>
        <v>1437.9736151093618</v>
      </c>
    </row>
    <row r="24" spans="1:17">
      <c r="A24" s="454" t="s">
        <v>193</v>
      </c>
      <c r="B24" s="455">
        <f t="shared" ca="1" si="2"/>
        <v>94.826792440485875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94.826792440485875</v>
      </c>
    </row>
    <row r="25" spans="1:17">
      <c r="A25" s="454" t="s">
        <v>111</v>
      </c>
      <c r="B25" s="455">
        <f t="shared" ca="1" si="2"/>
        <v>266.85166280215219</v>
      </c>
      <c r="C25" s="455">
        <f t="shared" ca="1" si="3"/>
        <v>0</v>
      </c>
      <c r="D25" s="455">
        <f t="shared" si="4"/>
        <v>34.997135663700007</v>
      </c>
      <c r="E25" s="455">
        <f t="shared" si="5"/>
        <v>12.064816357102417</v>
      </c>
      <c r="F25" s="455">
        <f t="shared" si="6"/>
        <v>1234.5556985797928</v>
      </c>
      <c r="G25" s="455">
        <f t="shared" si="7"/>
        <v>0</v>
      </c>
      <c r="H25" s="455">
        <f t="shared" si="8"/>
        <v>0</v>
      </c>
      <c r="I25" s="455">
        <f t="shared" si="9"/>
        <v>0</v>
      </c>
      <c r="J25" s="455">
        <f t="shared" si="10"/>
        <v>132.43646816839473</v>
      </c>
      <c r="K25" s="455">
        <f t="shared" si="11"/>
        <v>0</v>
      </c>
      <c r="L25" s="455">
        <f t="shared" si="12"/>
        <v>0</v>
      </c>
      <c r="M25" s="455">
        <f t="shared" si="13"/>
        <v>0</v>
      </c>
      <c r="N25" s="455">
        <f t="shared" si="14"/>
        <v>0</v>
      </c>
      <c r="O25" s="455">
        <f t="shared" si="15"/>
        <v>0</v>
      </c>
      <c r="P25" s="456">
        <f t="shared" si="16"/>
        <v>0</v>
      </c>
      <c r="Q25" s="454">
        <f t="shared" ca="1" si="17"/>
        <v>1680.9057815711421</v>
      </c>
    </row>
    <row r="26" spans="1:17">
      <c r="A26" s="454" t="s">
        <v>626</v>
      </c>
      <c r="B26" s="455">
        <f t="shared" ca="1" si="2"/>
        <v>114.63773950936393</v>
      </c>
      <c r="C26" s="455">
        <f t="shared" ca="1" si="3"/>
        <v>0</v>
      </c>
      <c r="D26" s="455">
        <f t="shared" si="4"/>
        <v>72.167655416346008</v>
      </c>
      <c r="E26" s="455">
        <f t="shared" si="5"/>
        <v>0.35386088420119211</v>
      </c>
      <c r="F26" s="455">
        <f t="shared" si="6"/>
        <v>31.106117358693719</v>
      </c>
      <c r="G26" s="455">
        <f t="shared" si="7"/>
        <v>0</v>
      </c>
      <c r="H26" s="455">
        <f t="shared" si="8"/>
        <v>0</v>
      </c>
      <c r="I26" s="455">
        <f t="shared" si="9"/>
        <v>0</v>
      </c>
      <c r="J26" s="455">
        <f t="shared" si="10"/>
        <v>2.4503805934008464E-2</v>
      </c>
      <c r="K26" s="455">
        <f t="shared" si="11"/>
        <v>0</v>
      </c>
      <c r="L26" s="455">
        <f t="shared" si="12"/>
        <v>0</v>
      </c>
      <c r="M26" s="455">
        <f t="shared" si="13"/>
        <v>0</v>
      </c>
      <c r="N26" s="455">
        <f t="shared" si="14"/>
        <v>0</v>
      </c>
      <c r="O26" s="455">
        <f t="shared" si="15"/>
        <v>0</v>
      </c>
      <c r="P26" s="456">
        <f t="shared" si="16"/>
        <v>0</v>
      </c>
      <c r="Q26" s="454">
        <f t="shared" ca="1" si="17"/>
        <v>218.28987697453888</v>
      </c>
    </row>
    <row r="27" spans="1:17" s="460" customFormat="1">
      <c r="A27" s="458" t="s">
        <v>552</v>
      </c>
      <c r="B27" s="778">
        <f t="shared" ca="1" si="2"/>
        <v>6.1356194131694943</v>
      </c>
      <c r="C27" s="459">
        <f t="shared" ca="1" si="3"/>
        <v>0</v>
      </c>
      <c r="D27" s="459">
        <f t="shared" si="4"/>
        <v>29.695035758628038</v>
      </c>
      <c r="E27" s="459">
        <f t="shared" si="5"/>
        <v>17.707063085037763</v>
      </c>
      <c r="F27" s="459">
        <f t="shared" si="6"/>
        <v>0</v>
      </c>
      <c r="G27" s="459">
        <f t="shared" si="7"/>
        <v>8860.1753622958113</v>
      </c>
      <c r="H27" s="459">
        <f t="shared" si="8"/>
        <v>2326.0133545408294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11239.726435093477</v>
      </c>
    </row>
    <row r="28" spans="1:17" ht="16.5" customHeight="1">
      <c r="A28" s="454" t="s">
        <v>542</v>
      </c>
      <c r="B28" s="455">
        <f t="shared" ca="1" si="2"/>
        <v>0</v>
      </c>
      <c r="C28" s="455">
        <f t="shared" ca="1" si="3"/>
        <v>0</v>
      </c>
      <c r="D28" s="455">
        <f t="shared" si="4"/>
        <v>0</v>
      </c>
      <c r="E28" s="455">
        <f t="shared" si="5"/>
        <v>0</v>
      </c>
      <c r="F28" s="455">
        <f t="shared" si="6"/>
        <v>0</v>
      </c>
      <c r="G28" s="455">
        <f t="shared" si="7"/>
        <v>204.6050817368091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204.6050817368091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42.470631488996894</v>
      </c>
      <c r="C32" s="455">
        <f t="shared" ca="1" si="3"/>
        <v>0</v>
      </c>
      <c r="D32" s="455">
        <f t="shared" si="4"/>
        <v>83.037235446000011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125.50786693499691</v>
      </c>
    </row>
    <row r="33" spans="1:17" s="466" customFormat="1">
      <c r="A33" s="464" t="s">
        <v>546</v>
      </c>
      <c r="B33" s="465">
        <f ca="1">SUM(B22:B32)</f>
        <v>3526.0226979547997</v>
      </c>
      <c r="C33" s="465">
        <f t="shared" ref="C33:Q33" ca="1" si="19">SUM(C22:C32)</f>
        <v>2.7327627627627624</v>
      </c>
      <c r="D33" s="465">
        <f t="shared" ca="1" si="19"/>
        <v>4066.4593360977283</v>
      </c>
      <c r="E33" s="465">
        <f t="shared" si="19"/>
        <v>1213.0200768025989</v>
      </c>
      <c r="F33" s="465">
        <f t="shared" ca="1" si="19"/>
        <v>9208.5054853439106</v>
      </c>
      <c r="G33" s="465">
        <f t="shared" si="19"/>
        <v>9064.7804440326199</v>
      </c>
      <c r="H33" s="465">
        <f t="shared" si="19"/>
        <v>2326.0133545408294</v>
      </c>
      <c r="I33" s="465">
        <f t="shared" si="19"/>
        <v>0</v>
      </c>
      <c r="J33" s="465">
        <f t="shared" si="19"/>
        <v>132.46204452631036</v>
      </c>
      <c r="K33" s="465">
        <f t="shared" si="19"/>
        <v>0</v>
      </c>
      <c r="L33" s="465">
        <f t="shared" ca="1" si="19"/>
        <v>0</v>
      </c>
      <c r="M33" s="465">
        <f t="shared" si="19"/>
        <v>0</v>
      </c>
      <c r="N33" s="465">
        <f t="shared" ca="1" si="19"/>
        <v>0</v>
      </c>
      <c r="O33" s="465">
        <f t="shared" si="19"/>
        <v>0</v>
      </c>
      <c r="P33" s="465">
        <f t="shared" si="19"/>
        <v>0</v>
      </c>
      <c r="Q33" s="465">
        <f t="shared" ca="1" si="19"/>
        <v>29539.996202061564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2876.6541337697595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8.5</v>
      </c>
      <c r="D8" s="1026">
        <f>'SEAP template'!D76</f>
        <v>9.4444444444444429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1.9077777777777776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2876.6541337697595</v>
      </c>
      <c r="C10" s="1028">
        <f>SUM(C4:C9)</f>
        <v>8.5</v>
      </c>
      <c r="D10" s="1028">
        <f t="shared" ref="D10:H10" si="0">SUM(D8:D9)</f>
        <v>9.4444444444444429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1.9077777777777776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0.1872419090918685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12.175675675675675</v>
      </c>
      <c r="D17" s="1027">
        <f>'SEAP template'!D87</f>
        <v>13.528528528528525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2.7327627627627624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12.175675675675675</v>
      </c>
      <c r="D20" s="1028">
        <f t="shared" ref="D20:H20" si="2">SUM(D17:D19)</f>
        <v>13.528528528528525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2.7327627627627624</v>
      </c>
    </row>
    <row r="21" spans="1:16">
      <c r="B21" s="890"/>
    </row>
    <row r="22" spans="1:16">
      <c r="A22" s="467" t="s">
        <v>773</v>
      </c>
      <c r="B22" s="784" t="s">
        <v>771</v>
      </c>
      <c r="C22" s="784">
        <f ca="1">'EF ele_warmte'!B22</f>
        <v>0.22444444444444442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0.1872419090918685</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2020-06-20T15:21:14Z</dcterms:modified>
</cp:coreProperties>
</file>