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16" i="16" l="1"/>
  <c r="J15" i="16"/>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<sst xmlns="http://schemas.openxmlformats.org/spreadsheetml/2006/main" count="2366" uniqueCount="865">
  <si>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</si>
  <si>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</si>
  <si>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</si>
  <si>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</si>
  <si>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</si>
  <si>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</si>
  <si>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</si>
  <si>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</si>
  <si>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</si>
  <si>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</si>
  <si>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</si>
  <si>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</si>
  <si>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</si>
  <si>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</si>
  <si>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</si>
  <si>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</si>
  <si>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</si>
  <si>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</si>
  <si>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</si>
  <si>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</si>
  <si>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</si>
  <si>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</si>
  <si>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</si>
  <si>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</si>
  <si>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</si>
  <si>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</si>
  <si>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</si>
  <si>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</si>
  <si>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</si>
  <si>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</si>
  <si>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</si>
  <si>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</si>
  <si>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</si>
  <si>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</si>
  <si>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</si>
  <si>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</si>
  <si>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</si>
  <si>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</si>
  <si>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</si>
  <si>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</si>
  <si>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</si>
  <si>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</si>
  <si>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</si>
  <si>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</si>
  <si>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</si>
  <si>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</si>
  <si>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</si>
  <si>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</si>
  <si>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</si>
  <si>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</si>
  <si>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</si>
  <si>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</si>
  <si>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</si>
  <si>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</si>
  <si>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</si>
  <si>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</si>
  <si>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</si>
  <si>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</si>
  <si>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</si>
  <si>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</si>
  <si>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</si>
  <si>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</si>
  <si>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</si>
  <si>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</si>
  <si>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</si>
  <si>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</si>
  <si>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</si>
  <si>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</si>
  <si>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</si>
  <si>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</si>
  <si>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</si>
  <si>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</si>
  <si>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</si>
  <si>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</si>
  <si>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</si>
  <si>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</si>
  <si>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</si>
  <si>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</si>
  <si>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</si>
  <si>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</si>
  <si>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</si>
  <si>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</si>
  <si>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</si>
  <si>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</si>
  <si>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</si>
  <si>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</si>
  <si>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</si>
  <si>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</si>
  <si>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</si>
  <si>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</si>
  <si>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</si>
  <si>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</si>
  <si>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</si>
  <si>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</si>
  <si>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</si>
  <si>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</si>
  <si>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</si>
  <si>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</si>
  <si>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</si>
  <si>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</si>
  <si>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</si>
  <si>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</si>
  <si>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</si>
  <si>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</si>
  <si>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</si>
  <si>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</si>
  <si>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</si>
  <si>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</si>
  <si>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</si>
  <si>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</si>
  <si>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</si>
  <si>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</si>
  <si>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</si>
  <si>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</si>
  <si>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</si>
  <si>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</si>
  <si>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</si>
  <si>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</si>
  <si>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</si>
  <si>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</si>
  <si>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</si>
  <si>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</si>
  <si>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</si>
  <si>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</si>
  <si>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</si>
  <si>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</si>
  <si>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</si>
  <si>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</si>
  <si>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</si>
  <si>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</si>
  <si>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</si>
  <si>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</si>
  <si>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</si>
  <si>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</si>
  <si>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</si>
  <si>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</si>
  <si>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</si>
  <si>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</si>
  <si>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</si>
  <si>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</si>
  <si>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</si>
  <si>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</si>
  <si>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</si>
  <si>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</si>
  <si>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</si>
  <si>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</si>
  <si>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</si>
  <si>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</si>
  <si>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</si>
  <si>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</si>
  <si>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</si>
  <si>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</si>
  <si>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</si>
  <si>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</si>
  <si>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</si>
  <si>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</si>
  <si>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</si>
  <si>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</si>
  <si>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</si>
  <si>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</si>
  <si>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</si>
  <si>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</si>
  <si>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</si>
  <si>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</si>
  <si>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</si>
  <si>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</si>
  <si>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</si>
  <si>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</si>
  <si>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</si>
  <si>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</si>
  <si>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</si>
  <si>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</si>
  <si>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</si>
  <si>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</si>
  <si>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</si>
  <si>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</si>
  <si>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</si>
  <si>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</si>
  <si>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</si>
  <si>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</si>
  <si>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</si>
  <si>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</si>
  <si>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</si>
  <si>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</si>
  <si>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</si>
  <si>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</si>
  <si>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</si>
  <si>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</si>
  <si>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</si>
  <si>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</si>
  <si>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</si>
  <si>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</si>
  <si>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</si>
  <si>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</si>
  <si>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</si>
  <si>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</si>
  <si>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</si>
  <si>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</si>
  <si>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</si>
  <si>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</si>
  <si>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</si>
  <si>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</si>
  <si>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</si>
  <si>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</si>
  <si>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</si>
  <si>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</si>
  <si>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</si>
  <si>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</si>
  <si>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</si>
  <si>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</si>
  <si>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</si>
  <si>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</si>
  <si>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</si>
  <si>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</si>
  <si>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</si>
  <si>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</si>
  <si>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</si>
  <si>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</si>
  <si>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</si>
  <si>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</si>
  <si>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</si>
  <si>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</si>
  <si>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</si>
  <si>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</si>
  <si>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</si>
  <si>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</si>
  <si>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</si>
  <si>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</si>
  <si>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</si>
  <si>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</si>
  <si>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</si>
  <si>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</si>
  <si>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</si>
  <si>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</si>
  <si>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</si>
  <si>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</si>
  <si>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</si>
  <si>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</si>
  <si>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</si>
  <si>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</si>
  <si>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</si>
  <si>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</si>
  <si>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</si>
  <si>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</si>
  <si>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</si>
  <si>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</si>
  <si>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</si>
  <si>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</si>
  <si>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</si>
  <si>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</si>
  <si>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</si>
  <si>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</si>
  <si>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</si>
  <si>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</si>
  <si>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</si>
  <si>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</si>
  <si>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</si>
  <si>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</si>
  <si>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</si>
  <si>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</si>
  <si>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</si>
  <si>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</si>
  <si>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</si>
  <si>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</si>
  <si>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</si>
  <si>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</si>
  <si>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</si>
  <si>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</si>
  <si>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</si>
  <si>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</si>
  <si>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</si>
  <si>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</si>
  <si>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</si>
  <si>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</si>
  <si>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</si>
  <si>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</si>
  <si>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</si>
  <si>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</si>
  <si>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</si>
  <si>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</si>
  <si>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</si>
  <si>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</si>
  <si>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</si>
  <si>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</si>
  <si>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</si>
  <si>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</si>
  <si>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</si>
  <si>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</si>
  <si>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</si>
  <si>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</si>
  <si>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</si>
  <si>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</si>
  <si>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</si>
  <si>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</si>
  <si>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</si>
  <si>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</si>
  <si>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</si>
  <si>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</si>
  <si>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</si>
  <si>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</si>
  <si>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</si>
  <si>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</si>
  <si>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</si>
  <si>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</si>
  <si>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</si>
  <si>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</si>
  <si>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</si>
  <si>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</si>
  <si>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</si>
  <si>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</si>
  <si>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</si>
  <si>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</si>
  <si>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</si>
  <si>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</si>
  <si>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</si>
  <si>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</si>
  <si>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</si>
  <si>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</si>
  <si>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</si>
  <si>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</si>
  <si>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</si>
  <si>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</si>
  <si>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</si>
  <si>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</si>
  <si>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</si>
  <si>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</si>
  <si>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</si>
  <si>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</si>
  <si>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</si>
  <si>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</si>
  <si>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</si>
  <si>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</si>
  <si>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</si>
  <si>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</si>
  <si>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</si>
  <si>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</si>
  <si>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</si>
  <si>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</si>
  <si>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</si>
  <si>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</si>
  <si>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</si>
  <si>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</si>
  <si>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</si>
  <si>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</si>
  <si>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</si>
  <si>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</si>
  <si>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</si>
  <si>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</si>
  <si>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</si>
  <si>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</si>
  <si>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</si>
  <si>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</si>
  <si>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</si>
  <si>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</si>
  <si>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</si>
  <si>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</si>
  <si>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</si>
  <si>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</si>
  <si>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</si>
  <si>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</si>
  <si>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</si>
  <si>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</si>
  <si>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</si>
  <si>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</si>
  <si>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</si>
  <si>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</si>
  <si>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</si>
  <si>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</si>
  <si>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</si>
  <si>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</si>
  <si>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</si>
  <si>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</si>
  <si>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</si>
  <si>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</si>
  <si>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</si>
  <si>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</si>
  <si>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</si>
  <si>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</si>
  <si>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</si>
  <si>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</si>
  <si>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</si>
  <si>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</si>
  <si>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</si>
  <si>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</si>
  <si>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</si>
  <si>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</si>
  <si>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</si>
  <si>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</si>
  <si>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</si>
  <si>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</si>
  <si>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</si>
  <si>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</si>
  <si>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</si>
  <si>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</si>
  <si>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</si>
  <si>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</si>
  <si>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</si>
  <si>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</si>
  <si>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</si>
  <si>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</si>
  <si>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</si>
  <si>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</si>
  <si>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</si>
  <si>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</si>
  <si>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</si>
  <si>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</si>
  <si>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</si>
  <si>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</si>
  <si>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</si>
  <si>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</si>
  <si>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</si>
  <si>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</si>
  <si>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</si>
  <si>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</si>
  <si>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</si>
  <si>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</si>
  <si>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</si>
  <si>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</si>
  <si>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</si>
  <si>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</si>
  <si>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</si>
  <si>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</si>
  <si>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</si>
  <si>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</si>
  <si>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</si>
  <si>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</si>
  <si>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</si>
  <si>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</si>
  <si>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</si>
  <si>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</si>
  <si>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</si>
  <si>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</si>
  <si>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</si>
  <si>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</si>
  <si>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</si>
  <si>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</si>
  <si>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</si>
  <si>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</si>
  <si>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</si>
  <si>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</si>
  <si>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</si>
  <si>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</si>
  <si>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</si>
  <si>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</si>
  <si>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</si>
  <si>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</si>
  <si>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</si>
  <si>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</si>
  <si>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</si>
  <si>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</si>
  <si>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</si>
  <si>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</si>
  <si>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</si>
  <si>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</si>
  <si>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</si>
  <si>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</si>
  <si>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</si>
  <si>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</si>
  <si>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</si>
  <si>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</si>
  <si>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</si>
  <si>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</si>
  <si>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</si>
  <si>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</si>
  <si>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</si>
  <si>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</si>
  <si>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</si>
  <si>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</si>
  <si>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</si>
  <si>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</si>
  <si>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</si>
  <si>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</si>
  <si>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</si>
  <si>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</si>
  <si>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</si>
  <si>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</si>
  <si>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</si>
  <si>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</si>
  <si>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</si>
  <si>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</si>
  <si>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</si>
  <si>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</si>
  <si>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</si>
  <si>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</si>
  <si>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</si>
  <si>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</si>
  <si>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</si>
  <si>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</si>
  <si>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</si>
  <si>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</si>
  <si>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</si>
  <si>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</si>
  <si>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</si>
  <si>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</si>
  <si>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</si>
  <si>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</si>
  <si>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</si>
  <si>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</si>
  <si>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</si>
  <si>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</si>
  <si>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</si>
  <si>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</si>
  <si>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</si>
  <si>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</si>
  <si>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</si>
  <si>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</si>
  <si>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</si>
  <si>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</si>
  <si>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</si>
  <si>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</si>
  <si>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</si>
  <si>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</si>
  <si>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</si>
  <si>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</si>
  <si>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</si>
  <si>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</si>
  <si>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</si>
  <si>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</si>
  <si>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</si>
  <si>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</si>
  <si>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</si>
  <si>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</si>
  <si>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</si>
  <si>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</si>
  <si>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</si>
  <si>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</si>
  <si>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</si>
  <si>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</si>
  <si>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</si>
  <si>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</si>
  <si>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</si>
  <si>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</si>
  <si>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</si>
  <si>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</si>
  <si>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</si>
  <si>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</si>
  <si>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</si>
  <si>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</si>
  <si>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</si>
  <si>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</si>
  <si>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</si>
  <si>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</si>
  <si>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</si>
  <si>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</si>
  <si>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</si>
  <si>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</si>
  <si>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</si>
  <si>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</si>
  <si>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</si>
  <si>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</si>
  <si>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</si>
  <si>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</si>
  <si>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</si>
  <si>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</si>
  <si>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</si>
  <si>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</si>
  <si>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</si>
  <si>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</si>
  <si>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</si>
  <si>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</si>
  <si>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</si>
  <si>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</si>
  <si>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</si>
  <si>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</si>
  <si>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</si>
  <si>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</si>
  <si>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</si>
  <si>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</si>
  <si>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</si>
  <si>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</si>
  <si>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</si>
  <si>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</si>
  <si>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</si>
  <si>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</si>
  <si>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</si>
  <si>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</si>
  <si>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</si>
  <si>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</si>
  <si>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</si>
  <si>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</si>
  <si>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</si>
  <si>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</si>
  <si>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</si>
  <si>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</si>
  <si>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</si>
  <si>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</si>
  <si>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</si>
  <si>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</si>
  <si>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</si>
  <si>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</si>
  <si>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</si>
  <si>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</si>
  <si>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</si>
  <si>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</si>
  <si>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</si>
  <si>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</si>
  <si>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</si>
  <si>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</si>
  <si>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</si>
  <si>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</si>
  <si>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</si>
  <si>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</si>
  <si>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</si>
  <si>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</si>
  <si>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</si>
  <si>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</si>
  <si>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</si>
  <si>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</si>
  <si>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</si>
  <si>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</si>
  <si>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</si>
  <si>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</si>
  <si>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</si>
  <si>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</si>
  <si>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</si>
  <si>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</si>
  <si>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</si>
  <si>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</si>
  <si>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</si>
  <si>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</si>
  <si>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</si>
  <si>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</si>
  <si>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</si>
  <si>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</si>
  <si>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</si>
  <si>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</si>
  <si>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</si>
  <si>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</si>
  <si>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</si>
  <si>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</si>
  <si>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</si>
  <si>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</si>
  <si>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</si>
  <si>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</si>
  <si>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</si>
  <si>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</si>
  <si>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</si>
  <si>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</si>
  <si>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</si>
  <si>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</si>
  <si>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</si>
  <si>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</si>
  <si>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</si>
  <si>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</si>
  <si>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</si>
  <si>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</si>
  <si>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</si>
  <si>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</si>
  <si>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</si>
  <si>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</si>
  <si>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</si>
  <si>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</si>
  <si>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</si>
  <si>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</si>
  <si>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</si>
  <si>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</si>
  <si>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</si>
  <si>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</si>
  <si>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</si>
  <si>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</si>
  <si>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</si>
  <si>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</si>
  <si>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</si>
  <si>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</si>
  <si>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</si>
  <si>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</si>
  <si>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</si>
  <si>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</si>
  <si>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</si>
  <si>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</si>
  <si>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</si>
  <si>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</si>
  <si>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</si>
  <si>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</si>
  <si>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</si>
  <si>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</si>
  <si>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</si>
  <si>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</si>
  <si>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</si>
  <si>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</si>
  <si>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</si>
  <si>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</si>
  <si>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</si>
  <si>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</si>
  <si>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</si>
  <si>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</si>
  <si>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</si>
  <si>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</si>
  <si>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</si>
  <si>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</si>
  <si>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</si>
  <si>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</si>
  <si>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</si>
  <si>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</si>
  <si>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</si>
  <si>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</si>
  <si>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</si>
  <si>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</si>
  <si>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</si>
  <si>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</si>
  <si>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</si>
  <si>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</si>
  <si>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</si>
  <si>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</si>
  <si>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</si>
  <si>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</si>
  <si>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</si>
  <si>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</si>
  <si>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</si>
  <si>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</si>
  <si>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</si>
  <si>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</si>
  <si>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</si>
  <si>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</si>
  <si>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</si>
  <si>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</si>
  <si>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</si>
  <si>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</si>
  <si>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</si>
  <si>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</si>
  <si>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</si>
  <si>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</si>
  <si>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</si>
  <si>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</si>
  <si>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</si>
  <si>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</si>
  <si>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</si>
  <si>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</si>
  <si>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</si>
  <si>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</si>
  <si>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</si>
  <si>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</si>
  <si>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</si>
  <si>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</si>
  <si>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</si>
  <si>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</si>
  <si>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</si>
  <si>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</si>
  <si>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</si>
  <si>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</si>
  <si>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</si>
  <si>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</si>
  <si>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</si>
  <si>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</si>
  <si>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</si>
  <si>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</si>
  <si>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</si>
  <si>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</si>
  <si>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</si>
  <si>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</si>
  <si>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</si>
  <si>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</si>
  <si>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</si>
  <si>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</si>
  <si>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</si>
  <si>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</si>
  <si>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</si>
  <si>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</si>
  <si>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</si>
  <si>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</si>
  <si>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</si>
  <si>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</si>
  <si>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</si>
  <si>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</si>
  <si>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</si>
  <si>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</si>
  <si>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</si>
  <si>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</si>
  <si>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</si>
  <si>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</si>
  <si>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</si>
  <si>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</si>
  <si>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</si>
  <si>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</si>
  <si>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</si>
  <si>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</si>
  <si>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</si>
  <si>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</si>
  <si>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</si>
  <si>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</si>
  <si>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</si>
  <si>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</si>
  <si>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</si>
  <si>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</si>
  <si>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</si>
  <si>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</si>
  <si>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</si>
  <si>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</si>
  <si>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</si>
  <si>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</si>
  <si>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</si>
  <si>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</si>
  <si>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</si>
  <si>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</si>
  <si>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</si>
  <si>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</si>
  <si>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</si>
  <si>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</si>
  <si>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</si>
  <si>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</si>
  <si>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</si>
  <si>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</si>
  <si>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</si>
  <si>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</si>
  <si>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</si>
  <si>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</si>
  <si>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</si>
  <si>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</si>
  <si>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</si>
  <si>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</si>
  <si>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</si>
  <si>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</si>
  <si>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</si>
  <si>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</si>
  <si>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</si>
  <si>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</si>
  <si>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</si>
  <si>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</si>
  <si>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</si>
  <si>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</si>
  <si>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</si>
  <si>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</si>
  <si>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</si>
  <si>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</si>
  <si>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</si>
  <si>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</si>
  <si>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</si>
  <si>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</si>
  <si>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</si>
  <si>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</si>
  <si>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</si>
  <si>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</si>
  <si>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</si>
  <si>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</si>
  <si>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</si>
  <si>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</si>
  <si>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</si>
  <si>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</si>
  <si>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</si>
  <si>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</si>
  <si>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</si>
  <si>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</si>
  <si>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</si>
  <si>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</si>
  <si>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</si>
  <si>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</si>
  <si>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</si>
  <si>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</si>
  <si>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</si>
  <si>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</si>
  <si>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</si>
  <si>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</si>
  <si>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</si>
  <si>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</si>
  <si>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</si>
  <si>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</si>
  <si>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</si>
  <si>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</si>
  <si>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</si>
  <si>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</si>
  <si>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</si>
  <si>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</si>
  <si>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24107</t>
  </si>
  <si>
    <t>TIENEN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</si>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</sst>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264913.53635441465</c:v>
                </c:pt>
                <c:pt idx="1">
                  <c:v>166375.31231925348</c:v>
                </c:pt>
                <c:pt idx="2">
                  <c:v>2338.4369999999999</c:v>
                </c:pt>
                <c:pt idx="3">
                  <c:v>10895.232825241028</c:v>
                </c:pt>
                <c:pt idx="4">
                  <c:v>139546.21001681307</c:v>
                </c:pt>
                <c:pt idx="5">
                  <c:v>228832.10240773772</c:v>
                </c:pt>
                <c:pt idx="6">
                  <c:v>3334.8669421531931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264913.53635441465</c:v>
                </c:pt>
                <c:pt idx="1">
                  <c:v>166375.31231925348</c:v>
                </c:pt>
                <c:pt idx="2">
                  <c:v>2338.4369999999999</c:v>
                </c:pt>
                <c:pt idx="3">
                  <c:v>10895.232825241028</c:v>
                </c:pt>
                <c:pt idx="4">
                  <c:v>139546.21001681307</c:v>
                </c:pt>
                <c:pt idx="5">
                  <c:v>228832.10240773772</c:v>
                </c:pt>
                <c:pt idx="6">
                  <c:v>3334.8669421531931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53726.892808749719</c:v>
                </c:pt>
                <c:pt idx="1">
                  <c:v>34237.679060372524</c:v>
                </c:pt>
                <c:pt idx="2">
                  <c:v>489.40691588007275</c:v>
                </c:pt>
                <c:pt idx="3">
                  <c:v>2787.6749850859878</c:v>
                </c:pt>
                <c:pt idx="4">
                  <c:v>29431.276640173168</c:v>
                </c:pt>
                <c:pt idx="5">
                  <c:v>56899.082306880213</c:v>
                </c:pt>
                <c:pt idx="6">
                  <c:v>844.57786806578656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53726.892808749719</c:v>
                </c:pt>
                <c:pt idx="1">
                  <c:v>34237.679060372524</c:v>
                </c:pt>
                <c:pt idx="2">
                  <c:v>489.40691588007275</c:v>
                </c:pt>
                <c:pt idx="3">
                  <c:v>2787.6749850859878</c:v>
                </c:pt>
                <c:pt idx="4">
                  <c:v>29431.276640173168</c:v>
                </c:pt>
                <c:pt idx="5">
                  <c:v>56899.082306880213</c:v>
                </c:pt>
                <c:pt idx="6">
                  <c:v>844.57786806578656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24107</v>
      </c>
      <c r="B6" s="392"/>
      <c r="C6" s="393"/>
    </row>
    <row r="7" spans="1:7" s="390" customFormat="1" ht="15.75" customHeight="1">
      <c r="A7" s="394" t="str">
        <f>txtMunicipality</f>
        <v>TIENEN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0.20928804833316988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0.20928804833316988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15245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4724.53</v>
      </c>
      <c r="C14" s="332"/>
      <c r="D14" s="332"/>
      <c r="E14" s="332"/>
      <c r="F14" s="332"/>
    </row>
    <row r="15" spans="1:6">
      <c r="A15" s="1310" t="s">
        <v>183</v>
      </c>
      <c r="B15" s="1311">
        <v>22</v>
      </c>
      <c r="C15" s="332"/>
      <c r="D15" s="332"/>
      <c r="E15" s="332"/>
      <c r="F15" s="332"/>
    </row>
    <row r="16" spans="1:6">
      <c r="A16" s="1310" t="s">
        <v>6</v>
      </c>
      <c r="B16" s="1311">
        <v>989</v>
      </c>
      <c r="C16" s="332"/>
      <c r="D16" s="332"/>
      <c r="E16" s="332"/>
      <c r="F16" s="332"/>
    </row>
    <row r="17" spans="1:6">
      <c r="A17" s="1310" t="s">
        <v>7</v>
      </c>
      <c r="B17" s="1311">
        <v>828</v>
      </c>
      <c r="C17" s="332"/>
      <c r="D17" s="332"/>
      <c r="E17" s="332"/>
      <c r="F17" s="332"/>
    </row>
    <row r="18" spans="1:6">
      <c r="A18" s="1310" t="s">
        <v>8</v>
      </c>
      <c r="B18" s="1311">
        <v>1201</v>
      </c>
      <c r="C18" s="332"/>
      <c r="D18" s="332"/>
      <c r="E18" s="332"/>
      <c r="F18" s="332"/>
    </row>
    <row r="19" spans="1:6">
      <c r="A19" s="1310" t="s">
        <v>9</v>
      </c>
      <c r="B19" s="1311">
        <v>881</v>
      </c>
      <c r="C19" s="332"/>
      <c r="D19" s="332"/>
      <c r="E19" s="332"/>
      <c r="F19" s="332"/>
    </row>
    <row r="20" spans="1:6">
      <c r="A20" s="1310" t="s">
        <v>10</v>
      </c>
      <c r="B20" s="1311">
        <v>901</v>
      </c>
      <c r="C20" s="332"/>
      <c r="D20" s="332"/>
      <c r="E20" s="332"/>
      <c r="F20" s="332"/>
    </row>
    <row r="21" spans="1:6">
      <c r="A21" s="1310" t="s">
        <v>11</v>
      </c>
      <c r="B21" s="1311">
        <v>1304</v>
      </c>
      <c r="C21" s="332"/>
      <c r="D21" s="332"/>
      <c r="E21" s="332"/>
      <c r="F21" s="332"/>
    </row>
    <row r="22" spans="1:6">
      <c r="A22" s="1310" t="s">
        <v>12</v>
      </c>
      <c r="B22" s="1311">
        <v>8287</v>
      </c>
      <c r="C22" s="332"/>
      <c r="D22" s="332"/>
      <c r="E22" s="332"/>
      <c r="F22" s="332"/>
    </row>
    <row r="23" spans="1:6">
      <c r="A23" s="1310" t="s">
        <v>13</v>
      </c>
      <c r="B23" s="1311">
        <v>61</v>
      </c>
      <c r="C23" s="332"/>
      <c r="D23" s="332"/>
      <c r="E23" s="332"/>
      <c r="F23" s="332"/>
    </row>
    <row r="24" spans="1:6">
      <c r="A24" s="1310" t="s">
        <v>14</v>
      </c>
      <c r="B24" s="1311">
        <v>12</v>
      </c>
      <c r="C24" s="332"/>
      <c r="D24" s="332"/>
      <c r="E24" s="332"/>
      <c r="F24" s="332"/>
    </row>
    <row r="25" spans="1:6">
      <c r="A25" s="1310" t="s">
        <v>15</v>
      </c>
      <c r="B25" s="1311">
        <v>229</v>
      </c>
      <c r="C25" s="332"/>
      <c r="D25" s="332"/>
      <c r="E25" s="332"/>
      <c r="F25" s="332"/>
    </row>
    <row r="26" spans="1:6">
      <c r="A26" s="1310" t="s">
        <v>16</v>
      </c>
      <c r="B26" s="1311">
        <v>237</v>
      </c>
      <c r="C26" s="332"/>
      <c r="D26" s="332"/>
      <c r="E26" s="332"/>
      <c r="F26" s="332"/>
    </row>
    <row r="27" spans="1:6">
      <c r="A27" s="1310" t="s">
        <v>17</v>
      </c>
      <c r="B27" s="1311">
        <v>11</v>
      </c>
      <c r="C27" s="332"/>
      <c r="D27" s="332"/>
      <c r="E27" s="332"/>
      <c r="F27" s="332"/>
    </row>
    <row r="28" spans="1:6" s="43" customFormat="1">
      <c r="A28" s="1312" t="s">
        <v>18</v>
      </c>
      <c r="B28" s="1313">
        <v>13943</v>
      </c>
      <c r="C28" s="338"/>
      <c r="D28" s="338"/>
      <c r="E28" s="338"/>
      <c r="F28" s="338"/>
    </row>
    <row r="29" spans="1:6">
      <c r="A29" s="1312" t="s">
        <v>699</v>
      </c>
      <c r="B29" s="1313">
        <v>187</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6</v>
      </c>
      <c r="F36" s="1311">
        <v>16105.2616679988</v>
      </c>
    </row>
    <row r="37" spans="1:6">
      <c r="A37" s="1310" t="s">
        <v>24</v>
      </c>
      <c r="B37" s="1310" t="s">
        <v>27</v>
      </c>
      <c r="C37" s="1311">
        <v>0</v>
      </c>
      <c r="D37" s="1311">
        <v>0</v>
      </c>
      <c r="E37" s="1311">
        <v>0</v>
      </c>
      <c r="F37" s="1311">
        <v>0</v>
      </c>
    </row>
    <row r="38" spans="1:6">
      <c r="A38" s="1310" t="s">
        <v>24</v>
      </c>
      <c r="B38" s="1310" t="s">
        <v>28</v>
      </c>
      <c r="C38" s="1311">
        <v>2</v>
      </c>
      <c r="D38" s="1311">
        <v>189057.46641925501</v>
      </c>
      <c r="E38" s="1311">
        <v>2</v>
      </c>
      <c r="F38" s="1311">
        <v>11289.7871630872</v>
      </c>
    </row>
    <row r="39" spans="1:6">
      <c r="A39" s="1310" t="s">
        <v>29</v>
      </c>
      <c r="B39" s="1310" t="s">
        <v>30</v>
      </c>
      <c r="C39" s="1311">
        <v>11414</v>
      </c>
      <c r="D39" s="1311">
        <v>176002618.27375001</v>
      </c>
      <c r="E39" s="1311">
        <v>15342</v>
      </c>
      <c r="F39" s="1311">
        <v>46739894.847027399</v>
      </c>
    </row>
    <row r="40" spans="1:6">
      <c r="A40" s="1310" t="s">
        <v>29</v>
      </c>
      <c r="B40" s="1310" t="s">
        <v>28</v>
      </c>
      <c r="C40" s="1311">
        <v>0</v>
      </c>
      <c r="D40" s="1311">
        <v>0</v>
      </c>
      <c r="E40" s="1311">
        <v>0</v>
      </c>
      <c r="F40" s="1311">
        <v>0</v>
      </c>
    </row>
    <row r="41" spans="1:6">
      <c r="A41" s="1310" t="s">
        <v>31</v>
      </c>
      <c r="B41" s="1310" t="s">
        <v>32</v>
      </c>
      <c r="C41" s="1311">
        <v>155</v>
      </c>
      <c r="D41" s="1311">
        <v>2987964.2219606098</v>
      </c>
      <c r="E41" s="1311">
        <v>282</v>
      </c>
      <c r="F41" s="1311">
        <v>11865792.0528866</v>
      </c>
    </row>
    <row r="42" spans="1:6">
      <c r="A42" s="1310" t="s">
        <v>31</v>
      </c>
      <c r="B42" s="1310" t="s">
        <v>33</v>
      </c>
      <c r="C42" s="1311">
        <v>3</v>
      </c>
      <c r="D42" s="1311">
        <v>75775.842485136003</v>
      </c>
      <c r="E42" s="1311">
        <v>0</v>
      </c>
      <c r="F42" s="1311">
        <v>0</v>
      </c>
    </row>
    <row r="43" spans="1:6">
      <c r="A43" s="1310" t="s">
        <v>31</v>
      </c>
      <c r="B43" s="1310" t="s">
        <v>34</v>
      </c>
      <c r="C43" s="1311">
        <v>0</v>
      </c>
      <c r="D43" s="1311">
        <v>0</v>
      </c>
      <c r="E43" s="1311">
        <v>0</v>
      </c>
      <c r="F43" s="1311">
        <v>0</v>
      </c>
    </row>
    <row r="44" spans="1:6">
      <c r="A44" s="1310" t="s">
        <v>31</v>
      </c>
      <c r="B44" s="1310" t="s">
        <v>35</v>
      </c>
      <c r="C44" s="1311">
        <v>25</v>
      </c>
      <c r="D44" s="1311">
        <v>16918652.025008701</v>
      </c>
      <c r="E44" s="1311">
        <v>47</v>
      </c>
      <c r="F44" s="1311">
        <v>27074136.771366701</v>
      </c>
    </row>
    <row r="45" spans="1:6">
      <c r="A45" s="1310" t="s">
        <v>31</v>
      </c>
      <c r="B45" s="1310" t="s">
        <v>36</v>
      </c>
      <c r="C45" s="1311">
        <v>0</v>
      </c>
      <c r="D45" s="1311">
        <v>0</v>
      </c>
      <c r="E45" s="1311">
        <v>4</v>
      </c>
      <c r="F45" s="1311">
        <v>286180.03687816602</v>
      </c>
    </row>
    <row r="46" spans="1:6">
      <c r="A46" s="1310" t="s">
        <v>31</v>
      </c>
      <c r="B46" s="1310" t="s">
        <v>37</v>
      </c>
      <c r="C46" s="1311">
        <v>3</v>
      </c>
      <c r="D46" s="1311">
        <v>3728312.0858118902</v>
      </c>
      <c r="E46" s="1311">
        <v>3</v>
      </c>
      <c r="F46" s="1311">
        <v>22562711.595235299</v>
      </c>
    </row>
    <row r="47" spans="1:6">
      <c r="A47" s="1310" t="s">
        <v>31</v>
      </c>
      <c r="B47" s="1310" t="s">
        <v>38</v>
      </c>
      <c r="C47" s="1311">
        <v>3</v>
      </c>
      <c r="D47" s="1311">
        <v>90077.915770535605</v>
      </c>
      <c r="E47" s="1311">
        <v>3</v>
      </c>
      <c r="F47" s="1311">
        <v>9474.6462615595992</v>
      </c>
    </row>
    <row r="48" spans="1:6">
      <c r="A48" s="1310" t="s">
        <v>31</v>
      </c>
      <c r="B48" s="1310" t="s">
        <v>28</v>
      </c>
      <c r="C48" s="1311">
        <v>3</v>
      </c>
      <c r="D48" s="1311">
        <v>250039.39115788799</v>
      </c>
      <c r="E48" s="1311">
        <v>3</v>
      </c>
      <c r="F48" s="1311">
        <v>22495523.720416501</v>
      </c>
    </row>
    <row r="49" spans="1:6">
      <c r="A49" s="1310" t="s">
        <v>31</v>
      </c>
      <c r="B49" s="1310" t="s">
        <v>39</v>
      </c>
      <c r="C49" s="1311">
        <v>3</v>
      </c>
      <c r="D49" s="1311">
        <v>45617.778975492998</v>
      </c>
      <c r="E49" s="1311">
        <v>3</v>
      </c>
      <c r="F49" s="1311">
        <v>12179.415698432</v>
      </c>
    </row>
    <row r="50" spans="1:6">
      <c r="A50" s="1310" t="s">
        <v>31</v>
      </c>
      <c r="B50" s="1310" t="s">
        <v>40</v>
      </c>
      <c r="C50" s="1311">
        <v>20</v>
      </c>
      <c r="D50" s="1311">
        <v>2147016.9174685199</v>
      </c>
      <c r="E50" s="1311">
        <v>30</v>
      </c>
      <c r="F50" s="1311">
        <v>20028874.599143799</v>
      </c>
    </row>
    <row r="51" spans="1:6">
      <c r="A51" s="1310" t="s">
        <v>41</v>
      </c>
      <c r="B51" s="1310" t="s">
        <v>42</v>
      </c>
      <c r="C51" s="1311">
        <v>30</v>
      </c>
      <c r="D51" s="1311">
        <v>663723.60987539601</v>
      </c>
      <c r="E51" s="1311">
        <v>121</v>
      </c>
      <c r="F51" s="1311">
        <v>2265729.0009684502</v>
      </c>
    </row>
    <row r="52" spans="1:6">
      <c r="A52" s="1310" t="s">
        <v>41</v>
      </c>
      <c r="B52" s="1310" t="s">
        <v>28</v>
      </c>
      <c r="C52" s="1311">
        <v>0</v>
      </c>
      <c r="D52" s="1311">
        <v>0</v>
      </c>
      <c r="E52" s="1311">
        <v>0</v>
      </c>
      <c r="F52" s="1311">
        <v>0</v>
      </c>
    </row>
    <row r="53" spans="1:6">
      <c r="A53" s="1310" t="s">
        <v>43</v>
      </c>
      <c r="B53" s="1310" t="s">
        <v>44</v>
      </c>
      <c r="C53" s="1311">
        <v>321</v>
      </c>
      <c r="D53" s="1311">
        <v>7880575.7653102204</v>
      </c>
      <c r="E53" s="1311">
        <v>594</v>
      </c>
      <c r="F53" s="1311">
        <v>1909075.99811847</v>
      </c>
    </row>
    <row r="54" spans="1:6">
      <c r="A54" s="1310" t="s">
        <v>45</v>
      </c>
      <c r="B54" s="1310" t="s">
        <v>46</v>
      </c>
      <c r="C54" s="1311">
        <v>0</v>
      </c>
      <c r="D54" s="1311">
        <v>0</v>
      </c>
      <c r="E54" s="1311">
        <v>1</v>
      </c>
      <c r="F54" s="1311">
        <v>2338437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111</v>
      </c>
      <c r="D57" s="1311">
        <v>4025050.8897386999</v>
      </c>
      <c r="E57" s="1311">
        <v>168</v>
      </c>
      <c r="F57" s="1311">
        <v>5023171.8061860502</v>
      </c>
    </row>
    <row r="58" spans="1:6">
      <c r="A58" s="1310" t="s">
        <v>48</v>
      </c>
      <c r="B58" s="1310" t="s">
        <v>50</v>
      </c>
      <c r="C58" s="1311">
        <v>108</v>
      </c>
      <c r="D58" s="1311">
        <v>17381573.9987753</v>
      </c>
      <c r="E58" s="1311">
        <v>136</v>
      </c>
      <c r="F58" s="1311">
        <v>8479634.6913195793</v>
      </c>
    </row>
    <row r="59" spans="1:6">
      <c r="A59" s="1310" t="s">
        <v>48</v>
      </c>
      <c r="B59" s="1310" t="s">
        <v>51</v>
      </c>
      <c r="C59" s="1311">
        <v>343</v>
      </c>
      <c r="D59" s="1311">
        <v>18368634.8107954</v>
      </c>
      <c r="E59" s="1311">
        <v>509</v>
      </c>
      <c r="F59" s="1311">
        <v>16963559.4860317</v>
      </c>
    </row>
    <row r="60" spans="1:6">
      <c r="A60" s="1310" t="s">
        <v>48</v>
      </c>
      <c r="B60" s="1310" t="s">
        <v>52</v>
      </c>
      <c r="C60" s="1311">
        <v>169</v>
      </c>
      <c r="D60" s="1311">
        <v>12637426.543669799</v>
      </c>
      <c r="E60" s="1311">
        <v>170</v>
      </c>
      <c r="F60" s="1311">
        <v>5546100.7229151297</v>
      </c>
    </row>
    <row r="61" spans="1:6">
      <c r="A61" s="1310" t="s">
        <v>48</v>
      </c>
      <c r="B61" s="1310" t="s">
        <v>53</v>
      </c>
      <c r="C61" s="1311">
        <v>483</v>
      </c>
      <c r="D61" s="1311">
        <v>39490909.118505001</v>
      </c>
      <c r="E61" s="1311">
        <v>974</v>
      </c>
      <c r="F61" s="1311">
        <v>31671623.078152001</v>
      </c>
    </row>
    <row r="62" spans="1:6">
      <c r="A62" s="1310" t="s">
        <v>48</v>
      </c>
      <c r="B62" s="1310" t="s">
        <v>54</v>
      </c>
      <c r="C62" s="1311">
        <v>27</v>
      </c>
      <c r="D62" s="1311">
        <v>3629000.8120343699</v>
      </c>
      <c r="E62" s="1311">
        <v>30</v>
      </c>
      <c r="F62" s="1311">
        <v>836379.59053799498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148524.20242708799</v>
      </c>
      <c r="E65" s="1311">
        <v>0</v>
      </c>
      <c r="F65" s="1311">
        <v>0</v>
      </c>
    </row>
    <row r="66" spans="1:6">
      <c r="A66" s="1310" t="s">
        <v>55</v>
      </c>
      <c r="B66" s="1310" t="s">
        <v>57</v>
      </c>
      <c r="C66" s="1311">
        <v>0</v>
      </c>
      <c r="D66" s="1311">
        <v>0</v>
      </c>
      <c r="E66" s="1311">
        <v>29</v>
      </c>
      <c r="F66" s="1311">
        <v>720898.14032107103</v>
      </c>
    </row>
    <row r="67" spans="1:6">
      <c r="A67" s="1312" t="s">
        <v>55</v>
      </c>
      <c r="B67" s="1312" t="s">
        <v>58</v>
      </c>
      <c r="C67" s="1311">
        <v>0</v>
      </c>
      <c r="D67" s="1311">
        <v>0</v>
      </c>
      <c r="E67" s="1311">
        <v>0</v>
      </c>
      <c r="F67" s="1311">
        <v>0</v>
      </c>
    </row>
    <row r="68" spans="1:6">
      <c r="A68" s="1305" t="s">
        <v>55</v>
      </c>
      <c r="B68" s="1305" t="s">
        <v>59</v>
      </c>
      <c r="C68" s="1314">
        <v>10</v>
      </c>
      <c r="D68" s="1314">
        <v>435840.21789556701</v>
      </c>
      <c r="E68" s="1314">
        <v>23</v>
      </c>
      <c r="F68" s="1314">
        <v>1194881.6502316501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134876688</v>
      </c>
      <c r="E73" s="453"/>
      <c r="F73" s="332"/>
    </row>
    <row r="74" spans="1:6">
      <c r="A74" s="1310" t="s">
        <v>63</v>
      </c>
      <c r="B74" s="1310" t="s">
        <v>648</v>
      </c>
      <c r="C74" s="1324" t="s">
        <v>650</v>
      </c>
      <c r="D74" s="1325">
        <v>15734124.452726262</v>
      </c>
      <c r="E74" s="453"/>
      <c r="F74" s="332"/>
    </row>
    <row r="75" spans="1:6">
      <c r="A75" s="1310" t="s">
        <v>64</v>
      </c>
      <c r="B75" s="1310" t="s">
        <v>647</v>
      </c>
      <c r="C75" s="1324" t="s">
        <v>651</v>
      </c>
      <c r="D75" s="1325">
        <v>46621256</v>
      </c>
      <c r="E75" s="453"/>
      <c r="F75" s="332"/>
    </row>
    <row r="76" spans="1:6">
      <c r="A76" s="1310" t="s">
        <v>64</v>
      </c>
      <c r="B76" s="1310" t="s">
        <v>648</v>
      </c>
      <c r="C76" s="1324" t="s">
        <v>652</v>
      </c>
      <c r="D76" s="1325">
        <v>1662375.4527262615</v>
      </c>
      <c r="E76" s="453"/>
      <c r="F76" s="332"/>
    </row>
    <row r="77" spans="1:6">
      <c r="A77" s="1310" t="s">
        <v>65</v>
      </c>
      <c r="B77" s="1310" t="s">
        <v>647</v>
      </c>
      <c r="C77" s="1324" t="s">
        <v>653</v>
      </c>
      <c r="D77" s="1325">
        <v>52791495</v>
      </c>
      <c r="E77" s="453"/>
      <c r="F77" s="332"/>
    </row>
    <row r="78" spans="1:6">
      <c r="A78" s="1305" t="s">
        <v>65</v>
      </c>
      <c r="B78" s="1305" t="s">
        <v>648</v>
      </c>
      <c r="C78" s="1305" t="s">
        <v>654</v>
      </c>
      <c r="D78" s="1326">
        <v>6871781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925011.09454747697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6561.1659830710951</v>
      </c>
      <c r="C91" s="332"/>
      <c r="D91" s="332"/>
      <c r="E91" s="332"/>
      <c r="F91" s="332"/>
    </row>
    <row r="92" spans="1:6">
      <c r="A92" s="1305" t="s">
        <v>68</v>
      </c>
      <c r="B92" s="1306">
        <v>5777.6088412673334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7932</v>
      </c>
      <c r="C97" s="332"/>
      <c r="D97" s="332"/>
      <c r="E97" s="332"/>
      <c r="F97" s="332"/>
    </row>
    <row r="98" spans="1:6">
      <c r="A98" s="1310" t="s">
        <v>71</v>
      </c>
      <c r="B98" s="1311">
        <v>4</v>
      </c>
      <c r="C98" s="332"/>
      <c r="D98" s="332"/>
      <c r="E98" s="332"/>
      <c r="F98" s="332"/>
    </row>
    <row r="99" spans="1:6">
      <c r="A99" s="1310" t="s">
        <v>72</v>
      </c>
      <c r="B99" s="1311">
        <v>90</v>
      </c>
      <c r="C99" s="332"/>
      <c r="D99" s="332"/>
      <c r="E99" s="332"/>
      <c r="F99" s="332"/>
    </row>
    <row r="100" spans="1:6">
      <c r="A100" s="1310" t="s">
        <v>73</v>
      </c>
      <c r="B100" s="1311">
        <v>630</v>
      </c>
      <c r="C100" s="332"/>
      <c r="D100" s="332"/>
      <c r="E100" s="332"/>
      <c r="F100" s="332"/>
    </row>
    <row r="101" spans="1:6">
      <c r="A101" s="1310" t="s">
        <v>74</v>
      </c>
      <c r="B101" s="1311">
        <v>56</v>
      </c>
      <c r="C101" s="332"/>
      <c r="D101" s="332"/>
      <c r="E101" s="332"/>
      <c r="F101" s="332"/>
    </row>
    <row r="102" spans="1:6">
      <c r="A102" s="1310" t="s">
        <v>75</v>
      </c>
      <c r="B102" s="1311">
        <v>307</v>
      </c>
      <c r="C102" s="332"/>
      <c r="D102" s="332"/>
      <c r="E102" s="332"/>
      <c r="F102" s="332"/>
    </row>
    <row r="103" spans="1:6">
      <c r="A103" s="1310" t="s">
        <v>76</v>
      </c>
      <c r="B103" s="1311">
        <v>329</v>
      </c>
      <c r="C103" s="332"/>
      <c r="D103" s="332"/>
      <c r="E103" s="332"/>
      <c r="F103" s="332"/>
    </row>
    <row r="104" spans="1:6">
      <c r="A104" s="1310" t="s">
        <v>77</v>
      </c>
      <c r="B104" s="1311">
        <v>4635</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34</v>
      </c>
      <c r="C123" s="1311">
        <v>40</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169</v>
      </c>
      <c r="C129" s="332"/>
      <c r="D129" s="332"/>
      <c r="E129" s="332"/>
      <c r="F129" s="332"/>
    </row>
    <row r="130" spans="1:6">
      <c r="A130" s="1310" t="s">
        <v>294</v>
      </c>
      <c r="B130" s="1311">
        <v>2</v>
      </c>
      <c r="C130" s="332"/>
      <c r="D130" s="332"/>
      <c r="E130" s="332"/>
      <c r="F130" s="332"/>
    </row>
    <row r="131" spans="1:6">
      <c r="A131" s="1310" t="s">
        <v>295</v>
      </c>
      <c r="B131" s="1311">
        <v>8</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232827.9106463244</v>
      </c>
      <c r="C3" s="43" t="s">
        <v>169</v>
      </c>
      <c r="D3" s="43"/>
      <c r="E3" s="154"/>
      <c r="F3" s="43"/>
      <c r="G3" s="43"/>
      <c r="H3" s="43"/>
      <c r="I3" s="43"/>
      <c r="J3" s="43"/>
      <c r="K3" s="96"/>
    </row>
    <row r="4" spans="1:11">
      <c r="A4" s="360" t="s">
        <v>170</v>
      </c>
      <c r="B4" s="49">
        <f>IF(ISERROR('SEAP template'!B78+'SEAP template'!C78),0,'SEAP template'!B78+'SEAP template'!C78)</f>
        <v>12338.774824338429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0.20928804833316988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2338.4369999999999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2338.4369999999999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0.20928804833316988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489.40691588007275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46739.894847027397</v>
      </c>
      <c r="C5" s="17">
        <f>IF(ISERROR('Eigen informatie GS &amp; warmtenet'!B59),0,'Eigen informatie GS &amp; warmtenet'!B59)</f>
        <v>0</v>
      </c>
      <c r="D5" s="30">
        <f>(SUM(HH_hh_gas_kWh,HH_rest_gas_kWh)/1000)*0.903</f>
        <v>158930.36430119627</v>
      </c>
      <c r="E5" s="17">
        <f>B46*B57</f>
        <v>9491.7333133779703</v>
      </c>
      <c r="F5" s="17">
        <f>B51*B62</f>
        <v>31135.059035776743</v>
      </c>
      <c r="G5" s="18"/>
      <c r="H5" s="17"/>
      <c r="I5" s="17"/>
      <c r="J5" s="17">
        <f>B50*B61+C50*C61</f>
        <v>0</v>
      </c>
      <c r="K5" s="17"/>
      <c r="L5" s="17"/>
      <c r="M5" s="17"/>
      <c r="N5" s="17">
        <f>B48*B59+C48*C59</f>
        <v>11069.853845278887</v>
      </c>
      <c r="O5" s="17">
        <f>B69*B70*B71</f>
        <v>416.63122607127667</v>
      </c>
      <c r="P5" s="17">
        <f>B77*B78*B79/1000-B77*B78*B79/1000/B80</f>
        <v>568.83380261499121</v>
      </c>
    </row>
    <row r="6" spans="1:16">
      <c r="A6" s="16" t="s">
        <v>612</v>
      </c>
      <c r="B6" s="786">
        <f>kWh_PV_kleiner_dan_10kW</f>
        <v>6561.1659830710951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53301.06083009849</v>
      </c>
      <c r="C8" s="21">
        <f>C5</f>
        <v>0</v>
      </c>
      <c r="D8" s="21">
        <f>D5</f>
        <v>158930.36430119627</v>
      </c>
      <c r="E8" s="21">
        <f>E5</f>
        <v>9491.7333133779703</v>
      </c>
      <c r="F8" s="21">
        <f>F5</f>
        <v>31135.059035776743</v>
      </c>
      <c r="G8" s="21"/>
      <c r="H8" s="21"/>
      <c r="I8" s="21"/>
      <c r="J8" s="21">
        <f>J5</f>
        <v>0</v>
      </c>
      <c r="K8" s="21"/>
      <c r="L8" s="21">
        <f>L5</f>
        <v>0</v>
      </c>
      <c r="M8" s="21">
        <f>M5</f>
        <v>0</v>
      </c>
      <c r="N8" s="21">
        <f>N5</f>
        <v>11069.853845278887</v>
      </c>
      <c r="O8" s="21">
        <f>O5</f>
        <v>416.63122607127667</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0.20928804833316988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11155.274995218881</v>
      </c>
      <c r="C12" s="23">
        <f ca="1">C10*C8</f>
        <v>0</v>
      </c>
      <c r="D12" s="23">
        <f>D8*D10</f>
        <v>32103.93358884165</v>
      </c>
      <c r="E12" s="23">
        <f>E10*E8</f>
        <v>2154.6234621367994</v>
      </c>
      <c r="F12" s="23">
        <f>F10*F8</f>
        <v>8313.0607625523917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7932</v>
      </c>
      <c r="C18" s="166" t="s">
        <v>110</v>
      </c>
      <c r="D18" s="228"/>
      <c r="E18" s="15"/>
    </row>
    <row r="19" spans="1:7">
      <c r="A19" s="171" t="s">
        <v>71</v>
      </c>
      <c r="B19" s="37">
        <f>aantalw2001_ander</f>
        <v>4</v>
      </c>
      <c r="C19" s="166" t="s">
        <v>110</v>
      </c>
      <c r="D19" s="229"/>
      <c r="E19" s="15"/>
    </row>
    <row r="20" spans="1:7">
      <c r="A20" s="171" t="s">
        <v>72</v>
      </c>
      <c r="B20" s="37">
        <f>aantalw2001_propaan</f>
        <v>90</v>
      </c>
      <c r="C20" s="167">
        <f>IF(ISERROR(B20/SUM($B$20,$B$21,$B$22)*100),0,B20/SUM($B$20,$B$21,$B$22)*100)</f>
        <v>11.597938144329897</v>
      </c>
      <c r="D20" s="229"/>
      <c r="E20" s="15"/>
    </row>
    <row r="21" spans="1:7">
      <c r="A21" s="171" t="s">
        <v>73</v>
      </c>
      <c r="B21" s="37">
        <f>aantalw2001_elektriciteit</f>
        <v>630</v>
      </c>
      <c r="C21" s="167">
        <f>IF(ISERROR(B21/SUM($B$20,$B$21,$B$22)*100),0,B21/SUM($B$20,$B$21,$B$22)*100)</f>
        <v>81.185567010309285</v>
      </c>
      <c r="D21" s="229"/>
      <c r="E21" s="15"/>
    </row>
    <row r="22" spans="1:7">
      <c r="A22" s="171" t="s">
        <v>74</v>
      </c>
      <c r="B22" s="37">
        <f>aantalw2001_hout</f>
        <v>56</v>
      </c>
      <c r="C22" s="167">
        <f>IF(ISERROR(B22/SUM($B$20,$B$21,$B$22)*100),0,B22/SUM($B$20,$B$21,$B$22)*100)</f>
        <v>7.216494845360824</v>
      </c>
      <c r="D22" s="229"/>
      <c r="E22" s="15"/>
    </row>
    <row r="23" spans="1:7">
      <c r="A23" s="171" t="s">
        <v>75</v>
      </c>
      <c r="B23" s="37">
        <f>aantalw2001_niet_gespec</f>
        <v>307</v>
      </c>
      <c r="C23" s="166" t="s">
        <v>110</v>
      </c>
      <c r="D23" s="228"/>
      <c r="E23" s="15"/>
    </row>
    <row r="24" spans="1:7">
      <c r="A24" s="171" t="s">
        <v>76</v>
      </c>
      <c r="B24" s="37">
        <f>aantalw2001_steenkool</f>
        <v>329</v>
      </c>
      <c r="C24" s="166" t="s">
        <v>110</v>
      </c>
      <c r="D24" s="229"/>
      <c r="E24" s="15"/>
    </row>
    <row r="25" spans="1:7">
      <c r="A25" s="171" t="s">
        <v>77</v>
      </c>
      <c r="B25" s="37">
        <f>aantalw2001_stookolie</f>
        <v>4635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15245</v>
      </c>
      <c r="C28" s="36"/>
      <c r="D28" s="228"/>
    </row>
    <row r="29" spans="1:7" s="15" customFormat="1">
      <c r="A29" s="230" t="s">
        <v>839</v>
      </c>
      <c r="B29" s="37">
        <f>SUM(HH_hh_gas_aantal,HH_rest_gas_aantal)</f>
        <v>11414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11414</v>
      </c>
      <c r="C32" s="167">
        <f>IF(ISERROR(B32/SUM($B$32,$B$34,$B$35,$B$36,$B$38,$B$39)*100),0,B32/SUM($B$32,$B$34,$B$35,$B$36,$B$38,$B$39)*100)</f>
        <v>75.136594035942338</v>
      </c>
      <c r="D32" s="233"/>
      <c r="G32" s="15"/>
    </row>
    <row r="33" spans="1:7">
      <c r="A33" s="171" t="s">
        <v>71</v>
      </c>
      <c r="B33" s="34" t="s">
        <v>110</v>
      </c>
      <c r="C33" s="167"/>
      <c r="D33" s="233"/>
      <c r="G33" s="15"/>
    </row>
    <row r="34" spans="1:7">
      <c r="A34" s="171" t="s">
        <v>72</v>
      </c>
      <c r="B34" s="33">
        <f>IF((($B$28-$B$32-$B$39-$B$77-$B$38)*C20/100)&lt;0,0,($B$28-$B$32-$B$39-$B$77-$B$38)*C20/100)</f>
        <v>263.9458762886598</v>
      </c>
      <c r="C34" s="167">
        <f>IF(ISERROR(B34/SUM($B$32,$B$34,$B$35,$B$36,$B$38,$B$39)*100),0,B34/SUM($B$32,$B$34,$B$35,$B$36,$B$38,$B$39)*100)</f>
        <v>1.7375148198845356</v>
      </c>
      <c r="D34" s="233"/>
      <c r="G34" s="15"/>
    </row>
    <row r="35" spans="1:7">
      <c r="A35" s="171" t="s">
        <v>73</v>
      </c>
      <c r="B35" s="33">
        <f>IF((($B$28-$B$32-$B$39-$B$77-$B$38)*C21/100)&lt;0,0,($B$28-$B$32-$B$39-$B$77-$B$38)*C21/100)</f>
        <v>1847.6211340206189</v>
      </c>
      <c r="C35" s="167">
        <f>IF(ISERROR(B35/SUM($B$32,$B$34,$B$35,$B$36,$B$38,$B$39)*100),0,B35/SUM($B$32,$B$34,$B$35,$B$36,$B$38,$B$39)*100)</f>
        <v>12.16260373919175</v>
      </c>
      <c r="D35" s="233"/>
      <c r="G35" s="15"/>
    </row>
    <row r="36" spans="1:7">
      <c r="A36" s="171" t="s">
        <v>74</v>
      </c>
      <c r="B36" s="33">
        <f>IF((($B$28-$B$32-$B$39-$B$77-$B$38)*C22/100)&lt;0,0,($B$28-$B$32-$B$39-$B$77-$B$38)*C22/100)</f>
        <v>164.23298969072167</v>
      </c>
      <c r="C36" s="167">
        <f>IF(ISERROR(B36/SUM($B$32,$B$34,$B$35,$B$36,$B$38,$B$39)*100),0,B36/SUM($B$32,$B$34,$B$35,$B$36,$B$38,$B$39)*100)</f>
        <v>1.0811203323726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1501.1999999999998</v>
      </c>
      <c r="C39" s="167">
        <f>IF(ISERROR(B39/SUM($B$32,$B$34,$B$35,$B$36,$B$38,$B$39)*100),0,B39/SUM($B$32,$B$34,$B$35,$B$36,$B$38,$B$39)*100)</f>
        <v>9.8821670726087802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11414</v>
      </c>
      <c r="C44" s="34" t="s">
        <v>110</v>
      </c>
      <c r="D44" s="174"/>
    </row>
    <row r="45" spans="1:7">
      <c r="A45" s="171" t="s">
        <v>71</v>
      </c>
      <c r="B45" s="33" t="str">
        <f t="shared" si="0"/>
        <v>-</v>
      </c>
      <c r="C45" s="34" t="s">
        <v>110</v>
      </c>
      <c r="D45" s="174"/>
    </row>
    <row r="46" spans="1:7">
      <c r="A46" s="171" t="s">
        <v>72</v>
      </c>
      <c r="B46" s="33">
        <f t="shared" si="0"/>
        <v>263.9458762886598</v>
      </c>
      <c r="C46" s="34" t="s">
        <v>110</v>
      </c>
      <c r="D46" s="174"/>
    </row>
    <row r="47" spans="1:7">
      <c r="A47" s="171" t="s">
        <v>73</v>
      </c>
      <c r="B47" s="33">
        <f t="shared" si="0"/>
        <v>1847.6211340206189</v>
      </c>
      <c r="C47" s="34" t="s">
        <v>110</v>
      </c>
      <c r="D47" s="174"/>
    </row>
    <row r="48" spans="1:7">
      <c r="A48" s="171" t="s">
        <v>74</v>
      </c>
      <c r="B48" s="33">
        <f t="shared" si="0"/>
        <v>164.23298969072167</v>
      </c>
      <c r="C48" s="33">
        <f>B48*10</f>
        <v>1642.3298969072166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1501.1999999999998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68520.469375142464</v>
      </c>
      <c r="C5" s="17">
        <f>IF(ISERROR('Eigen informatie GS &amp; warmtenet'!B60),0,'Eigen informatie GS &amp; warmtenet'!B60)</f>
        <v>0</v>
      </c>
      <c r="D5" s="30">
        <f>SUM(D6:D12)</f>
        <v>86265.934344687266</v>
      </c>
      <c r="E5" s="17">
        <f>SUM(E6:E12)</f>
        <v>139.14831600168154</v>
      </c>
      <c r="F5" s="17">
        <f>SUM(F6:F12)</f>
        <v>9137.9804771754771</v>
      </c>
      <c r="G5" s="18"/>
      <c r="H5" s="17"/>
      <c r="I5" s="17"/>
      <c r="J5" s="17">
        <f>SUM(J6:J12)</f>
        <v>4.9607941124996731E-2</v>
      </c>
      <c r="K5" s="17"/>
      <c r="L5" s="17"/>
      <c r="M5" s="17"/>
      <c r="N5" s="17">
        <f>SUM(N6:N12)</f>
        <v>1881.6225703218117</v>
      </c>
      <c r="O5" s="17">
        <f>B38*B39*B40</f>
        <v>9.7945215316823084</v>
      </c>
      <c r="P5" s="17">
        <f>B46*B47*B48/1000-B46*B47*B48/1000/B49</f>
        <v>420.31310645196015</v>
      </c>
      <c r="R5" s="32"/>
    </row>
    <row r="6" spans="1:18">
      <c r="A6" s="32" t="s">
        <v>53</v>
      </c>
      <c r="B6" s="37">
        <f>B26</f>
        <v>31671.623078152003</v>
      </c>
      <c r="C6" s="33"/>
      <c r="D6" s="37">
        <f>IF(ISERROR(TER_kantoor_gas_kWh/1000),0,TER_kantoor_gas_kWh/1000)*0.903</f>
        <v>35660.290934010016</v>
      </c>
      <c r="E6" s="33">
        <f>$C$26*'E Balans VL '!I12/100/3.6*1000000</f>
        <v>7.587768067110388</v>
      </c>
      <c r="F6" s="33">
        <f>$C$26*('E Balans VL '!L12+'E Balans VL '!N12)/100/3.6*1000000</f>
        <v>3003.3828171860973</v>
      </c>
      <c r="G6" s="34"/>
      <c r="H6" s="33"/>
      <c r="I6" s="33"/>
      <c r="J6" s="33">
        <f>$C$26*('E Balans VL '!D12+'E Balans VL '!E12)/100/3.6*1000000</f>
        <v>0</v>
      </c>
      <c r="K6" s="33"/>
      <c r="L6" s="33"/>
      <c r="M6" s="33"/>
      <c r="N6" s="33">
        <f>$C$26*'E Balans VL '!Y12/100/3.6*1000000</f>
        <v>16.087546350302826</v>
      </c>
      <c r="O6" s="33"/>
      <c r="P6" s="33"/>
      <c r="R6" s="32"/>
    </row>
    <row r="7" spans="1:18">
      <c r="A7" s="32" t="s">
        <v>52</v>
      </c>
      <c r="B7" s="37">
        <f t="shared" ref="B7:B12" si="0">B27</f>
        <v>5546.1007229151301</v>
      </c>
      <c r="C7" s="33"/>
      <c r="D7" s="37">
        <f>IF(ISERROR(TER_horeca_gas_kWh/1000),0,TER_horeca_gas_kWh/1000)*0.903</f>
        <v>11411.596168933829</v>
      </c>
      <c r="E7" s="33">
        <f>$C$27*'E Balans VL '!I9/100/3.6*1000000</f>
        <v>0</v>
      </c>
      <c r="F7" s="33">
        <f>$C$27*('E Balans VL '!L9+'E Balans VL '!N9)/100/3.6*1000000</f>
        <v>454.76722211942376</v>
      </c>
      <c r="G7" s="34"/>
      <c r="H7" s="33"/>
      <c r="I7" s="33"/>
      <c r="J7" s="33">
        <f>$C$27*('E Balans VL '!D9+'E Balans VL '!E9)/100/3.6*1000000</f>
        <v>0</v>
      </c>
      <c r="K7" s="33"/>
      <c r="L7" s="33"/>
      <c r="M7" s="33"/>
      <c r="N7" s="33">
        <f>$C$27*'E Balans VL '!Y9/100/3.6*1000000</f>
        <v>1.700102697559885</v>
      </c>
      <c r="O7" s="33"/>
      <c r="P7" s="33"/>
      <c r="R7" s="32"/>
    </row>
    <row r="8" spans="1:18">
      <c r="A8" s="6" t="s">
        <v>51</v>
      </c>
      <c r="B8" s="37">
        <f t="shared" si="0"/>
        <v>16963.5594860317</v>
      </c>
      <c r="C8" s="33"/>
      <c r="D8" s="37">
        <f>IF(ISERROR(TER_handel_gas_kWh/1000),0,TER_handel_gas_kWh/1000)*0.903</f>
        <v>16586.877234148247</v>
      </c>
      <c r="E8" s="33">
        <f>$C$28*'E Balans VL '!I13/100/3.6*1000000</f>
        <v>59.617640107337536</v>
      </c>
      <c r="F8" s="33">
        <f>$C$28*('E Balans VL '!L13+'E Balans VL '!N13)/100/3.6*1000000</f>
        <v>1552.1352292621311</v>
      </c>
      <c r="G8" s="34"/>
      <c r="H8" s="33"/>
      <c r="I8" s="33"/>
      <c r="J8" s="33">
        <f>$C$28*('E Balans VL '!D13+'E Balans VL '!E13)/100/3.6*1000000</f>
        <v>0</v>
      </c>
      <c r="K8" s="33"/>
      <c r="L8" s="33"/>
      <c r="M8" s="33"/>
      <c r="N8" s="33">
        <f>$C$28*'E Balans VL '!Y13/100/3.6*1000000</f>
        <v>6.1434709372732765</v>
      </c>
      <c r="O8" s="33"/>
      <c r="P8" s="33"/>
      <c r="R8" s="32"/>
    </row>
    <row r="9" spans="1:18">
      <c r="A9" s="32" t="s">
        <v>50</v>
      </c>
      <c r="B9" s="37">
        <f t="shared" si="0"/>
        <v>8479.6346913195794</v>
      </c>
      <c r="C9" s="33"/>
      <c r="D9" s="37">
        <f>IF(ISERROR(TER_gezond_gas_kWh/1000),0,TER_gezond_gas_kWh/1000)*0.903</f>
        <v>15695.561320894096</v>
      </c>
      <c r="E9" s="33">
        <f>$C$29*'E Balans VL '!I10/100/3.6*1000000</f>
        <v>0</v>
      </c>
      <c r="F9" s="33">
        <f>$C$29*('E Balans VL '!L10+'E Balans VL '!N10)/100/3.6*1000000</f>
        <v>1039.4475020625127</v>
      </c>
      <c r="G9" s="34"/>
      <c r="H9" s="33"/>
      <c r="I9" s="33"/>
      <c r="J9" s="33">
        <f>$C$29*('E Balans VL '!D10+'E Balans VL '!E10)/100/3.6*1000000</f>
        <v>0</v>
      </c>
      <c r="K9" s="33"/>
      <c r="L9" s="33"/>
      <c r="M9" s="33"/>
      <c r="N9" s="33">
        <f>$C$29*'E Balans VL '!Y10/100/3.6*1000000</f>
        <v>62.531396774045454</v>
      </c>
      <c r="O9" s="33"/>
      <c r="P9" s="33"/>
      <c r="R9" s="32"/>
    </row>
    <row r="10" spans="1:18">
      <c r="A10" s="32" t="s">
        <v>49</v>
      </c>
      <c r="B10" s="37">
        <f t="shared" si="0"/>
        <v>5023.1718061860502</v>
      </c>
      <c r="C10" s="33"/>
      <c r="D10" s="37">
        <f>IF(ISERROR(TER_ander_gas_kWh/1000),0,TER_ander_gas_kWh/1000)*0.903</f>
        <v>3634.620953434046</v>
      </c>
      <c r="E10" s="33">
        <f>$C$30*'E Balans VL '!I14/100/3.6*1000000</f>
        <v>71.942907827233611</v>
      </c>
      <c r="F10" s="33">
        <f>$C$30*('E Balans VL '!L14+'E Balans VL '!N14)/100/3.6*1000000</f>
        <v>2990.4649724580081</v>
      </c>
      <c r="G10" s="34"/>
      <c r="H10" s="33"/>
      <c r="I10" s="33"/>
      <c r="J10" s="33">
        <f>$C$30*('E Balans VL '!D14+'E Balans VL '!E14)/100/3.6*1000000</f>
        <v>4.9607941124996731E-2</v>
      </c>
      <c r="K10" s="33"/>
      <c r="L10" s="33"/>
      <c r="M10" s="33"/>
      <c r="N10" s="33">
        <f>$C$30*'E Balans VL '!Y14/100/3.6*1000000</f>
        <v>1792.8049046781618</v>
      </c>
      <c r="O10" s="33"/>
      <c r="P10" s="33"/>
      <c r="R10" s="32"/>
    </row>
    <row r="11" spans="1:18">
      <c r="A11" s="32" t="s">
        <v>54</v>
      </c>
      <c r="B11" s="37">
        <f t="shared" si="0"/>
        <v>836.379590537995</v>
      </c>
      <c r="C11" s="33"/>
      <c r="D11" s="37">
        <f>IF(ISERROR(TER_onderwijs_gas_kWh/1000),0,TER_onderwijs_gas_kWh/1000)*0.903</f>
        <v>3276.9877332670362</v>
      </c>
      <c r="E11" s="33">
        <f>$C$31*'E Balans VL '!I11/100/3.6*1000000</f>
        <v>0</v>
      </c>
      <c r="F11" s="33">
        <f>$C$31*('E Balans VL '!L11+'E Balans VL '!N11)/100/3.6*1000000</f>
        <v>97.782734087303481</v>
      </c>
      <c r="G11" s="34"/>
      <c r="H11" s="33"/>
      <c r="I11" s="33"/>
      <c r="J11" s="33">
        <f>$C$31*('E Balans VL '!D11+'E Balans VL '!E11)/100/3.6*1000000</f>
        <v>0</v>
      </c>
      <c r="K11" s="33"/>
      <c r="L11" s="33"/>
      <c r="M11" s="33"/>
      <c r="N11" s="33">
        <f>$C$31*'E Balans VL '!Y11/100/3.6*1000000</f>
        <v>2.3551488844684956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68520.469375142464</v>
      </c>
      <c r="C16" s="21">
        <f t="shared" ca="1" si="1"/>
        <v>0</v>
      </c>
      <c r="D16" s="21">
        <f t="shared" ca="1" si="1"/>
        <v>86265.934344687266</v>
      </c>
      <c r="E16" s="21">
        <f t="shared" si="1"/>
        <v>139.14831600168154</v>
      </c>
      <c r="F16" s="21">
        <f t="shared" ca="1" si="1"/>
        <v>9137.9804771754771</v>
      </c>
      <c r="G16" s="21">
        <f t="shared" si="1"/>
        <v>0</v>
      </c>
      <c r="H16" s="21">
        <f t="shared" si="1"/>
        <v>0</v>
      </c>
      <c r="I16" s="21">
        <f t="shared" si="1"/>
        <v>0</v>
      </c>
      <c r="J16" s="21">
        <f t="shared" si="1"/>
        <v>4.9607941124996731E-2</v>
      </c>
      <c r="K16" s="21">
        <f t="shared" si="1"/>
        <v>0</v>
      </c>
      <c r="L16" s="21">
        <f t="shared" ca="1" si="1"/>
        <v>0</v>
      </c>
      <c r="M16" s="21">
        <f t="shared" si="1"/>
        <v>0</v>
      </c>
      <c r="N16" s="21">
        <f t="shared" ca="1" si="1"/>
        <v>1881.6225703218117</v>
      </c>
      <c r="O16" s="21">
        <f>O5</f>
        <v>9.7945215316823084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0.20928804833316988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14340.515306396303</v>
      </c>
      <c r="C20" s="23">
        <f t="shared" ref="C20:P20" ca="1" si="2">C16*C18</f>
        <v>0</v>
      </c>
      <c r="D20" s="23">
        <f t="shared" ca="1" si="2"/>
        <v>17425.71873762683</v>
      </c>
      <c r="E20" s="23">
        <f t="shared" si="2"/>
        <v>31.586667732381709</v>
      </c>
      <c r="F20" s="23">
        <f t="shared" ca="1" si="2"/>
        <v>2439.8407874058526</v>
      </c>
      <c r="G20" s="23">
        <f t="shared" si="2"/>
        <v>0</v>
      </c>
      <c r="H20" s="23">
        <f t="shared" si="2"/>
        <v>0</v>
      </c>
      <c r="I20" s="23">
        <f t="shared" si="2"/>
        <v>0</v>
      </c>
      <c r="J20" s="23">
        <f t="shared" si="2"/>
        <v>1.7561211158248841E-2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31671.623078152003</v>
      </c>
      <c r="C26" s="39">
        <f>IF(ISERROR(B26*3.6/1000000/'E Balans VL '!Z12*100),0,B26*3.6/1000000/'E Balans VL '!Z12*100)</f>
        <v>0.89322364150818612</v>
      </c>
      <c r="D26" s="237" t="s">
        <v>702</v>
      </c>
      <c r="F26" s="6"/>
    </row>
    <row r="27" spans="1:18">
      <c r="A27" s="231" t="s">
        <v>52</v>
      </c>
      <c r="B27" s="33">
        <f>IF(ISERROR(TER_horeca_ele_kWh/1000),0,TER_horeca_ele_kWh/1000)</f>
        <v>5546.1007229151301</v>
      </c>
      <c r="C27" s="39">
        <f>IF(ISERROR(B27*3.6/1000000/'E Balans VL '!Z9*100),0,B27*3.6/1000000/'E Balans VL '!Z9*100)</f>
        <v>0.4111752365468892</v>
      </c>
      <c r="D27" s="237" t="s">
        <v>702</v>
      </c>
      <c r="F27" s="6"/>
    </row>
    <row r="28" spans="1:18">
      <c r="A28" s="171" t="s">
        <v>51</v>
      </c>
      <c r="B28" s="33">
        <f>IF(ISERROR(TER_handel_ele_kWh/1000),0,TER_handel_ele_kWh/1000)</f>
        <v>16963.5594860317</v>
      </c>
      <c r="C28" s="39">
        <f>IF(ISERROR(B28*3.6/1000000/'E Balans VL '!Z13*100),0,B28*3.6/1000000/'E Balans VL '!Z13*100)</f>
        <v>0.50818790983299045</v>
      </c>
      <c r="D28" s="237" t="s">
        <v>702</v>
      </c>
      <c r="F28" s="6"/>
    </row>
    <row r="29" spans="1:18">
      <c r="A29" s="231" t="s">
        <v>50</v>
      </c>
      <c r="B29" s="33">
        <f>IF(ISERROR(TER_gezond_ele_kWh/1000),0,TER_gezond_ele_kWh/1000)</f>
        <v>8479.6346913195794</v>
      </c>
      <c r="C29" s="39">
        <f>IF(ISERROR(B29*3.6/1000000/'E Balans VL '!Z10*100),0,B29*3.6/1000000/'E Balans VL '!Z10*100)</f>
        <v>0.83846960185448693</v>
      </c>
      <c r="D29" s="237" t="s">
        <v>702</v>
      </c>
      <c r="F29" s="6"/>
    </row>
    <row r="30" spans="1:18">
      <c r="A30" s="231" t="s">
        <v>49</v>
      </c>
      <c r="B30" s="33">
        <f>IF(ISERROR(TER_ander_ele_kWh/1000),0,TER_ander_ele_kWh/1000)</f>
        <v>5023.1718061860502</v>
      </c>
      <c r="C30" s="39">
        <f>IF(ISERROR(B30*3.6/1000000/'E Balans VL '!Z14*100),0,B30*3.6/1000000/'E Balans VL '!Z14*100)</f>
        <v>0.20317245511944051</v>
      </c>
      <c r="D30" s="237" t="s">
        <v>702</v>
      </c>
      <c r="F30" s="6"/>
    </row>
    <row r="31" spans="1:18">
      <c r="A31" s="231" t="s">
        <v>54</v>
      </c>
      <c r="B31" s="33">
        <f>IF(ISERROR(TER_onderwijs_ele_kWh/1000),0,TER_onderwijs_ele_kWh/1000)</f>
        <v>836.379590537995</v>
      </c>
      <c r="C31" s="39">
        <f>IF(ISERROR(B31*3.6/1000000/'E Balans VL '!Z11*100),0,B31*3.6/1000000/'E Balans VL '!Z11*100)</f>
        <v>0.22979005227776939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8</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104334.87283788706</v>
      </c>
      <c r="C5" s="17">
        <f>IF(ISERROR('Eigen informatie GS &amp; warmtenet'!B61),0,'Eigen informatie GS &amp; warmtenet'!B61)</f>
        <v>0</v>
      </c>
      <c r="D5" s="30">
        <f>SUM(D6:D15)</f>
        <v>20331.175115822673</v>
      </c>
      <c r="E5" s="17">
        <f>SUM(E6:E15)</f>
        <v>787.33139469222101</v>
      </c>
      <c r="F5" s="17">
        <f>SUM(F6:F15)</f>
        <v>11491.340611947164</v>
      </c>
      <c r="G5" s="18"/>
      <c r="H5" s="17"/>
      <c r="I5" s="17"/>
      <c r="J5" s="17">
        <f>SUM(J6:J15)</f>
        <v>681.9920549749055</v>
      </c>
      <c r="K5" s="17"/>
      <c r="L5" s="17"/>
      <c r="M5" s="17"/>
      <c r="N5" s="17">
        <f>SUM(N6:N15)</f>
        <v>1919.4980014890539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22562.711595235298</v>
      </c>
      <c r="C7" s="33"/>
      <c r="D7" s="37">
        <f>IF( ISERROR(IND_nonf_gas_kWhh/1000),0,IND_nonf_gas_kWh/1000)*0.903</f>
        <v>0</v>
      </c>
      <c r="E7" s="33">
        <f>C29*'E Balans VL '!I17/100/3.6*1000000</f>
        <v>13.221287105321283</v>
      </c>
      <c r="F7" s="33">
        <f>C29*'E Balans VL '!L17/100/3.6*1000000+C29*'E Balans VL '!N17/100/3.6*1000000</f>
        <v>215.03909950325854</v>
      </c>
      <c r="G7" s="34"/>
      <c r="H7" s="33"/>
      <c r="I7" s="33"/>
      <c r="J7" s="40">
        <f>C29*'E Balans VL '!D17/100/3.6*1000000+C29*'E Balans VL '!E17/100/3.6*1000000</f>
        <v>612.06231436130736</v>
      </c>
      <c r="K7" s="33"/>
      <c r="L7" s="33"/>
      <c r="M7" s="33"/>
      <c r="N7" s="33">
        <f>C29*'E Balans VL '!Y17/100/3.6*1000000</f>
        <v>0</v>
      </c>
      <c r="O7" s="33"/>
      <c r="P7" s="33"/>
      <c r="R7" s="32"/>
    </row>
    <row r="8" spans="1:18">
      <c r="A8" s="6" t="s">
        <v>35</v>
      </c>
      <c r="B8" s="37">
        <f t="shared" si="0"/>
        <v>27074.136771366702</v>
      </c>
      <c r="C8" s="33"/>
      <c r="D8" s="37">
        <f>IF( ISERROR(IND_metaal_Gas_kWH/1000),0,IND_metaal_Gas_kWH/1000)*0.903</f>
        <v>15277.542778582858</v>
      </c>
      <c r="E8" s="33">
        <f>C30*'E Balans VL '!I18/100/3.6*1000000</f>
        <v>136.51252147836163</v>
      </c>
      <c r="F8" s="33">
        <f>C30*'E Balans VL '!L18/100/3.6*1000000+C30*'E Balans VL '!N18/100/3.6*1000000</f>
        <v>1849.7603488923698</v>
      </c>
      <c r="G8" s="34"/>
      <c r="H8" s="33"/>
      <c r="I8" s="33"/>
      <c r="J8" s="40">
        <f>C30*'E Balans VL '!D18/100/3.6*1000000+C30*'E Balans VL '!E18/100/3.6*1000000</f>
        <v>24.003531701434667</v>
      </c>
      <c r="K8" s="33"/>
      <c r="L8" s="33"/>
      <c r="M8" s="33"/>
      <c r="N8" s="33">
        <f>C30*'E Balans VL '!Y18/100/3.6*1000000</f>
        <v>359.815438363667</v>
      </c>
      <c r="O8" s="33"/>
      <c r="P8" s="33"/>
      <c r="R8" s="32"/>
    </row>
    <row r="9" spans="1:18">
      <c r="A9" s="6" t="s">
        <v>32</v>
      </c>
      <c r="B9" s="37">
        <f t="shared" si="0"/>
        <v>11865.7920528866</v>
      </c>
      <c r="C9" s="33"/>
      <c r="D9" s="37">
        <f>IF( ISERROR(IND_andere_gas_kWh/1000),0,IND_andere_gas_kWh/1000)*0.903</f>
        <v>2698.1316924304306</v>
      </c>
      <c r="E9" s="33">
        <f>C31*'E Balans VL '!I19/100/3.6*1000000</f>
        <v>37.403780951214969</v>
      </c>
      <c r="F9" s="33">
        <f>C31*'E Balans VL '!L19/100/3.6*1000000+C31*'E Balans VL '!N19/100/3.6*1000000</f>
        <v>7263.7388348536251</v>
      </c>
      <c r="G9" s="34"/>
      <c r="H9" s="33"/>
      <c r="I9" s="33"/>
      <c r="J9" s="40">
        <f>C31*'E Balans VL '!D19/100/3.6*1000000+C31*'E Balans VL '!E19/100/3.6*1000000</f>
        <v>0</v>
      </c>
      <c r="K9" s="33"/>
      <c r="L9" s="33"/>
      <c r="M9" s="33"/>
      <c r="N9" s="33">
        <f>C31*'E Balans VL '!Y19/100/3.6*1000000</f>
        <v>497.54877239754677</v>
      </c>
      <c r="O9" s="33"/>
      <c r="P9" s="33"/>
      <c r="R9" s="32"/>
    </row>
    <row r="10" spans="1:18">
      <c r="A10" s="6" t="s">
        <v>40</v>
      </c>
      <c r="B10" s="37">
        <f t="shared" si="0"/>
        <v>20028.874599143801</v>
      </c>
      <c r="C10" s="33"/>
      <c r="D10" s="37">
        <f>IF( ISERROR(IND_voed_gas_kWh/1000),0,IND_voed_gas_kWh/1000)*0.903</f>
        <v>1938.7562764740733</v>
      </c>
      <c r="E10" s="33">
        <f>C32*'E Balans VL '!I20/100/3.6*1000000</f>
        <v>31.920401137685779</v>
      </c>
      <c r="F10" s="33">
        <f>C32*'E Balans VL '!L20/100/3.6*1000000+C32*'E Balans VL '!N20/100/3.6*1000000</f>
        <v>325.42055658436692</v>
      </c>
      <c r="G10" s="34"/>
      <c r="H10" s="33"/>
      <c r="I10" s="33"/>
      <c r="J10" s="40">
        <f>C32*'E Balans VL '!D20/100/3.6*1000000+C32*'E Balans VL '!E20/100/3.6*1000000</f>
        <v>0</v>
      </c>
      <c r="K10" s="33"/>
      <c r="L10" s="33"/>
      <c r="M10" s="33"/>
      <c r="N10" s="33">
        <f>C32*'E Balans VL '!Y20/100/3.6*1000000</f>
        <v>632.61189148987603</v>
      </c>
      <c r="O10" s="33"/>
      <c r="P10" s="33"/>
      <c r="R10" s="32"/>
    </row>
    <row r="11" spans="1:18">
      <c r="A11" s="6" t="s">
        <v>39</v>
      </c>
      <c r="B11" s="37">
        <f t="shared" si="0"/>
        <v>12.179415698431999</v>
      </c>
      <c r="C11" s="33"/>
      <c r="D11" s="37">
        <f>IF( ISERROR(IND_textiel_gas_kWh/1000),0,IND_textiel_gas_kWh/1000)*0.903</f>
        <v>41.192854414870176</v>
      </c>
      <c r="E11" s="33">
        <f>C33*'E Balans VL '!I21/100/3.6*1000000</f>
        <v>1.7670106650318731E-2</v>
      </c>
      <c r="F11" s="33">
        <f>C33*'E Balans VL '!L21/100/3.6*1000000+C33*'E Balans VL '!N21/100/3.6*1000000</f>
        <v>0.23835899070191977</v>
      </c>
      <c r="G11" s="34"/>
      <c r="H11" s="33"/>
      <c r="I11" s="33"/>
      <c r="J11" s="40">
        <f>C33*'E Balans VL '!D21/100/3.6*1000000+C33*'E Balans VL '!E21/100/3.6*1000000</f>
        <v>0</v>
      </c>
      <c r="K11" s="33"/>
      <c r="L11" s="33"/>
      <c r="M11" s="33"/>
      <c r="N11" s="33">
        <f>C33*'E Balans VL '!Y21/100/3.6*1000000</f>
        <v>0.59335349111933033</v>
      </c>
      <c r="O11" s="33"/>
      <c r="P11" s="33"/>
      <c r="R11" s="32"/>
    </row>
    <row r="12" spans="1:18">
      <c r="A12" s="6" t="s">
        <v>36</v>
      </c>
      <c r="B12" s="37">
        <f t="shared" si="0"/>
        <v>286.18003687816605</v>
      </c>
      <c r="C12" s="33"/>
      <c r="D12" s="37">
        <f>IF( ISERROR(IND_min_gas_kWh/1000),0,IND_min_gas_kWh/1000)*0.903</f>
        <v>0</v>
      </c>
      <c r="E12" s="33">
        <f>C34*'E Balans VL '!I22/100/3.6*1000000</f>
        <v>1.2383785126176623</v>
      </c>
      <c r="F12" s="33">
        <f>C34*'E Balans VL '!L22/100/3.6*1000000+C34*'E Balans VL '!N22/100/3.6*1000000</f>
        <v>10.926707077044437</v>
      </c>
      <c r="G12" s="34"/>
      <c r="H12" s="33"/>
      <c r="I12" s="33"/>
      <c r="J12" s="40">
        <f>C34*'E Balans VL '!D22/100/3.6*1000000+C34*'E Balans VL '!E22/100/3.6*1000000</f>
        <v>0</v>
      </c>
      <c r="K12" s="33"/>
      <c r="L12" s="33"/>
      <c r="M12" s="33"/>
      <c r="N12" s="33">
        <f>C34*'E Balans VL '!Y22/100/3.6*1000000</f>
        <v>48.815867677988898</v>
      </c>
      <c r="O12" s="33"/>
      <c r="P12" s="33"/>
      <c r="R12" s="32"/>
    </row>
    <row r="13" spans="1:18">
      <c r="A13" s="6" t="s">
        <v>38</v>
      </c>
      <c r="B13" s="37">
        <f t="shared" si="0"/>
        <v>9.4746462615595988</v>
      </c>
      <c r="C13" s="33"/>
      <c r="D13" s="37">
        <f>IF( ISERROR(IND_papier_gas_kWh/1000),0,IND_papier_gas_kWh/1000)*0.903</f>
        <v>81.340357940793666</v>
      </c>
      <c r="E13" s="33">
        <f>C35*'E Balans VL '!I23/100/3.6*1000000</f>
        <v>0</v>
      </c>
      <c r="F13" s="33">
        <f>C35*'E Balans VL '!L23/100/3.6*1000000+C35*'E Balans VL '!N23/100/3.6*1000000</f>
        <v>4.104857320175968E-4</v>
      </c>
      <c r="G13" s="34"/>
      <c r="H13" s="33"/>
      <c r="I13" s="33"/>
      <c r="J13" s="40">
        <f>C35*'E Balans VL '!D23/100/3.6*1000000+C35*'E Balans VL '!E23/100/3.6*1000000</f>
        <v>2.6107169157678188E-4</v>
      </c>
      <c r="K13" s="33"/>
      <c r="L13" s="33"/>
      <c r="M13" s="33"/>
      <c r="N13" s="33">
        <f>C35*'E Balans VL '!Y23/100/3.6*1000000</f>
        <v>0</v>
      </c>
      <c r="O13" s="33"/>
      <c r="P13" s="33"/>
      <c r="R13" s="32"/>
    </row>
    <row r="14" spans="1:18">
      <c r="A14" s="6" t="s">
        <v>33</v>
      </c>
      <c r="B14" s="37">
        <f t="shared" si="0"/>
        <v>0</v>
      </c>
      <c r="C14" s="33"/>
      <c r="D14" s="37">
        <f>IF( ISERROR(IND_chemie_gas_kWh/1000),0,IND_chemie_gas_kWh/1000)*0.903</f>
        <v>68.425585764077809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22495.523720416502</v>
      </c>
      <c r="C15" s="33"/>
      <c r="D15" s="37">
        <f>IF( ISERROR(IND_rest_gas_kWh/1000),0,IND_rest_gas_kWh/1000)*0.903</f>
        <v>225.78557021557287</v>
      </c>
      <c r="E15" s="33">
        <f>C37*'E Balans VL '!I15/100/3.6*1000000</f>
        <v>567.0173554003693</v>
      </c>
      <c r="F15" s="33">
        <f>C37*'E Balans VL '!L15/100/3.6*1000000+C37*'E Balans VL '!N15/100/3.6*1000000</f>
        <v>1826.2162955600634</v>
      </c>
      <c r="G15" s="34"/>
      <c r="H15" s="33"/>
      <c r="I15" s="33"/>
      <c r="J15" s="40">
        <f>C37*'E Balans VL '!D15/100/3.6*1000000+C37*'E Balans VL '!E15/100/3.6*1000000</f>
        <v>45.925947840471871</v>
      </c>
      <c r="K15" s="33"/>
      <c r="L15" s="33"/>
      <c r="M15" s="33"/>
      <c r="N15" s="33">
        <f>C37*'E Balans VL '!Y15/100/3.6*1000000</f>
        <v>380.11267806885564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104334.87283788706</v>
      </c>
      <c r="C18" s="21">
        <f>C5+C16</f>
        <v>0</v>
      </c>
      <c r="D18" s="21">
        <f>MAX((D5+D16),0)</f>
        <v>20331.175115822673</v>
      </c>
      <c r="E18" s="21">
        <f>MAX((E5+E16),0)</f>
        <v>787.33139469222101</v>
      </c>
      <c r="F18" s="21">
        <f>MAX((F5+F16),0)</f>
        <v>11491.340611947164</v>
      </c>
      <c r="G18" s="21"/>
      <c r="H18" s="21"/>
      <c r="I18" s="21"/>
      <c r="J18" s="21">
        <f>MAX((J5+J16),0)</f>
        <v>681.9920549749055</v>
      </c>
      <c r="K18" s="21"/>
      <c r="L18" s="21">
        <f>MAX((L5+L16),0)</f>
        <v>0</v>
      </c>
      <c r="M18" s="21"/>
      <c r="N18" s="21">
        <f>MAX((N5+N16),0)</f>
        <v>1919.4980014890539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0.20928804833316988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21836.041909330841</v>
      </c>
      <c r="C22" s="23">
        <f ca="1">C18*C20</f>
        <v>0</v>
      </c>
      <c r="D22" s="23">
        <f>D18*D20</f>
        <v>4106.8973733961802</v>
      </c>
      <c r="E22" s="23">
        <f>E18*E20</f>
        <v>178.72422659513418</v>
      </c>
      <c r="F22" s="23">
        <f>F18*F20</f>
        <v>3068.187943389893</v>
      </c>
      <c r="G22" s="23"/>
      <c r="H22" s="23"/>
      <c r="I22" s="23"/>
      <c r="J22" s="23">
        <f>J18*J20</f>
        <v>241.42518746111654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22562.711595235298</v>
      </c>
      <c r="C29" s="39">
        <f>IF(ISERROR(B29*3.6/1000000/'E Balans VL '!Z17*100),0,B29*3.6/1000000/'E Balans VL '!Z17*100)</f>
        <v>1.1620271869911281</v>
      </c>
      <c r="D29" s="237" t="s">
        <v>702</v>
      </c>
    </row>
    <row r="30" spans="1:18">
      <c r="A30" s="171" t="s">
        <v>35</v>
      </c>
      <c r="B30" s="37">
        <f>IF( ISERROR(IND_metaal_ele_kWh/1000),0,IND_metaal_ele_kWh/1000)</f>
        <v>27074.136771366702</v>
      </c>
      <c r="C30" s="39">
        <f>IF(ISERROR(B30*3.6/1000000/'E Balans VL '!Z18*100),0,B30*3.6/1000000/'E Balans VL '!Z18*100)</f>
        <v>1.3438991310289976</v>
      </c>
      <c r="D30" s="237" t="s">
        <v>702</v>
      </c>
    </row>
    <row r="31" spans="1:18">
      <c r="A31" s="6" t="s">
        <v>32</v>
      </c>
      <c r="B31" s="37">
        <f>IF( ISERROR(IND_ander_ele_kWh/1000),0,IND_ander_ele_kWh/1000)</f>
        <v>11865.7920528866</v>
      </c>
      <c r="C31" s="39">
        <f>IF(ISERROR(B31*3.6/1000000/'E Balans VL '!Z19*100),0,B31*3.6/1000000/'E Balans VL '!Z19*100)</f>
        <v>0.40040967770419</v>
      </c>
      <c r="D31" s="237" t="s">
        <v>702</v>
      </c>
    </row>
    <row r="32" spans="1:18">
      <c r="A32" s="171" t="s">
        <v>40</v>
      </c>
      <c r="B32" s="37">
        <f>IF( ISERROR(IND_voed_ele_kWh/1000),0,IND_voed_ele_kWh/1000)</f>
        <v>20028.874599143801</v>
      </c>
      <c r="C32" s="39">
        <f>IF(ISERROR(B32*3.6/1000000/'E Balans VL '!Z20*100),0,B32*3.6/1000000/'E Balans VL '!Z20*100)</f>
        <v>0.4703643617320844</v>
      </c>
      <c r="D32" s="237" t="s">
        <v>702</v>
      </c>
    </row>
    <row r="33" spans="1:5">
      <c r="A33" s="171" t="s">
        <v>39</v>
      </c>
      <c r="B33" s="37">
        <f>IF( ISERROR(IND_textiel_ele_kWh/1000),0,IND_textiel_ele_kWh/1000)</f>
        <v>12.179415698431999</v>
      </c>
      <c r="C33" s="39">
        <f>IF(ISERROR(B33*3.6/1000000/'E Balans VL '!Z21*100),0,B33*3.6/1000000/'E Balans VL '!Z21*100)</f>
        <v>1.3366754347793114E-3</v>
      </c>
      <c r="D33" s="237" t="s">
        <v>702</v>
      </c>
    </row>
    <row r="34" spans="1:5">
      <c r="A34" s="171" t="s">
        <v>36</v>
      </c>
      <c r="B34" s="37">
        <f>IF( ISERROR(IND_min_ele_kWh/1000),0,IND_min_ele_kWh/1000)</f>
        <v>286.18003687816605</v>
      </c>
      <c r="C34" s="39">
        <f>IF(ISERROR(B34*3.6/1000000/'E Balans VL '!Z22*100),0,B34*3.6/1000000/'E Balans VL '!Z22*100)</f>
        <v>4.0600578913476938E-2</v>
      </c>
      <c r="D34" s="237" t="s">
        <v>702</v>
      </c>
    </row>
    <row r="35" spans="1:5">
      <c r="A35" s="171" t="s">
        <v>38</v>
      </c>
      <c r="B35" s="37">
        <f>IF( ISERROR(IND_papier_ele_kWh/1000),0,IND_papier_ele_kWh/1000)</f>
        <v>9.4746462615595988</v>
      </c>
      <c r="C35" s="39">
        <f>IF(ISERROR(B35*3.6/1000000/'E Balans VL '!Z22*100),0,B35*3.6/1000000/'E Balans VL '!Z22*100)</f>
        <v>1.3441752521106006E-3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22495.523720416502</v>
      </c>
      <c r="C37" s="39">
        <f>IF(ISERROR(B37*3.6/1000000/'E Balans VL '!Z15*100),0,B37*3.6/1000000/'E Balans VL '!Z15*100)</f>
        <v>8.4302632072049841E-2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2265.7290009684502</v>
      </c>
      <c r="C5" s="17">
        <f>'Eigen informatie GS &amp; warmtenet'!B62</f>
        <v>0</v>
      </c>
      <c r="D5" s="30">
        <f>IF(ISERROR(SUM(LB_lb_gas_kWh,LB_rest_gas_kWh)/1000),0,SUM(LB_lb_gas_kWh,LB_rest_gas_kWh)/1000)*0.903</f>
        <v>599.3424197174827</v>
      </c>
      <c r="E5" s="17">
        <f>B17*'E Balans VL '!I25/3.6*1000000/100</f>
        <v>84.495964816744078</v>
      </c>
      <c r="F5" s="17">
        <f>B17*('E Balans VL '!L25/3.6*1000000+'E Balans VL '!N25/3.6*1000000)/100</f>
        <v>7350.9003912904645</v>
      </c>
      <c r="G5" s="18"/>
      <c r="H5" s="17"/>
      <c r="I5" s="17"/>
      <c r="J5" s="17">
        <f>('E Balans VL '!D25+'E Balans VL '!E25)/3.6*1000000*landbouw!B17/100</f>
        <v>594.76504844788576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2265.7290009684502</v>
      </c>
      <c r="C8" s="21">
        <f>C5+C6</f>
        <v>0</v>
      </c>
      <c r="D8" s="21">
        <f>MAX((D5+D6),0)</f>
        <v>599.3424197174827</v>
      </c>
      <c r="E8" s="21">
        <f>MAX((E5+E6),0)</f>
        <v>84.495964816744078</v>
      </c>
      <c r="F8" s="21">
        <f>MAX((F5+F6),0)</f>
        <v>7350.9003912904645</v>
      </c>
      <c r="G8" s="21"/>
      <c r="H8" s="21"/>
      <c r="I8" s="21"/>
      <c r="J8" s="21">
        <f>MAX((J5+J6),0)</f>
        <v>594.76504844788576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0.20928804833316988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474.19000066454976</v>
      </c>
      <c r="C12" s="23">
        <f ca="1">C8*C10</f>
        <v>0</v>
      </c>
      <c r="D12" s="23">
        <f>D8*D10</f>
        <v>121.06716878293152</v>
      </c>
      <c r="E12" s="23">
        <f>E8*E10</f>
        <v>19.180584013400907</v>
      </c>
      <c r="F12" s="23">
        <f>F8*F10</f>
        <v>1962.690404474554</v>
      </c>
      <c r="G12" s="23"/>
      <c r="H12" s="23"/>
      <c r="I12" s="23"/>
      <c r="J12" s="23">
        <f>J8*J10</f>
        <v>210.54682715055154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0.31119196582160319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376.65276999436458</v>
      </c>
      <c r="C26" s="247">
        <f>B26*'GWP N2O_CH4'!B5</f>
        <v>7909.7081698816564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96.113060326501952</v>
      </c>
      <c r="C27" s="247">
        <f>B27*'GWP N2O_CH4'!B5</f>
        <v>2018.374266856541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4.6706035662896026</v>
      </c>
      <c r="C28" s="247">
        <f>B28*'GWP N2O_CH4'!B4</f>
        <v>1447.8871055497768</v>
      </c>
      <c r="D28" s="50"/>
    </row>
    <row r="29" spans="1:4">
      <c r="A29" s="41" t="s">
        <v>276</v>
      </c>
      <c r="B29" s="247">
        <f>B34*'ha_N2O bodem landbouw'!B4</f>
        <v>30.670183456209742</v>
      </c>
      <c r="C29" s="247">
        <f>B29*'GWP N2O_CH4'!B4</f>
        <v>9507.7568714250192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6.9898223979443586E-3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5.6975617479408051E-4</v>
      </c>
      <c r="C5" s="440" t="s">
        <v>210</v>
      </c>
      <c r="D5" s="425">
        <f>SUM(D6:D11)</f>
        <v>2.3443141074083748E-3</v>
      </c>
      <c r="E5" s="425">
        <f>SUM(E6:E11)</f>
        <v>1.3175877287054029E-3</v>
      </c>
      <c r="F5" s="438" t="s">
        <v>210</v>
      </c>
      <c r="G5" s="425">
        <f>SUM(G6:G11)</f>
        <v>0.62332576732133993</v>
      </c>
      <c r="H5" s="425">
        <f>SUM(H6:H11)</f>
        <v>0.15066999762253</v>
      </c>
      <c r="I5" s="440" t="s">
        <v>210</v>
      </c>
      <c r="J5" s="440" t="s">
        <v>210</v>
      </c>
      <c r="K5" s="440" t="s">
        <v>210</v>
      </c>
      <c r="L5" s="440" t="s">
        <v>210</v>
      </c>
      <c r="M5" s="425">
        <f>SUM(M6:M11)</f>
        <v>4.556814571307799E-2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3.2799952977724561E-4</v>
      </c>
      <c r="C6" s="426"/>
      <c r="D6" s="893">
        <f>vkm_GW_PW*SUMIFS(TableVerdeelsleutelVkm[CNG],TableVerdeelsleutelVkm[Voertuigtype],"Lichte voertuigen")*SUMIFS(TableECFTransport[EnergieConsumptieFactor (PJ per km)],TableECFTransport[Index],CONCATENATE($A6,"_CNG_CNG"))</f>
        <v>1.1846342059802239E-3</v>
      </c>
      <c r="E6" s="893">
        <f>vkm_GW_PW*SUMIFS(TableVerdeelsleutelVkm[LPG],TableVerdeelsleutelVkm[Voertuigtype],"Lichte voertuigen")*SUMIFS(TableECFTransport[EnergieConsumptieFactor (PJ per km)],TableECFTransport[Index],CONCATENATE($A6,"_LPG_LPG"))</f>
        <v>6.4381828295607263E-4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0.20035228287110304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7.5825294527834014E-2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1.655127787483613E-2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0.15030501297587628</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1.5823424950383723E-6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8.4624076591366757E-3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1.1337578251939721E-4</v>
      </c>
      <c r="C8" s="426"/>
      <c r="D8" s="428">
        <f>vkm_NGW_PW*SUMIFS(TableVerdeelsleutelVkm[CNG],TableVerdeelsleutelVkm[Voertuigtype],"Lichte voertuigen")*SUMIFS(TableECFTransport[EnergieConsumptieFactor (PJ per km)],TableECFTransport[Index],CONCATENATE($A8,"_CNG_CNG"))</f>
        <v>6.9409313709426065E-4</v>
      </c>
      <c r="E8" s="428">
        <f>vkm_NGW_PW*SUMIFS(TableVerdeelsleutelVkm[LPG],TableVerdeelsleutelVkm[Voertuigtype],"Lichte voertuigen")*SUMIFS(TableECFTransport[EnergieConsumptieFactor (PJ per km)],TableECFTransport[Index],CONCATENATE($A8,"_LPG_LPG"))</f>
        <v>3.58461504328842E-4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0.10381054012547079</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4.3750686768447185E-2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8.8861116301689469E-3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1.9142091691409929E-2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2.9269771311667782E-7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1.0777360838436078E-3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1.2838086249743774E-4</v>
      </c>
      <c r="C10" s="426"/>
      <c r="D10" s="428">
        <f>vkm_SW_PW*SUMIFS(TableVerdeelsleutelVkm[CNG],TableVerdeelsleutelVkm[Voertuigtype],"Lichte voertuigen")*SUMIFS(TableECFTransport[EnergieConsumptieFactor (PJ per km)],TableECFTransport[Index],CONCATENATE($A10,"_CNG_CNG"))</f>
        <v>4.6558676433389038E-4</v>
      </c>
      <c r="E10" s="428">
        <f>vkm_SW_PW*SUMIFS(TableVerdeelsleutelVkm[LPG],TableVerdeelsleutelVkm[Voertuigtype],"Lichte voertuigen")*SUMIFS(TableECFTransport[EnergieConsumptieFactor (PJ per km)],TableECFTransport[Index],CONCATENATE($A10,"_LPG_LPG"))</f>
        <v>3.1530794142048841E-4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8.7195542844220514E-2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3.1091444256402746E-2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7.0706191261093532E-3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6.2520296813259296E-2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6.9702963789051856E-7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3.519993338983281E-3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158.26560410946681</v>
      </c>
      <c r="C14" s="21"/>
      <c r="D14" s="21">
        <f t="shared" ref="D14:M14" si="0">((D5)*10^9/3600)+D12</f>
        <v>651.19836316899307</v>
      </c>
      <c r="E14" s="21">
        <f t="shared" si="0"/>
        <v>365.99659130705635</v>
      </c>
      <c r="F14" s="21"/>
      <c r="G14" s="21">
        <f t="shared" si="0"/>
        <v>173146.04647814998</v>
      </c>
      <c r="H14" s="21">
        <f t="shared" si="0"/>
        <v>41852.777117369449</v>
      </c>
      <c r="I14" s="21"/>
      <c r="J14" s="21"/>
      <c r="K14" s="21"/>
      <c r="L14" s="21"/>
      <c r="M14" s="21">
        <f t="shared" si="0"/>
        <v>12657.818253632775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0.20928804833316988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33.123099402340422</v>
      </c>
      <c r="C18" s="23"/>
      <c r="D18" s="23">
        <f t="shared" ref="D18:M18" si="1">D14*D16</f>
        <v>131.54206936013662</v>
      </c>
      <c r="E18" s="23">
        <f t="shared" si="1"/>
        <v>83.081226226701787</v>
      </c>
      <c r="F18" s="23"/>
      <c r="G18" s="23">
        <f t="shared" si="1"/>
        <v>46229.994409666047</v>
      </c>
      <c r="H18" s="23">
        <f t="shared" si="1"/>
        <v>10421.341502224992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1.1387566760437572E-2</v>
      </c>
      <c r="H50" s="321">
        <f t="shared" si="2"/>
        <v>0</v>
      </c>
      <c r="I50" s="321">
        <f t="shared" si="2"/>
        <v>0</v>
      </c>
      <c r="J50" s="321">
        <f t="shared" si="2"/>
        <v>0</v>
      </c>
      <c r="K50" s="321">
        <f t="shared" si="2"/>
        <v>0</v>
      </c>
      <c r="L50" s="321">
        <f t="shared" si="2"/>
        <v>0</v>
      </c>
      <c r="M50" s="321">
        <f t="shared" si="2"/>
        <v>6.1795423131392373E-4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1.1387566760437572E-2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6.1795423131392373E-4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3163.2129890104366</v>
      </c>
      <c r="H54" s="21">
        <f t="shared" si="3"/>
        <v>0</v>
      </c>
      <c r="I54" s="21">
        <f t="shared" si="3"/>
        <v>0</v>
      </c>
      <c r="J54" s="21">
        <f t="shared" si="3"/>
        <v>0</v>
      </c>
      <c r="K54" s="21">
        <f t="shared" si="3"/>
        <v>0</v>
      </c>
      <c r="L54" s="21">
        <f t="shared" si="3"/>
        <v>0</v>
      </c>
      <c r="M54" s="21">
        <f t="shared" si="3"/>
        <v>171.65395314275659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0.20928804833316988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844.57786806578656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70858.906375142469</v>
      </c>
      <c r="D10" s="689">
        <f ca="1">tertiair!C16</f>
        <v>0</v>
      </c>
      <c r="E10" s="689">
        <f ca="1">tertiair!D16</f>
        <v>86265.934344687266</v>
      </c>
      <c r="F10" s="689">
        <f>tertiair!E16</f>
        <v>139.14831600168154</v>
      </c>
      <c r="G10" s="689">
        <f ca="1">tertiair!F16</f>
        <v>9137.9804771754771</v>
      </c>
      <c r="H10" s="689">
        <f>tertiair!G16</f>
        <v>0</v>
      </c>
      <c r="I10" s="689">
        <f>tertiair!H16</f>
        <v>0</v>
      </c>
      <c r="J10" s="689">
        <f>tertiair!I16</f>
        <v>0</v>
      </c>
      <c r="K10" s="689">
        <f>tertiair!J16</f>
        <v>4.9607941124996731E-2</v>
      </c>
      <c r="L10" s="689">
        <f>tertiair!K16</f>
        <v>0</v>
      </c>
      <c r="M10" s="689">
        <f ca="1">tertiair!L16</f>
        <v>0</v>
      </c>
      <c r="N10" s="689">
        <f>tertiair!M16</f>
        <v>0</v>
      </c>
      <c r="O10" s="689">
        <f ca="1">tertiair!N16</f>
        <v>1881.6225703218117</v>
      </c>
      <c r="P10" s="689">
        <f>tertiair!O16</f>
        <v>9.7945215316823084</v>
      </c>
      <c r="Q10" s="690">
        <f>tertiair!P16</f>
        <v>420.31310645196015</v>
      </c>
      <c r="R10" s="692">
        <f ca="1">SUM(C10:Q10)</f>
        <v>168713.74931925346</v>
      </c>
      <c r="S10" s="67"/>
    </row>
    <row r="11" spans="1:19" s="451" customFormat="1">
      <c r="A11" s="811" t="s">
        <v>224</v>
      </c>
      <c r="B11" s="816"/>
      <c r="C11" s="689">
        <f>huishoudens!B8</f>
        <v>53301.06083009849</v>
      </c>
      <c r="D11" s="689">
        <f>huishoudens!C8</f>
        <v>0</v>
      </c>
      <c r="E11" s="689">
        <f>huishoudens!D8</f>
        <v>158930.36430119627</v>
      </c>
      <c r="F11" s="689">
        <f>huishoudens!E8</f>
        <v>9491.7333133779703</v>
      </c>
      <c r="G11" s="689">
        <f>huishoudens!F8</f>
        <v>31135.059035776743</v>
      </c>
      <c r="H11" s="689">
        <f>huishoudens!G8</f>
        <v>0</v>
      </c>
      <c r="I11" s="689">
        <f>huishoudens!H8</f>
        <v>0</v>
      </c>
      <c r="J11" s="689">
        <f>huishoudens!I8</f>
        <v>0</v>
      </c>
      <c r="K11" s="689">
        <f>huishoudens!J8</f>
        <v>0</v>
      </c>
      <c r="L11" s="689">
        <f>huishoudens!K8</f>
        <v>0</v>
      </c>
      <c r="M11" s="689">
        <f>huishoudens!L8</f>
        <v>0</v>
      </c>
      <c r="N11" s="689">
        <f>huishoudens!M8</f>
        <v>0</v>
      </c>
      <c r="O11" s="689">
        <f>huishoudens!N8</f>
        <v>11069.853845278887</v>
      </c>
      <c r="P11" s="689">
        <f>huishoudens!O8</f>
        <v>416.63122607127667</v>
      </c>
      <c r="Q11" s="690">
        <f>huishoudens!P8</f>
        <v>568.83380261499121</v>
      </c>
      <c r="R11" s="692">
        <f>SUM(C11:Q11)</f>
        <v>264913.53635441465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104334.87283788706</v>
      </c>
      <c r="D13" s="689">
        <f>industrie!C18</f>
        <v>0</v>
      </c>
      <c r="E13" s="689">
        <f>industrie!D18</f>
        <v>20331.175115822673</v>
      </c>
      <c r="F13" s="689">
        <f>industrie!E18</f>
        <v>787.33139469222101</v>
      </c>
      <c r="G13" s="689">
        <f>industrie!F18</f>
        <v>11491.340611947164</v>
      </c>
      <c r="H13" s="689">
        <f>industrie!G18</f>
        <v>0</v>
      </c>
      <c r="I13" s="689">
        <f>industrie!H18</f>
        <v>0</v>
      </c>
      <c r="J13" s="689">
        <f>industrie!I18</f>
        <v>0</v>
      </c>
      <c r="K13" s="689">
        <f>industrie!J18</f>
        <v>681.9920549749055</v>
      </c>
      <c r="L13" s="689">
        <f>industrie!K18</f>
        <v>0</v>
      </c>
      <c r="M13" s="689">
        <f>industrie!L18</f>
        <v>0</v>
      </c>
      <c r="N13" s="689">
        <f>industrie!M18</f>
        <v>0</v>
      </c>
      <c r="O13" s="689">
        <f>industrie!N18</f>
        <v>1919.4980014890539</v>
      </c>
      <c r="P13" s="689">
        <f>industrie!O18</f>
        <v>0</v>
      </c>
      <c r="Q13" s="690">
        <f>industrie!P18</f>
        <v>0</v>
      </c>
      <c r="R13" s="692">
        <f>SUM(C13:Q13)</f>
        <v>139546.21001681307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228494.840043128</v>
      </c>
      <c r="D16" s="725">
        <f t="shared" ref="D16:R16" ca="1" si="0">SUM(D9:D15)</f>
        <v>0</v>
      </c>
      <c r="E16" s="725">
        <f t="shared" ca="1" si="0"/>
        <v>265527.47376170621</v>
      </c>
      <c r="F16" s="725">
        <f t="shared" si="0"/>
        <v>10418.213024071872</v>
      </c>
      <c r="G16" s="725">
        <f t="shared" ca="1" si="0"/>
        <v>51764.380124899384</v>
      </c>
      <c r="H16" s="725">
        <f t="shared" si="0"/>
        <v>0</v>
      </c>
      <c r="I16" s="725">
        <f t="shared" si="0"/>
        <v>0</v>
      </c>
      <c r="J16" s="725">
        <f t="shared" si="0"/>
        <v>0</v>
      </c>
      <c r="K16" s="725">
        <f t="shared" si="0"/>
        <v>682.04166291603053</v>
      </c>
      <c r="L16" s="725">
        <f t="shared" si="0"/>
        <v>0</v>
      </c>
      <c r="M16" s="725">
        <f t="shared" ca="1" si="0"/>
        <v>0</v>
      </c>
      <c r="N16" s="725">
        <f t="shared" si="0"/>
        <v>0</v>
      </c>
      <c r="O16" s="725">
        <f t="shared" ca="1" si="0"/>
        <v>14870.974417089752</v>
      </c>
      <c r="P16" s="725">
        <f t="shared" si="0"/>
        <v>426.42574760295901</v>
      </c>
      <c r="Q16" s="725">
        <f t="shared" si="0"/>
        <v>989.14690906695137</v>
      </c>
      <c r="R16" s="725">
        <f t="shared" ca="1" si="0"/>
        <v>573173.49569048127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3163.2129890104366</v>
      </c>
      <c r="I19" s="689">
        <f>transport!H54</f>
        <v>0</v>
      </c>
      <c r="J19" s="689">
        <f>transport!I54</f>
        <v>0</v>
      </c>
      <c r="K19" s="689">
        <f>transport!J54</f>
        <v>0</v>
      </c>
      <c r="L19" s="689">
        <f>transport!K54</f>
        <v>0</v>
      </c>
      <c r="M19" s="689">
        <f>transport!L54</f>
        <v>0</v>
      </c>
      <c r="N19" s="689">
        <f>transport!M54</f>
        <v>171.65395314275659</v>
      </c>
      <c r="O19" s="689">
        <f>transport!N54</f>
        <v>0</v>
      </c>
      <c r="P19" s="689">
        <f>transport!O54</f>
        <v>0</v>
      </c>
      <c r="Q19" s="690">
        <f>transport!P54</f>
        <v>0</v>
      </c>
      <c r="R19" s="692">
        <f>SUM(C19:Q19)</f>
        <v>3334.8669421531931</v>
      </c>
      <c r="S19" s="67"/>
    </row>
    <row r="20" spans="1:19" s="451" customFormat="1">
      <c r="A20" s="811" t="s">
        <v>306</v>
      </c>
      <c r="B20" s="816"/>
      <c r="C20" s="689">
        <f>transport!B14</f>
        <v>158.26560410946681</v>
      </c>
      <c r="D20" s="689">
        <f>transport!C14</f>
        <v>0</v>
      </c>
      <c r="E20" s="689">
        <f>transport!D14</f>
        <v>651.19836316899307</v>
      </c>
      <c r="F20" s="689">
        <f>transport!E14</f>
        <v>365.99659130705635</v>
      </c>
      <c r="G20" s="689">
        <f>transport!F14</f>
        <v>0</v>
      </c>
      <c r="H20" s="689">
        <f>transport!G14</f>
        <v>173146.04647814998</v>
      </c>
      <c r="I20" s="689">
        <f>transport!H14</f>
        <v>41852.777117369449</v>
      </c>
      <c r="J20" s="689">
        <f>transport!I14</f>
        <v>0</v>
      </c>
      <c r="K20" s="689">
        <f>transport!J14</f>
        <v>0</v>
      </c>
      <c r="L20" s="689">
        <f>transport!K14</f>
        <v>0</v>
      </c>
      <c r="M20" s="689">
        <f>transport!L14</f>
        <v>0</v>
      </c>
      <c r="N20" s="689">
        <f>transport!M14</f>
        <v>12657.818253632775</v>
      </c>
      <c r="O20" s="689">
        <f>transport!N14</f>
        <v>0</v>
      </c>
      <c r="P20" s="689">
        <f>transport!O14</f>
        <v>0</v>
      </c>
      <c r="Q20" s="690">
        <f>transport!P14</f>
        <v>0</v>
      </c>
      <c r="R20" s="692">
        <f>SUM(C20:Q20)</f>
        <v>228832.10240773772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158.26560410946681</v>
      </c>
      <c r="D22" s="814">
        <f t="shared" ref="D22:R22" si="1">SUM(D18:D21)</f>
        <v>0</v>
      </c>
      <c r="E22" s="814">
        <f t="shared" si="1"/>
        <v>651.19836316899307</v>
      </c>
      <c r="F22" s="814">
        <f t="shared" si="1"/>
        <v>365.99659130705635</v>
      </c>
      <c r="G22" s="814">
        <f t="shared" si="1"/>
        <v>0</v>
      </c>
      <c r="H22" s="814">
        <f t="shared" si="1"/>
        <v>176309.25946716042</v>
      </c>
      <c r="I22" s="814">
        <f t="shared" si="1"/>
        <v>41852.777117369449</v>
      </c>
      <c r="J22" s="814">
        <f t="shared" si="1"/>
        <v>0</v>
      </c>
      <c r="K22" s="814">
        <f t="shared" si="1"/>
        <v>0</v>
      </c>
      <c r="L22" s="814">
        <f t="shared" si="1"/>
        <v>0</v>
      </c>
      <c r="M22" s="814">
        <f t="shared" si="1"/>
        <v>0</v>
      </c>
      <c r="N22" s="814">
        <f t="shared" si="1"/>
        <v>12829.472206775532</v>
      </c>
      <c r="O22" s="814">
        <f t="shared" si="1"/>
        <v>0</v>
      </c>
      <c r="P22" s="814">
        <f t="shared" si="1"/>
        <v>0</v>
      </c>
      <c r="Q22" s="814">
        <f t="shared" si="1"/>
        <v>0</v>
      </c>
      <c r="R22" s="814">
        <f t="shared" si="1"/>
        <v>232166.96934989092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2265.7290009684502</v>
      </c>
      <c r="D24" s="689">
        <f>+landbouw!C8</f>
        <v>0</v>
      </c>
      <c r="E24" s="689">
        <f>+landbouw!D8</f>
        <v>599.3424197174827</v>
      </c>
      <c r="F24" s="689">
        <f>+landbouw!E8</f>
        <v>84.495964816744078</v>
      </c>
      <c r="G24" s="689">
        <f>+landbouw!F8</f>
        <v>7350.9003912904645</v>
      </c>
      <c r="H24" s="689">
        <f>+landbouw!G8</f>
        <v>0</v>
      </c>
      <c r="I24" s="689">
        <f>+landbouw!H8</f>
        <v>0</v>
      </c>
      <c r="J24" s="689">
        <f>+landbouw!I8</f>
        <v>0</v>
      </c>
      <c r="K24" s="689">
        <f>+landbouw!J8</f>
        <v>594.76504844788576</v>
      </c>
      <c r="L24" s="689">
        <f>+landbouw!K8</f>
        <v>0</v>
      </c>
      <c r="M24" s="689">
        <f>+landbouw!L8</f>
        <v>0</v>
      </c>
      <c r="N24" s="689">
        <f>+landbouw!M8</f>
        <v>0</v>
      </c>
      <c r="O24" s="689">
        <f>+landbouw!N8</f>
        <v>0</v>
      </c>
      <c r="P24" s="689">
        <f>+landbouw!O8</f>
        <v>0</v>
      </c>
      <c r="Q24" s="690">
        <f>+landbouw!P8</f>
        <v>0</v>
      </c>
      <c r="R24" s="692">
        <f>SUM(C24:Q24)</f>
        <v>10895.232825241028</v>
      </c>
      <c r="S24" s="67"/>
    </row>
    <row r="25" spans="1:19" s="451" customFormat="1" ht="15" thickBot="1">
      <c r="A25" s="833" t="s">
        <v>714</v>
      </c>
      <c r="B25" s="947"/>
      <c r="C25" s="948">
        <f>IF(Onbekend_ele_kWh="---",0,Onbekend_ele_kWh)/1000+IF(REST_rest_ele_kWh="---",0,REST_rest_ele_kWh)/1000</f>
        <v>1909.0759981184699</v>
      </c>
      <c r="D25" s="948"/>
      <c r="E25" s="948">
        <f>IF(onbekend_gas_kWh="---",0,onbekend_gas_kWh)/1000+IF(REST_rest_gas_kWh="---",0,REST_rest_gas_kWh)/1000</f>
        <v>7880.57576531022</v>
      </c>
      <c r="F25" s="948"/>
      <c r="G25" s="948"/>
      <c r="H25" s="948"/>
      <c r="I25" s="948"/>
      <c r="J25" s="948"/>
      <c r="K25" s="948"/>
      <c r="L25" s="948"/>
      <c r="M25" s="948"/>
      <c r="N25" s="948"/>
      <c r="O25" s="948"/>
      <c r="P25" s="948"/>
      <c r="Q25" s="949"/>
      <c r="R25" s="692">
        <f>SUM(C25:Q25)</f>
        <v>9789.6517634286902</v>
      </c>
      <c r="S25" s="67"/>
    </row>
    <row r="26" spans="1:19" s="451" customFormat="1" ht="15.75" thickBot="1">
      <c r="A26" s="697" t="s">
        <v>715</v>
      </c>
      <c r="B26" s="819"/>
      <c r="C26" s="814">
        <f>SUM(C24:C25)</f>
        <v>4174.8049990869204</v>
      </c>
      <c r="D26" s="814">
        <f t="shared" ref="D26:R26" si="2">SUM(D24:D25)</f>
        <v>0</v>
      </c>
      <c r="E26" s="814">
        <f t="shared" si="2"/>
        <v>8479.9181850277018</v>
      </c>
      <c r="F26" s="814">
        <f t="shared" si="2"/>
        <v>84.495964816744078</v>
      </c>
      <c r="G26" s="814">
        <f t="shared" si="2"/>
        <v>7350.9003912904645</v>
      </c>
      <c r="H26" s="814">
        <f t="shared" si="2"/>
        <v>0</v>
      </c>
      <c r="I26" s="814">
        <f t="shared" si="2"/>
        <v>0</v>
      </c>
      <c r="J26" s="814">
        <f t="shared" si="2"/>
        <v>0</v>
      </c>
      <c r="K26" s="814">
        <f t="shared" si="2"/>
        <v>594.76504844788576</v>
      </c>
      <c r="L26" s="814">
        <f t="shared" si="2"/>
        <v>0</v>
      </c>
      <c r="M26" s="814">
        <f t="shared" si="2"/>
        <v>0</v>
      </c>
      <c r="N26" s="814">
        <f t="shared" si="2"/>
        <v>0</v>
      </c>
      <c r="O26" s="814">
        <f t="shared" si="2"/>
        <v>0</v>
      </c>
      <c r="P26" s="814">
        <f t="shared" si="2"/>
        <v>0</v>
      </c>
      <c r="Q26" s="814">
        <f t="shared" si="2"/>
        <v>0</v>
      </c>
      <c r="R26" s="814">
        <f t="shared" si="2"/>
        <v>20684.884588669716</v>
      </c>
      <c r="S26" s="67"/>
    </row>
    <row r="27" spans="1:19" s="451" customFormat="1" ht="17.25" thickTop="1" thickBot="1">
      <c r="A27" s="698" t="s">
        <v>115</v>
      </c>
      <c r="B27" s="806"/>
      <c r="C27" s="699">
        <f ca="1">C22+C16+C26</f>
        <v>232827.9106463244</v>
      </c>
      <c r="D27" s="699">
        <f t="shared" ref="D27:R27" ca="1" si="3">D22+D16+D26</f>
        <v>0</v>
      </c>
      <c r="E27" s="699">
        <f t="shared" ca="1" si="3"/>
        <v>274658.59030990291</v>
      </c>
      <c r="F27" s="699">
        <f t="shared" si="3"/>
        <v>10868.705580195672</v>
      </c>
      <c r="G27" s="699">
        <f t="shared" ca="1" si="3"/>
        <v>59115.28051618985</v>
      </c>
      <c r="H27" s="699">
        <f t="shared" si="3"/>
        <v>176309.25946716042</v>
      </c>
      <c r="I27" s="699">
        <f t="shared" si="3"/>
        <v>41852.777117369449</v>
      </c>
      <c r="J27" s="699">
        <f t="shared" si="3"/>
        <v>0</v>
      </c>
      <c r="K27" s="699">
        <f t="shared" si="3"/>
        <v>1276.8067113639163</v>
      </c>
      <c r="L27" s="699">
        <f t="shared" si="3"/>
        <v>0</v>
      </c>
      <c r="M27" s="699">
        <f t="shared" ca="1" si="3"/>
        <v>0</v>
      </c>
      <c r="N27" s="699">
        <f t="shared" si="3"/>
        <v>12829.472206775532</v>
      </c>
      <c r="O27" s="699">
        <f t="shared" ca="1" si="3"/>
        <v>14870.974417089752</v>
      </c>
      <c r="P27" s="699">
        <f t="shared" si="3"/>
        <v>426.42574760295901</v>
      </c>
      <c r="Q27" s="699">
        <f t="shared" si="3"/>
        <v>989.14690906695137</v>
      </c>
      <c r="R27" s="699">
        <f t="shared" ca="1" si="3"/>
        <v>826025.34962904197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14829.922222276375</v>
      </c>
      <c r="D40" s="689">
        <f ca="1">tertiair!C20</f>
        <v>0</v>
      </c>
      <c r="E40" s="689">
        <f ca="1">tertiair!D20</f>
        <v>17425.71873762683</v>
      </c>
      <c r="F40" s="689">
        <f>tertiair!E20</f>
        <v>31.586667732381709</v>
      </c>
      <c r="G40" s="689">
        <f ca="1">tertiair!F20</f>
        <v>2439.8407874058526</v>
      </c>
      <c r="H40" s="689">
        <f>tertiair!G20</f>
        <v>0</v>
      </c>
      <c r="I40" s="689">
        <f>tertiair!H20</f>
        <v>0</v>
      </c>
      <c r="J40" s="689">
        <f>tertiair!I20</f>
        <v>0</v>
      </c>
      <c r="K40" s="689">
        <f>tertiair!J20</f>
        <v>1.7561211158248841E-2</v>
      </c>
      <c r="L40" s="689">
        <f>tertiair!K20</f>
        <v>0</v>
      </c>
      <c r="M40" s="689">
        <f ca="1">tertiair!L20</f>
        <v>0</v>
      </c>
      <c r="N40" s="689">
        <f>tertiair!M20</f>
        <v>0</v>
      </c>
      <c r="O40" s="689">
        <f ca="1">tertiair!N20</f>
        <v>0</v>
      </c>
      <c r="P40" s="689">
        <f>tertiair!O20</f>
        <v>0</v>
      </c>
      <c r="Q40" s="772">
        <f>tertiair!P20</f>
        <v>0</v>
      </c>
      <c r="R40" s="852">
        <f t="shared" ca="1" si="4"/>
        <v>34727.085976252594</v>
      </c>
    </row>
    <row r="41" spans="1:18">
      <c r="A41" s="824" t="s">
        <v>224</v>
      </c>
      <c r="B41" s="831"/>
      <c r="C41" s="689">
        <f ca="1">huishoudens!B12</f>
        <v>11155.274995218881</v>
      </c>
      <c r="D41" s="689">
        <f ca="1">huishoudens!C12</f>
        <v>0</v>
      </c>
      <c r="E41" s="689">
        <f>huishoudens!D12</f>
        <v>32103.93358884165</v>
      </c>
      <c r="F41" s="689">
        <f>huishoudens!E12</f>
        <v>2154.6234621367994</v>
      </c>
      <c r="G41" s="689">
        <f>huishoudens!F12</f>
        <v>8313.0607625523917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53726.892808749719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21836.041909330841</v>
      </c>
      <c r="D43" s="689">
        <f ca="1">industrie!C22</f>
        <v>0</v>
      </c>
      <c r="E43" s="689">
        <f>industrie!D22</f>
        <v>4106.8973733961802</v>
      </c>
      <c r="F43" s="689">
        <f>industrie!E22</f>
        <v>178.72422659513418</v>
      </c>
      <c r="G43" s="689">
        <f>industrie!F22</f>
        <v>3068.187943389893</v>
      </c>
      <c r="H43" s="689">
        <f>industrie!G22</f>
        <v>0</v>
      </c>
      <c r="I43" s="689">
        <f>industrie!H22</f>
        <v>0</v>
      </c>
      <c r="J43" s="689">
        <f>industrie!I22</f>
        <v>0</v>
      </c>
      <c r="K43" s="689">
        <f>industrie!J22</f>
        <v>241.42518746111654</v>
      </c>
      <c r="L43" s="689">
        <f>industrie!K22</f>
        <v>0</v>
      </c>
      <c r="M43" s="689">
        <f>industrie!L22</f>
        <v>0</v>
      </c>
      <c r="N43" s="689">
        <f>industrie!M22</f>
        <v>0</v>
      </c>
      <c r="O43" s="689">
        <f>industrie!N22</f>
        <v>0</v>
      </c>
      <c r="P43" s="689">
        <f>industrie!O22</f>
        <v>0</v>
      </c>
      <c r="Q43" s="772">
        <f>industrie!P22</f>
        <v>0</v>
      </c>
      <c r="R43" s="851">
        <f t="shared" ca="1" si="4"/>
        <v>29431.276640173168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47821.239126826098</v>
      </c>
      <c r="D46" s="725">
        <f t="shared" ref="D46:Q46" ca="1" si="5">SUM(D39:D45)</f>
        <v>0</v>
      </c>
      <c r="E46" s="725">
        <f t="shared" ca="1" si="5"/>
        <v>53636.549699864663</v>
      </c>
      <c r="F46" s="725">
        <f t="shared" si="5"/>
        <v>2364.934356464315</v>
      </c>
      <c r="G46" s="725">
        <f t="shared" ca="1" si="5"/>
        <v>13821.089493348136</v>
      </c>
      <c r="H46" s="725">
        <f t="shared" si="5"/>
        <v>0</v>
      </c>
      <c r="I46" s="725">
        <f t="shared" si="5"/>
        <v>0</v>
      </c>
      <c r="J46" s="725">
        <f t="shared" si="5"/>
        <v>0</v>
      </c>
      <c r="K46" s="725">
        <f t="shared" si="5"/>
        <v>241.44274867227477</v>
      </c>
      <c r="L46" s="725">
        <f t="shared" si="5"/>
        <v>0</v>
      </c>
      <c r="M46" s="725">
        <f t="shared" ca="1" si="5"/>
        <v>0</v>
      </c>
      <c r="N46" s="725">
        <f t="shared" si="5"/>
        <v>0</v>
      </c>
      <c r="O46" s="725">
        <f t="shared" ca="1" si="5"/>
        <v>0</v>
      </c>
      <c r="P46" s="725">
        <f t="shared" si="5"/>
        <v>0</v>
      </c>
      <c r="Q46" s="725">
        <f t="shared" si="5"/>
        <v>0</v>
      </c>
      <c r="R46" s="725">
        <f ca="1">SUM(R39:R45)</f>
        <v>117885.25542517548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844.57786806578656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844.57786806578656</v>
      </c>
    </row>
    <row r="50" spans="1:18">
      <c r="A50" s="827" t="s">
        <v>306</v>
      </c>
      <c r="B50" s="837"/>
      <c r="C50" s="695">
        <f ca="1">transport!B18</f>
        <v>33.123099402340422</v>
      </c>
      <c r="D50" s="695">
        <f>transport!C18</f>
        <v>0</v>
      </c>
      <c r="E50" s="695">
        <f>transport!D18</f>
        <v>131.54206936013662</v>
      </c>
      <c r="F50" s="695">
        <f>transport!E18</f>
        <v>83.081226226701787</v>
      </c>
      <c r="G50" s="695">
        <f>transport!F18</f>
        <v>0</v>
      </c>
      <c r="H50" s="695">
        <f>transport!G18</f>
        <v>46229.994409666047</v>
      </c>
      <c r="I50" s="695">
        <f>transport!H18</f>
        <v>10421.341502224992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56899.082306880213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33.123099402340422</v>
      </c>
      <c r="D52" s="725">
        <f t="shared" ref="D52:Q52" ca="1" si="6">SUM(D48:D51)</f>
        <v>0</v>
      </c>
      <c r="E52" s="725">
        <f t="shared" si="6"/>
        <v>131.54206936013662</v>
      </c>
      <c r="F52" s="725">
        <f t="shared" si="6"/>
        <v>83.081226226701787</v>
      </c>
      <c r="G52" s="725">
        <f t="shared" si="6"/>
        <v>0</v>
      </c>
      <c r="H52" s="725">
        <f t="shared" si="6"/>
        <v>47074.572277731837</v>
      </c>
      <c r="I52" s="725">
        <f t="shared" si="6"/>
        <v>10421.341502224992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57743.660174946002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474.19000066454976</v>
      </c>
      <c r="D54" s="695">
        <f ca="1">+landbouw!C12</f>
        <v>0</v>
      </c>
      <c r="E54" s="695">
        <f>+landbouw!D12</f>
        <v>121.06716878293152</v>
      </c>
      <c r="F54" s="695">
        <f>+landbouw!E12</f>
        <v>19.180584013400907</v>
      </c>
      <c r="G54" s="695">
        <f>+landbouw!F12</f>
        <v>1962.690404474554</v>
      </c>
      <c r="H54" s="695">
        <f>+landbouw!G12</f>
        <v>0</v>
      </c>
      <c r="I54" s="695">
        <f>+landbouw!H12</f>
        <v>0</v>
      </c>
      <c r="J54" s="695">
        <f>+landbouw!I12</f>
        <v>0</v>
      </c>
      <c r="K54" s="695">
        <f>+landbouw!J12</f>
        <v>210.54682715055154</v>
      </c>
      <c r="L54" s="695">
        <f>+landbouw!K12</f>
        <v>0</v>
      </c>
      <c r="M54" s="695">
        <f>+landbouw!L12</f>
        <v>0</v>
      </c>
      <c r="N54" s="695">
        <f>+landbouw!M12</f>
        <v>0</v>
      </c>
      <c r="O54" s="695">
        <f>+landbouw!N12</f>
        <v>0</v>
      </c>
      <c r="P54" s="695">
        <f>+landbouw!O12</f>
        <v>0</v>
      </c>
      <c r="Q54" s="696">
        <f>+landbouw!P12</f>
        <v>0</v>
      </c>
      <c r="R54" s="724">
        <f ca="1">SUM(C54:Q54)</f>
        <v>2787.6749850859878</v>
      </c>
    </row>
    <row r="55" spans="1:18" ht="15" thickBot="1">
      <c r="A55" s="827" t="s">
        <v>714</v>
      </c>
      <c r="B55" s="837"/>
      <c r="C55" s="695">
        <f ca="1">C25*'EF ele_warmte'!B12</f>
        <v>399.54678976591288</v>
      </c>
      <c r="D55" s="695"/>
      <c r="E55" s="695">
        <f>E25*EF_CO2_aardgas</f>
        <v>1591.8763045926646</v>
      </c>
      <c r="F55" s="695"/>
      <c r="G55" s="695"/>
      <c r="H55" s="695"/>
      <c r="I55" s="695"/>
      <c r="J55" s="695"/>
      <c r="K55" s="695"/>
      <c r="L55" s="695"/>
      <c r="M55" s="695"/>
      <c r="N55" s="695"/>
      <c r="O55" s="695"/>
      <c r="P55" s="695"/>
      <c r="Q55" s="696"/>
      <c r="R55" s="724">
        <f ca="1">SUM(C55:Q55)</f>
        <v>1991.4230943585776</v>
      </c>
    </row>
    <row r="56" spans="1:18" ht="15.75" thickBot="1">
      <c r="A56" s="825" t="s">
        <v>715</v>
      </c>
      <c r="B56" s="838"/>
      <c r="C56" s="725">
        <f ca="1">SUM(C54:C55)</f>
        <v>873.73679043046263</v>
      </c>
      <c r="D56" s="725">
        <f t="shared" ref="D56:Q56" ca="1" si="7">SUM(D54:D55)</f>
        <v>0</v>
      </c>
      <c r="E56" s="725">
        <f t="shared" si="7"/>
        <v>1712.9434733755961</v>
      </c>
      <c r="F56" s="725">
        <f t="shared" si="7"/>
        <v>19.180584013400907</v>
      </c>
      <c r="G56" s="725">
        <f t="shared" si="7"/>
        <v>1962.690404474554</v>
      </c>
      <c r="H56" s="725">
        <f t="shared" si="7"/>
        <v>0</v>
      </c>
      <c r="I56" s="725">
        <f t="shared" si="7"/>
        <v>0</v>
      </c>
      <c r="J56" s="725">
        <f t="shared" si="7"/>
        <v>0</v>
      </c>
      <c r="K56" s="725">
        <f t="shared" si="7"/>
        <v>210.54682715055154</v>
      </c>
      <c r="L56" s="725">
        <f t="shared" si="7"/>
        <v>0</v>
      </c>
      <c r="M56" s="725">
        <f t="shared" si="7"/>
        <v>0</v>
      </c>
      <c r="N56" s="725">
        <f t="shared" si="7"/>
        <v>0</v>
      </c>
      <c r="O56" s="725">
        <f t="shared" si="7"/>
        <v>0</v>
      </c>
      <c r="P56" s="725">
        <f t="shared" si="7"/>
        <v>0</v>
      </c>
      <c r="Q56" s="726">
        <f t="shared" si="7"/>
        <v>0</v>
      </c>
      <c r="R56" s="727">
        <f ca="1">SUM(R54:R55)</f>
        <v>4779.0980794445659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48728.099016658904</v>
      </c>
      <c r="D61" s="733">
        <f t="shared" ref="D61:Q61" ca="1" si="8">D46+D52+D56</f>
        <v>0</v>
      </c>
      <c r="E61" s="733">
        <f t="shared" ca="1" si="8"/>
        <v>55481.035242600396</v>
      </c>
      <c r="F61" s="733">
        <f t="shared" si="8"/>
        <v>2467.1961667044179</v>
      </c>
      <c r="G61" s="733">
        <f t="shared" ca="1" si="8"/>
        <v>15783.779897822689</v>
      </c>
      <c r="H61" s="733">
        <f t="shared" si="8"/>
        <v>47074.572277731837</v>
      </c>
      <c r="I61" s="733">
        <f t="shared" si="8"/>
        <v>10421.341502224992</v>
      </c>
      <c r="J61" s="733">
        <f t="shared" si="8"/>
        <v>0</v>
      </c>
      <c r="K61" s="733">
        <f t="shared" si="8"/>
        <v>451.98957582282628</v>
      </c>
      <c r="L61" s="733">
        <f t="shared" si="8"/>
        <v>0</v>
      </c>
      <c r="M61" s="733">
        <f t="shared" ca="1" si="8"/>
        <v>0</v>
      </c>
      <c r="N61" s="733">
        <f t="shared" si="8"/>
        <v>0</v>
      </c>
      <c r="O61" s="733">
        <f t="shared" ca="1" si="8"/>
        <v>0</v>
      </c>
      <c r="P61" s="733">
        <f t="shared" si="8"/>
        <v>0</v>
      </c>
      <c r="Q61" s="733">
        <f t="shared" si="8"/>
        <v>0</v>
      </c>
      <c r="R61" s="733">
        <f ca="1">R46+R52+R56</f>
        <v>180408.01367956607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0.20928804833316991</v>
      </c>
      <c r="D63" s="779">
        <f t="shared" ca="1" si="9"/>
        <v>0</v>
      </c>
      <c r="E63" s="973">
        <f t="shared" ca="1" si="9"/>
        <v>0.20200000000000004</v>
      </c>
      <c r="F63" s="779">
        <f t="shared" si="9"/>
        <v>0.22700000000000004</v>
      </c>
      <c r="G63" s="779">
        <f t="shared" ca="1" si="9"/>
        <v>0.26699999999999996</v>
      </c>
      <c r="H63" s="779">
        <f t="shared" si="9"/>
        <v>0.26700000000000002</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12338.774824338429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12338.774824338429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12338.774824338429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12338.774824338429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53301.06083009849</v>
      </c>
      <c r="C4" s="455">
        <f>huishoudens!C8</f>
        <v>0</v>
      </c>
      <c r="D4" s="455">
        <f>huishoudens!D8</f>
        <v>158930.36430119627</v>
      </c>
      <c r="E4" s="455">
        <f>huishoudens!E8</f>
        <v>9491.7333133779703</v>
      </c>
      <c r="F4" s="455">
        <f>huishoudens!F8</f>
        <v>31135.059035776743</v>
      </c>
      <c r="G4" s="455">
        <f>huishoudens!G8</f>
        <v>0</v>
      </c>
      <c r="H4" s="455">
        <f>huishoudens!H8</f>
        <v>0</v>
      </c>
      <c r="I4" s="455">
        <f>huishoudens!I8</f>
        <v>0</v>
      </c>
      <c r="J4" s="455">
        <f>huishoudens!J8</f>
        <v>0</v>
      </c>
      <c r="K4" s="455">
        <f>huishoudens!K8</f>
        <v>0</v>
      </c>
      <c r="L4" s="455">
        <f>huishoudens!L8</f>
        <v>0</v>
      </c>
      <c r="M4" s="455">
        <f>huishoudens!M8</f>
        <v>0</v>
      </c>
      <c r="N4" s="455">
        <f>huishoudens!N8</f>
        <v>11069.853845278887</v>
      </c>
      <c r="O4" s="455">
        <f>huishoudens!O8</f>
        <v>416.63122607127667</v>
      </c>
      <c r="P4" s="456">
        <f>huishoudens!P8</f>
        <v>568.83380261499121</v>
      </c>
      <c r="Q4" s="457">
        <f>SUM(B4:P4)</f>
        <v>264913.53635441465</v>
      </c>
    </row>
    <row r="5" spans="1:17">
      <c r="A5" s="454" t="s">
        <v>155</v>
      </c>
      <c r="B5" s="455">
        <f ca="1">tertiair!B16</f>
        <v>68520.469375142464</v>
      </c>
      <c r="C5" s="455">
        <f ca="1">tertiair!C16</f>
        <v>0</v>
      </c>
      <c r="D5" s="455">
        <f ca="1">tertiair!D16</f>
        <v>86265.934344687266</v>
      </c>
      <c r="E5" s="455">
        <f>tertiair!E16</f>
        <v>139.14831600168154</v>
      </c>
      <c r="F5" s="455">
        <f ca="1">tertiair!F16</f>
        <v>9137.9804771754771</v>
      </c>
      <c r="G5" s="455">
        <f>tertiair!G16</f>
        <v>0</v>
      </c>
      <c r="H5" s="455">
        <f>tertiair!H16</f>
        <v>0</v>
      </c>
      <c r="I5" s="455">
        <f>tertiair!I16</f>
        <v>0</v>
      </c>
      <c r="J5" s="455">
        <f>tertiair!J16</f>
        <v>4.9607941124996731E-2</v>
      </c>
      <c r="K5" s="455">
        <f>tertiair!K16</f>
        <v>0</v>
      </c>
      <c r="L5" s="455">
        <f ca="1">tertiair!L16</f>
        <v>0</v>
      </c>
      <c r="M5" s="455">
        <f>tertiair!M16</f>
        <v>0</v>
      </c>
      <c r="N5" s="455">
        <f ca="1">tertiair!N16</f>
        <v>1881.6225703218117</v>
      </c>
      <c r="O5" s="455">
        <f>tertiair!O16</f>
        <v>9.7945215316823084</v>
      </c>
      <c r="P5" s="456">
        <f>tertiair!P16</f>
        <v>420.31310645196015</v>
      </c>
      <c r="Q5" s="454">
        <f t="shared" ref="Q5:Q14" ca="1" si="0">SUM(B5:P5)</f>
        <v>166375.31231925348</v>
      </c>
    </row>
    <row r="6" spans="1:17">
      <c r="A6" s="454" t="s">
        <v>193</v>
      </c>
      <c r="B6" s="455">
        <f>'openbare verlichting'!B8</f>
        <v>2338.4369999999999</v>
      </c>
      <c r="C6" s="455"/>
      <c r="D6" s="455"/>
      <c r="E6" s="455"/>
      <c r="F6" s="455"/>
      <c r="G6" s="455"/>
      <c r="H6" s="455"/>
      <c r="I6" s="455"/>
      <c r="J6" s="455"/>
      <c r="K6" s="455"/>
      <c r="L6" s="455"/>
      <c r="M6" s="455"/>
      <c r="N6" s="455"/>
      <c r="O6" s="455"/>
      <c r="P6" s="456"/>
      <c r="Q6" s="454">
        <f t="shared" si="0"/>
        <v>2338.4369999999999</v>
      </c>
    </row>
    <row r="7" spans="1:17">
      <c r="A7" s="454" t="s">
        <v>111</v>
      </c>
      <c r="B7" s="455">
        <f>landbouw!B8</f>
        <v>2265.7290009684502</v>
      </c>
      <c r="C7" s="455">
        <f>landbouw!C8</f>
        <v>0</v>
      </c>
      <c r="D7" s="455">
        <f>landbouw!D8</f>
        <v>599.3424197174827</v>
      </c>
      <c r="E7" s="455">
        <f>landbouw!E8</f>
        <v>84.495964816744078</v>
      </c>
      <c r="F7" s="455">
        <f>landbouw!F8</f>
        <v>7350.9003912904645</v>
      </c>
      <c r="G7" s="455">
        <f>landbouw!G8</f>
        <v>0</v>
      </c>
      <c r="H7" s="455">
        <f>landbouw!H8</f>
        <v>0</v>
      </c>
      <c r="I7" s="455">
        <f>landbouw!I8</f>
        <v>0</v>
      </c>
      <c r="J7" s="455">
        <f>landbouw!J8</f>
        <v>594.76504844788576</v>
      </c>
      <c r="K7" s="455">
        <f>landbouw!K8</f>
        <v>0</v>
      </c>
      <c r="L7" s="455">
        <f>landbouw!L8</f>
        <v>0</v>
      </c>
      <c r="M7" s="455">
        <f>landbouw!M8</f>
        <v>0</v>
      </c>
      <c r="N7" s="455">
        <f>landbouw!N8</f>
        <v>0</v>
      </c>
      <c r="O7" s="455">
        <f>landbouw!O8</f>
        <v>0</v>
      </c>
      <c r="P7" s="456">
        <f>landbouw!P8</f>
        <v>0</v>
      </c>
      <c r="Q7" s="454">
        <f t="shared" si="0"/>
        <v>10895.232825241028</v>
      </c>
    </row>
    <row r="8" spans="1:17">
      <c r="A8" s="454" t="s">
        <v>626</v>
      </c>
      <c r="B8" s="455">
        <f>industrie!B18</f>
        <v>104334.87283788706</v>
      </c>
      <c r="C8" s="455">
        <f>industrie!C18</f>
        <v>0</v>
      </c>
      <c r="D8" s="455">
        <f>industrie!D18</f>
        <v>20331.175115822673</v>
      </c>
      <c r="E8" s="455">
        <f>industrie!E18</f>
        <v>787.33139469222101</v>
      </c>
      <c r="F8" s="455">
        <f>industrie!F18</f>
        <v>11491.340611947164</v>
      </c>
      <c r="G8" s="455">
        <f>industrie!G18</f>
        <v>0</v>
      </c>
      <c r="H8" s="455">
        <f>industrie!H18</f>
        <v>0</v>
      </c>
      <c r="I8" s="455">
        <f>industrie!I18</f>
        <v>0</v>
      </c>
      <c r="J8" s="455">
        <f>industrie!J18</f>
        <v>681.9920549749055</v>
      </c>
      <c r="K8" s="455">
        <f>industrie!K18</f>
        <v>0</v>
      </c>
      <c r="L8" s="455">
        <f>industrie!L18</f>
        <v>0</v>
      </c>
      <c r="M8" s="455">
        <f>industrie!M18</f>
        <v>0</v>
      </c>
      <c r="N8" s="455">
        <f>industrie!N18</f>
        <v>1919.4980014890539</v>
      </c>
      <c r="O8" s="455">
        <f>industrie!O18</f>
        <v>0</v>
      </c>
      <c r="P8" s="456">
        <f>industrie!P18</f>
        <v>0</v>
      </c>
      <c r="Q8" s="454">
        <f t="shared" si="0"/>
        <v>139546.21001681307</v>
      </c>
    </row>
    <row r="9" spans="1:17" s="460" customFormat="1">
      <c r="A9" s="458" t="s">
        <v>552</v>
      </c>
      <c r="B9" s="459">
        <f>transport!B14</f>
        <v>158.26560410946681</v>
      </c>
      <c r="C9" s="459">
        <f>transport!C14</f>
        <v>0</v>
      </c>
      <c r="D9" s="459">
        <f>transport!D14</f>
        <v>651.19836316899307</v>
      </c>
      <c r="E9" s="459">
        <f>transport!E14</f>
        <v>365.99659130705635</v>
      </c>
      <c r="F9" s="459">
        <f>transport!F14</f>
        <v>0</v>
      </c>
      <c r="G9" s="459">
        <f>transport!G14</f>
        <v>173146.04647814998</v>
      </c>
      <c r="H9" s="459">
        <f>transport!H14</f>
        <v>41852.777117369449</v>
      </c>
      <c r="I9" s="459">
        <f>transport!I14</f>
        <v>0</v>
      </c>
      <c r="J9" s="459">
        <f>transport!J14</f>
        <v>0</v>
      </c>
      <c r="K9" s="459">
        <f>transport!K14</f>
        <v>0</v>
      </c>
      <c r="L9" s="459">
        <f>transport!L14</f>
        <v>0</v>
      </c>
      <c r="M9" s="459">
        <f>transport!M14</f>
        <v>12657.818253632775</v>
      </c>
      <c r="N9" s="459">
        <f>transport!N14</f>
        <v>0</v>
      </c>
      <c r="O9" s="459">
        <f>transport!O14</f>
        <v>0</v>
      </c>
      <c r="P9" s="459">
        <f>transport!P14</f>
        <v>0</v>
      </c>
      <c r="Q9" s="458">
        <f>SUM(B9:P9)</f>
        <v>228832.10240773772</v>
      </c>
    </row>
    <row r="10" spans="1:17">
      <c r="A10" s="454" t="s">
        <v>542</v>
      </c>
      <c r="B10" s="455">
        <f>transport!B54</f>
        <v>0</v>
      </c>
      <c r="C10" s="455">
        <f>transport!C54</f>
        <v>0</v>
      </c>
      <c r="D10" s="455">
        <f>transport!D54</f>
        <v>0</v>
      </c>
      <c r="E10" s="455">
        <f>transport!E54</f>
        <v>0</v>
      </c>
      <c r="F10" s="455">
        <f>transport!F54</f>
        <v>0</v>
      </c>
      <c r="G10" s="455">
        <f>transport!G54</f>
        <v>3163.2129890104366</v>
      </c>
      <c r="H10" s="455">
        <f>transport!H54</f>
        <v>0</v>
      </c>
      <c r="I10" s="455">
        <f>transport!I54</f>
        <v>0</v>
      </c>
      <c r="J10" s="455">
        <f>transport!J54</f>
        <v>0</v>
      </c>
      <c r="K10" s="455">
        <f>transport!K54</f>
        <v>0</v>
      </c>
      <c r="L10" s="455">
        <f>transport!L54</f>
        <v>0</v>
      </c>
      <c r="M10" s="455">
        <f>transport!M54</f>
        <v>171.65395314275659</v>
      </c>
      <c r="N10" s="455">
        <f>transport!N54</f>
        <v>0</v>
      </c>
      <c r="O10" s="455">
        <f>transport!O54</f>
        <v>0</v>
      </c>
      <c r="P10" s="456">
        <f>transport!P54</f>
        <v>0</v>
      </c>
      <c r="Q10" s="454">
        <f t="shared" si="0"/>
        <v>3334.8669421531931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1909.0759981184699</v>
      </c>
      <c r="C14" s="462"/>
      <c r="D14" s="462">
        <f>'SEAP template'!E25</f>
        <v>7880.57576531022</v>
      </c>
      <c r="E14" s="462"/>
      <c r="F14" s="462"/>
      <c r="G14" s="462"/>
      <c r="H14" s="462"/>
      <c r="I14" s="462"/>
      <c r="J14" s="462"/>
      <c r="K14" s="462"/>
      <c r="L14" s="462"/>
      <c r="M14" s="462"/>
      <c r="N14" s="462"/>
      <c r="O14" s="462"/>
      <c r="P14" s="463"/>
      <c r="Q14" s="454">
        <f t="shared" si="0"/>
        <v>9789.6517634286902</v>
      </c>
    </row>
    <row r="15" spans="1:17" s="466" customFormat="1">
      <c r="A15" s="464" t="s">
        <v>546</v>
      </c>
      <c r="B15" s="465">
        <f ca="1">SUM(B4:B14)</f>
        <v>232827.9106463244</v>
      </c>
      <c r="C15" s="465">
        <f t="shared" ref="C15:Q15" ca="1" si="1">SUM(C4:C14)</f>
        <v>0</v>
      </c>
      <c r="D15" s="465">
        <f t="shared" ca="1" si="1"/>
        <v>274658.59030990291</v>
      </c>
      <c r="E15" s="465">
        <f t="shared" si="1"/>
        <v>10868.705580195672</v>
      </c>
      <c r="F15" s="465">
        <f t="shared" ca="1" si="1"/>
        <v>59115.28051618985</v>
      </c>
      <c r="G15" s="465">
        <f t="shared" si="1"/>
        <v>176309.25946716042</v>
      </c>
      <c r="H15" s="465">
        <f t="shared" si="1"/>
        <v>41852.777117369449</v>
      </c>
      <c r="I15" s="465">
        <f t="shared" si="1"/>
        <v>0</v>
      </c>
      <c r="J15" s="465">
        <f t="shared" si="1"/>
        <v>1276.8067113639163</v>
      </c>
      <c r="K15" s="465">
        <f t="shared" si="1"/>
        <v>0</v>
      </c>
      <c r="L15" s="465">
        <f t="shared" ca="1" si="1"/>
        <v>0</v>
      </c>
      <c r="M15" s="465">
        <f t="shared" si="1"/>
        <v>12829.472206775532</v>
      </c>
      <c r="N15" s="465">
        <f t="shared" ca="1" si="1"/>
        <v>14870.974417089752</v>
      </c>
      <c r="O15" s="465">
        <f t="shared" si="1"/>
        <v>426.42574760295901</v>
      </c>
      <c r="P15" s="465">
        <f t="shared" si="1"/>
        <v>989.14690906695137</v>
      </c>
      <c r="Q15" s="465">
        <f t="shared" ca="1" si="1"/>
        <v>826025.34962904186</v>
      </c>
    </row>
    <row r="17" spans="1:17">
      <c r="A17" s="467" t="s">
        <v>547</v>
      </c>
      <c r="B17" s="784">
        <f ca="1">huishoudens!B10</f>
        <v>0.20928804833316988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11155.274995218881</v>
      </c>
      <c r="C22" s="455">
        <f t="shared" ref="C22:C32" ca="1" si="3">C4*$C$17</f>
        <v>0</v>
      </c>
      <c r="D22" s="455">
        <f t="shared" ref="D22:D32" si="4">D4*$D$17</f>
        <v>32103.93358884165</v>
      </c>
      <c r="E22" s="455">
        <f t="shared" ref="E22:E32" si="5">E4*$E$17</f>
        <v>2154.6234621367994</v>
      </c>
      <c r="F22" s="455">
        <f t="shared" ref="F22:F32" si="6">F4*$F$17</f>
        <v>8313.0607625523917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53726.892808749719</v>
      </c>
    </row>
    <row r="23" spans="1:17">
      <c r="A23" s="454" t="s">
        <v>155</v>
      </c>
      <c r="B23" s="455">
        <f t="shared" ca="1" si="2"/>
        <v>14340.515306396303</v>
      </c>
      <c r="C23" s="455">
        <f t="shared" ca="1" si="3"/>
        <v>0</v>
      </c>
      <c r="D23" s="455">
        <f t="shared" ca="1" si="4"/>
        <v>17425.71873762683</v>
      </c>
      <c r="E23" s="455">
        <f t="shared" si="5"/>
        <v>31.586667732381709</v>
      </c>
      <c r="F23" s="455">
        <f t="shared" ca="1" si="6"/>
        <v>2439.8407874058526</v>
      </c>
      <c r="G23" s="455">
        <f t="shared" si="7"/>
        <v>0</v>
      </c>
      <c r="H23" s="455">
        <f t="shared" si="8"/>
        <v>0</v>
      </c>
      <c r="I23" s="455">
        <f t="shared" si="9"/>
        <v>0</v>
      </c>
      <c r="J23" s="455">
        <f t="shared" si="10"/>
        <v>1.7561211158248841E-2</v>
      </c>
      <c r="K23" s="455">
        <f t="shared" si="11"/>
        <v>0</v>
      </c>
      <c r="L23" s="455">
        <f t="shared" ca="1" si="12"/>
        <v>0</v>
      </c>
      <c r="M23" s="455">
        <f t="shared" si="13"/>
        <v>0</v>
      </c>
      <c r="N23" s="455">
        <f t="shared" ca="1" si="14"/>
        <v>0</v>
      </c>
      <c r="O23" s="455">
        <f t="shared" si="15"/>
        <v>0</v>
      </c>
      <c r="P23" s="456">
        <f t="shared" si="16"/>
        <v>0</v>
      </c>
      <c r="Q23" s="454">
        <f t="shared" ref="Q23:Q31" ca="1" si="17">SUM(B23:P23)</f>
        <v>34237.679060372524</v>
      </c>
    </row>
    <row r="24" spans="1:17">
      <c r="A24" s="454" t="s">
        <v>193</v>
      </c>
      <c r="B24" s="455">
        <f t="shared" ca="1" si="2"/>
        <v>489.40691588007275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489.40691588007275</v>
      </c>
    </row>
    <row r="25" spans="1:17">
      <c r="A25" s="454" t="s">
        <v>111</v>
      </c>
      <c r="B25" s="455">
        <f t="shared" ca="1" si="2"/>
        <v>474.19000066454976</v>
      </c>
      <c r="C25" s="455">
        <f t="shared" ca="1" si="3"/>
        <v>0</v>
      </c>
      <c r="D25" s="455">
        <f t="shared" si="4"/>
        <v>121.06716878293152</v>
      </c>
      <c r="E25" s="455">
        <f t="shared" si="5"/>
        <v>19.180584013400907</v>
      </c>
      <c r="F25" s="455">
        <f t="shared" si="6"/>
        <v>1962.690404474554</v>
      </c>
      <c r="G25" s="455">
        <f t="shared" si="7"/>
        <v>0</v>
      </c>
      <c r="H25" s="455">
        <f t="shared" si="8"/>
        <v>0</v>
      </c>
      <c r="I25" s="455">
        <f t="shared" si="9"/>
        <v>0</v>
      </c>
      <c r="J25" s="455">
        <f t="shared" si="10"/>
        <v>210.54682715055154</v>
      </c>
      <c r="K25" s="455">
        <f t="shared" si="11"/>
        <v>0</v>
      </c>
      <c r="L25" s="455">
        <f t="shared" si="12"/>
        <v>0</v>
      </c>
      <c r="M25" s="455">
        <f t="shared" si="13"/>
        <v>0</v>
      </c>
      <c r="N25" s="455">
        <f t="shared" si="14"/>
        <v>0</v>
      </c>
      <c r="O25" s="455">
        <f t="shared" si="15"/>
        <v>0</v>
      </c>
      <c r="P25" s="456">
        <f t="shared" si="16"/>
        <v>0</v>
      </c>
      <c r="Q25" s="454">
        <f t="shared" ca="1" si="17"/>
        <v>2787.6749850859878</v>
      </c>
    </row>
    <row r="26" spans="1:17">
      <c r="A26" s="454" t="s">
        <v>626</v>
      </c>
      <c r="B26" s="455">
        <f t="shared" ca="1" si="2"/>
        <v>21836.041909330841</v>
      </c>
      <c r="C26" s="455">
        <f t="shared" ca="1" si="3"/>
        <v>0</v>
      </c>
      <c r="D26" s="455">
        <f t="shared" si="4"/>
        <v>4106.8973733961802</v>
      </c>
      <c r="E26" s="455">
        <f t="shared" si="5"/>
        <v>178.72422659513418</v>
      </c>
      <c r="F26" s="455">
        <f t="shared" si="6"/>
        <v>3068.187943389893</v>
      </c>
      <c r="G26" s="455">
        <f t="shared" si="7"/>
        <v>0</v>
      </c>
      <c r="H26" s="455">
        <f t="shared" si="8"/>
        <v>0</v>
      </c>
      <c r="I26" s="455">
        <f t="shared" si="9"/>
        <v>0</v>
      </c>
      <c r="J26" s="455">
        <f t="shared" si="10"/>
        <v>241.42518746111654</v>
      </c>
      <c r="K26" s="455">
        <f t="shared" si="11"/>
        <v>0</v>
      </c>
      <c r="L26" s="455">
        <f t="shared" si="12"/>
        <v>0</v>
      </c>
      <c r="M26" s="455">
        <f t="shared" si="13"/>
        <v>0</v>
      </c>
      <c r="N26" s="455">
        <f t="shared" si="14"/>
        <v>0</v>
      </c>
      <c r="O26" s="455">
        <f t="shared" si="15"/>
        <v>0</v>
      </c>
      <c r="P26" s="456">
        <f t="shared" si="16"/>
        <v>0</v>
      </c>
      <c r="Q26" s="454">
        <f t="shared" ca="1" si="17"/>
        <v>29431.276640173168</v>
      </c>
    </row>
    <row r="27" spans="1:17" s="460" customFormat="1">
      <c r="A27" s="458" t="s">
        <v>552</v>
      </c>
      <c r="B27" s="778">
        <f t="shared" ca="1" si="2"/>
        <v>33.123099402340422</v>
      </c>
      <c r="C27" s="459">
        <f t="shared" ca="1" si="3"/>
        <v>0</v>
      </c>
      <c r="D27" s="459">
        <f t="shared" si="4"/>
        <v>131.54206936013662</v>
      </c>
      <c r="E27" s="459">
        <f t="shared" si="5"/>
        <v>83.081226226701787</v>
      </c>
      <c r="F27" s="459">
        <f t="shared" si="6"/>
        <v>0</v>
      </c>
      <c r="G27" s="459">
        <f t="shared" si="7"/>
        <v>46229.994409666047</v>
      </c>
      <c r="H27" s="459">
        <f t="shared" si="8"/>
        <v>10421.341502224992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56899.082306880213</v>
      </c>
    </row>
    <row r="28" spans="1:17" ht="16.5" customHeight="1">
      <c r="A28" s="454" t="s">
        <v>542</v>
      </c>
      <c r="B28" s="455">
        <f t="shared" ca="1" si="2"/>
        <v>0</v>
      </c>
      <c r="C28" s="455">
        <f t="shared" ca="1" si="3"/>
        <v>0</v>
      </c>
      <c r="D28" s="455">
        <f t="shared" si="4"/>
        <v>0</v>
      </c>
      <c r="E28" s="455">
        <f t="shared" si="5"/>
        <v>0</v>
      </c>
      <c r="F28" s="455">
        <f t="shared" si="6"/>
        <v>0</v>
      </c>
      <c r="G28" s="455">
        <f t="shared" si="7"/>
        <v>844.57786806578656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844.57786806578656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399.54678976591288</v>
      </c>
      <c r="C32" s="455">
        <f t="shared" ca="1" si="3"/>
        <v>0</v>
      </c>
      <c r="D32" s="455">
        <f t="shared" si="4"/>
        <v>1591.8763045926646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1991.4230943585776</v>
      </c>
    </row>
    <row r="33" spans="1:17" s="466" customFormat="1">
      <c r="A33" s="464" t="s">
        <v>546</v>
      </c>
      <c r="B33" s="465">
        <f ca="1">SUM(B22:B32)</f>
        <v>48728.099016658896</v>
      </c>
      <c r="C33" s="465">
        <f t="shared" ref="C33:Q33" ca="1" si="19">SUM(C22:C32)</f>
        <v>0</v>
      </c>
      <c r="D33" s="465">
        <f t="shared" ca="1" si="19"/>
        <v>55481.035242600396</v>
      </c>
      <c r="E33" s="465">
        <f t="shared" si="19"/>
        <v>2467.1961667044179</v>
      </c>
      <c r="F33" s="465">
        <f t="shared" ca="1" si="19"/>
        <v>15783.779897822689</v>
      </c>
      <c r="G33" s="465">
        <f t="shared" si="19"/>
        <v>47074.572277731837</v>
      </c>
      <c r="H33" s="465">
        <f t="shared" si="19"/>
        <v>10421.341502224992</v>
      </c>
      <c r="I33" s="465">
        <f t="shared" si="19"/>
        <v>0</v>
      </c>
      <c r="J33" s="465">
        <f t="shared" si="19"/>
        <v>451.98957582282628</v>
      </c>
      <c r="K33" s="465">
        <f t="shared" si="19"/>
        <v>0</v>
      </c>
      <c r="L33" s="465">
        <f t="shared" ca="1" si="19"/>
        <v>0</v>
      </c>
      <c r="M33" s="465">
        <f t="shared" si="19"/>
        <v>0</v>
      </c>
      <c r="N33" s="465">
        <f t="shared" ca="1" si="19"/>
        <v>0</v>
      </c>
      <c r="O33" s="465">
        <f t="shared" si="19"/>
        <v>0</v>
      </c>
      <c r="P33" s="465">
        <f t="shared" si="19"/>
        <v>0</v>
      </c>
      <c r="Q33" s="465">
        <f t="shared" ca="1" si="19"/>
        <v>180408.01367956607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12338.774824338429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12338.774824338429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0.20928804833316988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0.20928804833316988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2020-06-20T15:21:08Z</dcterms:modified>
</cp:coreProperties>
</file>