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<sst xmlns="http://schemas.openxmlformats.org/spreadsheetml/2006/main" count="2366" uniqueCount="865">
  <si>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</si>
  <si>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</si>
  <si>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</si>
  <si>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</si>
  <si>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</si>
  <si>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</si>
  <si>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</si>
  <si>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</si>
  <si>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</si>
  <si>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</si>
  <si>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</si>
  <si>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</si>
  <si>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</si>
  <si>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</si>
  <si>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</si>
  <si>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</si>
  <si>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</si>
  <si>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</si>
  <si>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</si>
  <si>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</si>
  <si>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</si>
  <si>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</si>
  <si>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</si>
  <si>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</si>
  <si>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</si>
  <si>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</si>
  <si>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</si>
  <si>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</si>
  <si>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</si>
  <si>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</si>
  <si>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</si>
  <si>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</si>
  <si>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</si>
  <si>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</si>
  <si>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</si>
  <si>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</si>
  <si>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</si>
  <si>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</si>
  <si>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</si>
  <si>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</si>
  <si>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</si>
  <si>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</si>
  <si>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</si>
  <si>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</si>
  <si>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</si>
  <si>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</si>
  <si>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</si>
  <si>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</si>
  <si>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</si>
  <si>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</si>
  <si>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</si>
  <si>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</si>
  <si>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</si>
  <si>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</si>
  <si>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</si>
  <si>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</si>
  <si>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</si>
  <si>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</si>
  <si>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</si>
  <si>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</si>
  <si>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</si>
  <si>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</si>
  <si>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</si>
  <si>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</si>
  <si>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</si>
  <si>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</si>
  <si>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</si>
  <si>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</si>
  <si>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</si>
  <si>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</si>
  <si>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</si>
  <si>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</si>
  <si>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</si>
  <si>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</si>
  <si>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</si>
  <si>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</si>
  <si>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</si>
  <si>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</si>
  <si>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</si>
  <si>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</si>
  <si>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</si>
  <si>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</si>
  <si>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</si>
  <si>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</si>
  <si>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</si>
  <si>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</si>
  <si>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</si>
  <si>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</si>
  <si>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</si>
  <si>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</si>
  <si>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</si>
  <si>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</si>
  <si>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</si>
  <si>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</si>
  <si>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</si>
  <si>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</si>
  <si>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</si>
  <si>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</si>
  <si>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</si>
  <si>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</si>
  <si>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</si>
  <si>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</si>
  <si>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</si>
  <si>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</si>
  <si>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</si>
  <si>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</si>
  <si>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</si>
  <si>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</si>
  <si>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</si>
  <si>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</si>
  <si>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</si>
  <si>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</si>
  <si>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</si>
  <si>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</si>
  <si>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</si>
  <si>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</si>
  <si>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</si>
  <si>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</si>
  <si>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</si>
  <si>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</si>
  <si>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</si>
  <si>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</si>
  <si>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</si>
  <si>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</si>
  <si>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</si>
  <si>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</si>
  <si>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</si>
  <si>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</si>
  <si>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</si>
  <si>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</si>
  <si>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</si>
  <si>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</si>
  <si>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</si>
  <si>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</si>
  <si>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</si>
  <si>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</si>
  <si>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</si>
  <si>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</si>
  <si>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</si>
  <si>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</si>
  <si>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</si>
  <si>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</si>
  <si>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</si>
  <si>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</si>
  <si>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</si>
  <si>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</si>
  <si>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</si>
  <si>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</si>
  <si>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</si>
  <si>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</si>
  <si>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</si>
  <si>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</si>
  <si>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</si>
  <si>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</si>
  <si>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</si>
  <si>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</si>
  <si>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</si>
  <si>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</si>
  <si>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</si>
  <si>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</si>
  <si>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</si>
  <si>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</si>
  <si>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</si>
  <si>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</si>
  <si>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</si>
  <si>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</si>
  <si>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</si>
  <si>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</si>
  <si>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</si>
  <si>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</si>
  <si>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</si>
  <si>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</si>
  <si>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</si>
  <si>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</si>
  <si>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</si>
  <si>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</si>
  <si>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</si>
  <si>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</si>
  <si>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</si>
  <si>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</si>
  <si>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</si>
  <si>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</si>
  <si>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</si>
  <si>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</si>
  <si>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</si>
  <si>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</si>
  <si>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</si>
  <si>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</si>
  <si>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</si>
  <si>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</si>
  <si>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</si>
  <si>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</si>
  <si>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</si>
  <si>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</si>
  <si>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</si>
  <si>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</si>
  <si>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</si>
  <si>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</si>
  <si>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</si>
  <si>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</si>
  <si>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</si>
  <si>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</si>
  <si>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</si>
  <si>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</si>
  <si>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</si>
  <si>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</si>
  <si>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</si>
  <si>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</si>
  <si>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</si>
  <si>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</si>
  <si>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</si>
  <si>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</si>
  <si>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</si>
  <si>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</si>
  <si>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</si>
  <si>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</si>
  <si>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</si>
  <si>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</si>
  <si>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</si>
  <si>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</si>
  <si>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</si>
  <si>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</si>
  <si>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</si>
  <si>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</si>
  <si>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</si>
  <si>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</si>
  <si>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</si>
  <si>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</si>
  <si>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</si>
  <si>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</si>
  <si>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</si>
  <si>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</si>
  <si>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</si>
  <si>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</si>
  <si>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</si>
  <si>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</si>
  <si>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</si>
  <si>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</si>
  <si>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</si>
  <si>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</si>
  <si>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</si>
  <si>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</si>
  <si>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</si>
  <si>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</si>
  <si>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</si>
  <si>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</si>
  <si>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</si>
  <si>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</si>
  <si>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</si>
  <si>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</si>
  <si>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</si>
  <si>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</si>
  <si>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</si>
  <si>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</si>
  <si>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</si>
  <si>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</si>
  <si>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</si>
  <si>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</si>
  <si>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</si>
  <si>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</si>
  <si>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</si>
  <si>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</si>
  <si>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</si>
  <si>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</si>
  <si>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</si>
  <si>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</si>
  <si>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</si>
  <si>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</si>
  <si>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</si>
  <si>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</si>
  <si>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</si>
  <si>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</si>
  <si>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</si>
  <si>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</si>
  <si>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</si>
  <si>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</si>
  <si>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</si>
  <si>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</si>
  <si>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</si>
  <si>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</si>
  <si>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</si>
  <si>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</si>
  <si>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</si>
  <si>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</si>
  <si>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</si>
  <si>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</si>
  <si>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</si>
  <si>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</si>
  <si>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</si>
  <si>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</si>
  <si>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</si>
  <si>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</si>
  <si>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</si>
  <si>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</si>
  <si>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</si>
  <si>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</si>
  <si>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</si>
  <si>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</si>
  <si>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</si>
  <si>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</si>
  <si>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</si>
  <si>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</si>
  <si>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</si>
  <si>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</si>
  <si>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</si>
  <si>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</si>
  <si>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</si>
  <si>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</si>
  <si>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</si>
  <si>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</si>
  <si>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</si>
  <si>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</si>
  <si>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</si>
  <si>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</si>
  <si>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</si>
  <si>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</si>
  <si>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</si>
  <si>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</si>
  <si>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</si>
  <si>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</si>
  <si>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</si>
  <si>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</si>
  <si>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</si>
  <si>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</si>
  <si>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</si>
  <si>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</si>
  <si>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</si>
  <si>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</si>
  <si>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</si>
  <si>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</si>
  <si>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</si>
  <si>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</si>
  <si>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</si>
  <si>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</si>
  <si>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</si>
  <si>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</si>
  <si>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</si>
  <si>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</si>
  <si>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</si>
  <si>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</si>
  <si>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</si>
  <si>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</si>
  <si>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</si>
  <si>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</si>
  <si>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</si>
  <si>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</si>
  <si>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</si>
  <si>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</si>
  <si>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</si>
  <si>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</si>
  <si>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</si>
  <si>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</si>
  <si>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</si>
  <si>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</si>
  <si>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</si>
  <si>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</si>
  <si>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</si>
  <si>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</si>
  <si>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</si>
  <si>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</si>
  <si>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</si>
  <si>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</si>
  <si>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</si>
  <si>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</si>
  <si>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</si>
  <si>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</si>
  <si>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</si>
  <si>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</si>
  <si>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</si>
  <si>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</si>
  <si>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</si>
  <si>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</si>
  <si>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</si>
  <si>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</si>
  <si>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</si>
  <si>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</si>
  <si>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</si>
  <si>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</si>
  <si>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</si>
  <si>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</si>
  <si>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</si>
  <si>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</si>
  <si>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</si>
  <si>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</si>
  <si>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</si>
  <si>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</si>
  <si>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</si>
  <si>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</si>
  <si>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</si>
  <si>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</si>
  <si>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</si>
  <si>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</si>
  <si>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</si>
  <si>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</si>
  <si>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</si>
  <si>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</si>
  <si>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</si>
  <si>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</si>
  <si>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</si>
  <si>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</si>
  <si>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</si>
  <si>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</si>
  <si>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</si>
  <si>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</si>
  <si>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</si>
  <si>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</si>
  <si>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</si>
  <si>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</si>
  <si>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</si>
  <si>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</si>
  <si>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</si>
  <si>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</si>
  <si>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</si>
  <si>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</si>
  <si>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</si>
  <si>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</si>
  <si>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</si>
  <si>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</si>
  <si>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</si>
  <si>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</si>
  <si>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</si>
  <si>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</si>
  <si>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</si>
  <si>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</si>
  <si>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</si>
  <si>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</si>
  <si>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</si>
  <si>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</si>
  <si>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</si>
  <si>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</si>
  <si>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</si>
  <si>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</si>
  <si>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</si>
  <si>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</si>
  <si>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</si>
  <si>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</si>
  <si>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</si>
  <si>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</si>
  <si>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</si>
  <si>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</si>
  <si>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</si>
  <si>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</si>
  <si>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</si>
  <si>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</si>
  <si>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</si>
  <si>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</si>
  <si>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</si>
  <si>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</si>
  <si>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</si>
  <si>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</si>
  <si>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</si>
  <si>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</si>
  <si>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</si>
  <si>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</si>
  <si>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</si>
  <si>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</si>
  <si>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</si>
  <si>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</si>
  <si>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</si>
  <si>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</si>
  <si>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</si>
  <si>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</si>
  <si>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</si>
  <si>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</si>
  <si>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</si>
  <si>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</si>
  <si>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</si>
  <si>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</si>
  <si>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</si>
  <si>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</si>
  <si>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</si>
  <si>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</si>
  <si>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</si>
  <si>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</si>
  <si>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</si>
  <si>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</si>
  <si>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</si>
  <si>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</si>
  <si>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</si>
  <si>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</si>
  <si>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</si>
  <si>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</si>
  <si>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</si>
  <si>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</si>
  <si>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</si>
  <si>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</si>
  <si>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</si>
  <si>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</si>
  <si>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</si>
  <si>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</si>
  <si>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</si>
  <si>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</si>
  <si>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</si>
  <si>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</si>
  <si>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</si>
  <si>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</si>
  <si>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</si>
  <si>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</si>
  <si>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</si>
  <si>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</si>
  <si>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</si>
  <si>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</si>
  <si>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</si>
  <si>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</si>
  <si>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</si>
  <si>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</si>
  <si>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</si>
  <si>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</si>
  <si>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</si>
  <si>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</si>
  <si>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</si>
  <si>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</si>
  <si>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</si>
  <si>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</si>
  <si>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</si>
  <si>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</si>
  <si>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</si>
  <si>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</si>
  <si>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</si>
  <si>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</si>
  <si>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</si>
  <si>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</si>
  <si>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</si>
  <si>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</si>
  <si>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</si>
  <si>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</si>
  <si>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</si>
  <si>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</si>
  <si>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</si>
  <si>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</si>
  <si>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</si>
  <si>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</si>
  <si>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</si>
  <si>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</si>
  <si>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</si>
  <si>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</si>
  <si>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</si>
  <si>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</si>
  <si>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</si>
  <si>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</si>
  <si>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</si>
  <si>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</si>
  <si>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</si>
  <si>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</si>
  <si>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</si>
  <si>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</si>
  <si>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</si>
  <si>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</si>
  <si>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</si>
  <si>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</si>
  <si>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</si>
  <si>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</si>
  <si>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</si>
  <si>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</si>
  <si>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</si>
  <si>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</si>
  <si>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</si>
  <si>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</si>
  <si>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</si>
  <si>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</si>
  <si>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</si>
  <si>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</si>
  <si>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</si>
  <si>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</si>
  <si>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</si>
  <si>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</si>
  <si>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</si>
  <si>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</si>
  <si>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</si>
  <si>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</si>
  <si>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</si>
  <si>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</si>
  <si>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</si>
  <si>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</si>
  <si>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</si>
  <si>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</si>
  <si>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</si>
  <si>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</si>
  <si>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</si>
  <si>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</si>
  <si>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</si>
  <si>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</si>
  <si>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</si>
  <si>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</si>
  <si>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</si>
  <si>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</si>
  <si>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</si>
  <si>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</si>
  <si>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</si>
  <si>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</si>
  <si>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</si>
  <si>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</si>
  <si>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</si>
  <si>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</si>
  <si>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</si>
  <si>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</si>
  <si>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</si>
  <si>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</si>
  <si>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</si>
  <si>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</si>
  <si>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</si>
  <si>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</si>
  <si>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</si>
  <si>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</si>
  <si>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</si>
  <si>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</si>
  <si>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</si>
  <si>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</si>
  <si>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</si>
  <si>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</si>
  <si>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</si>
  <si>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</si>
  <si>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</si>
  <si>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</si>
  <si>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</si>
  <si>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</si>
  <si>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</si>
  <si>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</si>
  <si>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</si>
  <si>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</si>
  <si>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</si>
  <si>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</si>
  <si>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</si>
  <si>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</si>
  <si>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</si>
  <si>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</si>
  <si>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</si>
  <si>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</si>
  <si>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</si>
  <si>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</si>
  <si>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</si>
  <si>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</si>
  <si>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</si>
  <si>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</si>
  <si>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</si>
  <si>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</si>
  <si>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</si>
  <si>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</si>
  <si>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</si>
  <si>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</si>
  <si>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</si>
  <si>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</si>
  <si>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</si>
  <si>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</si>
  <si>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</si>
  <si>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</si>
  <si>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</si>
  <si>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</si>
  <si>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</si>
  <si>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</si>
  <si>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</si>
  <si>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</si>
  <si>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</si>
  <si>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</si>
  <si>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</si>
  <si>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</si>
  <si>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</si>
  <si>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</si>
  <si>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</si>
  <si>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</si>
  <si>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</si>
  <si>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</si>
  <si>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</si>
  <si>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</si>
  <si>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</si>
  <si>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</si>
  <si>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</si>
  <si>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</si>
  <si>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</si>
  <si>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</si>
  <si>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</si>
  <si>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</si>
  <si>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</si>
  <si>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</si>
  <si>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</si>
  <si>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</si>
  <si>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</si>
  <si>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</si>
  <si>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</si>
  <si>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</si>
  <si>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</si>
  <si>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</si>
  <si>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</si>
  <si>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</si>
  <si>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</si>
  <si>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</si>
  <si>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</si>
  <si>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</si>
  <si>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</si>
  <si>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</si>
  <si>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</si>
  <si>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</si>
  <si>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</si>
  <si>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</si>
  <si>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</si>
  <si>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</si>
  <si>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</si>
  <si>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</si>
  <si>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</si>
  <si>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</si>
  <si>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</si>
  <si>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</si>
  <si>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</si>
  <si>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</si>
  <si>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</si>
  <si>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</si>
  <si>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</si>
  <si>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</si>
  <si>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</si>
  <si>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</si>
  <si>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</si>
  <si>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</si>
  <si>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</si>
  <si>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</si>
  <si>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</si>
  <si>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</si>
  <si>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</si>
  <si>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</si>
  <si>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</si>
  <si>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</si>
  <si>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</si>
  <si>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</si>
  <si>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</si>
  <si>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</si>
  <si>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</si>
  <si>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</si>
  <si>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</si>
  <si>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</si>
  <si>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</si>
  <si>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</si>
  <si>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</si>
  <si>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</si>
  <si>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</si>
  <si>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</si>
  <si>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</si>
  <si>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</si>
  <si>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</si>
  <si>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</si>
  <si>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</si>
  <si>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</si>
  <si>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</si>
  <si>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</si>
  <si>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</si>
  <si>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</si>
  <si>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</si>
  <si>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</si>
  <si>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</si>
  <si>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</si>
  <si>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</si>
  <si>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</si>
  <si>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</si>
  <si>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</si>
  <si>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</si>
  <si>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</si>
  <si>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</si>
  <si>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</si>
  <si>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</si>
  <si>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</si>
  <si>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</si>
  <si>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</si>
  <si>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</si>
  <si>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</si>
  <si>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</si>
  <si>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</si>
  <si>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</si>
  <si>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</si>
  <si>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</si>
  <si>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</si>
  <si>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</si>
  <si>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</si>
  <si>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</si>
  <si>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</si>
  <si>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</si>
  <si>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</si>
  <si>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</si>
  <si>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</si>
  <si>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</si>
  <si>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</si>
  <si>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</si>
  <si>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</si>
  <si>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</si>
  <si>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</si>
  <si>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</si>
  <si>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</si>
  <si>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</si>
  <si>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</si>
  <si>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</si>
  <si>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</si>
  <si>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</si>
  <si>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</si>
  <si>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</si>
  <si>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</si>
  <si>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</si>
  <si>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</si>
  <si>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</si>
  <si>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</si>
  <si>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</si>
  <si>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</si>
  <si>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</si>
  <si>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</si>
  <si>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</si>
  <si>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</si>
  <si>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</si>
  <si>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</si>
  <si>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</si>
  <si>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</si>
  <si>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</si>
  <si>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</si>
  <si>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</si>
  <si>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</si>
  <si>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</si>
  <si>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</si>
  <si>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</si>
  <si>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</si>
  <si>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</si>
  <si>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</si>
  <si>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</si>
  <si>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</si>
  <si>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</si>
  <si>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</si>
  <si>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</si>
  <si>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</si>
  <si>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</si>
  <si>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</si>
  <si>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</si>
  <si>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</si>
  <si>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</si>
  <si>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</si>
  <si>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</si>
  <si>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</si>
  <si>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</si>
  <si>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</si>
  <si>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</si>
  <si>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</si>
  <si>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</si>
  <si>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</si>
  <si>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</si>
  <si>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</si>
  <si>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</si>
  <si>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</si>
  <si>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</si>
  <si>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</si>
  <si>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</si>
  <si>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</si>
  <si>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</si>
  <si>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</si>
  <si>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</si>
  <si>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</si>
  <si>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</si>
  <si>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</si>
  <si>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</si>
  <si>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</si>
  <si>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</si>
  <si>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</si>
  <si>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</si>
  <si>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</si>
  <si>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</si>
  <si>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</si>
  <si>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</si>
  <si>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</si>
  <si>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</si>
  <si>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</si>
  <si>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24104</t>
  </si>
  <si>
    <t>TERVUREN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</si>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</sst>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181914.08564819989</c:v>
                </c:pt>
                <c:pt idx="1">
                  <c:v>54251.80009585902</c:v>
                </c:pt>
                <c:pt idx="2">
                  <c:v>943.08900000000006</c:v>
                </c:pt>
                <c:pt idx="3">
                  <c:v>747.52265873455974</c:v>
                </c:pt>
                <c:pt idx="4">
                  <c:v>4625.3728126712149</c:v>
                </c:pt>
                <c:pt idx="5">
                  <c:v>217609.21976481372</c:v>
                </c:pt>
                <c:pt idx="6">
                  <c:v>4416.8525023962629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181914.08564819989</c:v>
                </c:pt>
                <c:pt idx="1">
                  <c:v>54251.80009585902</c:v>
                </c:pt>
                <c:pt idx="2">
                  <c:v>943.08900000000006</c:v>
                </c:pt>
                <c:pt idx="3">
                  <c:v>747.52265873455974</c:v>
                </c:pt>
                <c:pt idx="4">
                  <c:v>4625.3728126712149</c:v>
                </c:pt>
                <c:pt idx="5">
                  <c:v>217609.21976481372</c:v>
                </c:pt>
                <c:pt idx="6">
                  <c:v>4416.8525023962629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34712.593414036412</c:v>
                </c:pt>
                <c:pt idx="1">
                  <c:v>11004.837024372076</c:v>
                </c:pt>
                <c:pt idx="2">
                  <c:v>197.43081575448736</c:v>
                </c:pt>
                <c:pt idx="3">
                  <c:v>188.49437158074903</c:v>
                </c:pt>
                <c:pt idx="4">
                  <c:v>957.45069753804887</c:v>
                </c:pt>
                <c:pt idx="5">
                  <c:v>53950.904946305978</c:v>
                </c:pt>
                <c:pt idx="6">
                  <c:v>1118.5981134306703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34712.593414036412</c:v>
                </c:pt>
                <c:pt idx="1">
                  <c:v>11004.837024372076</c:v>
                </c:pt>
                <c:pt idx="2">
                  <c:v>197.43081575448736</c:v>
                </c:pt>
                <c:pt idx="3">
                  <c:v>188.49437158074903</c:v>
                </c:pt>
                <c:pt idx="4">
                  <c:v>957.45069753804887</c:v>
                </c:pt>
                <c:pt idx="5">
                  <c:v>53950.904946305978</c:v>
                </c:pt>
                <c:pt idx="6">
                  <c:v>1118.5981134306703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24104</v>
      </c>
      <c r="B6" s="392"/>
      <c r="C6" s="393"/>
    </row>
    <row r="7" spans="1:7" s="390" customFormat="1" ht="15.75" customHeight="1">
      <c r="A7" s="394" t="str">
        <f>txtMunicipality</f>
        <v>TERVUREN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0.20934483994033157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0.20934483994033157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8762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723.08</v>
      </c>
      <c r="C14" s="332"/>
      <c r="D14" s="332"/>
      <c r="E14" s="332"/>
      <c r="F14" s="332"/>
    </row>
    <row r="15" spans="1:6">
      <c r="A15" s="1310" t="s">
        <v>183</v>
      </c>
      <c r="B15" s="1311">
        <v>1</v>
      </c>
      <c r="C15" s="332"/>
      <c r="D15" s="332"/>
      <c r="E15" s="332"/>
      <c r="F15" s="332"/>
    </row>
    <row r="16" spans="1:6">
      <c r="A16" s="1310" t="s">
        <v>6</v>
      </c>
      <c r="B16" s="1311">
        <v>59</v>
      </c>
      <c r="C16" s="332"/>
      <c r="D16" s="332"/>
      <c r="E16" s="332"/>
      <c r="F16" s="332"/>
    </row>
    <row r="17" spans="1:6">
      <c r="A17" s="1310" t="s">
        <v>7</v>
      </c>
      <c r="B17" s="1311">
        <v>65</v>
      </c>
      <c r="C17" s="332"/>
      <c r="D17" s="332"/>
      <c r="E17" s="332"/>
      <c r="F17" s="332"/>
    </row>
    <row r="18" spans="1:6">
      <c r="A18" s="1310" t="s">
        <v>8</v>
      </c>
      <c r="B18" s="1311">
        <v>143</v>
      </c>
      <c r="C18" s="332"/>
      <c r="D18" s="332"/>
      <c r="E18" s="332"/>
      <c r="F18" s="332"/>
    </row>
    <row r="19" spans="1:6">
      <c r="A19" s="1310" t="s">
        <v>9</v>
      </c>
      <c r="B19" s="1311">
        <v>163</v>
      </c>
      <c r="C19" s="332"/>
      <c r="D19" s="332"/>
      <c r="E19" s="332"/>
      <c r="F19" s="332"/>
    </row>
    <row r="20" spans="1:6">
      <c r="A20" s="1310" t="s">
        <v>10</v>
      </c>
      <c r="B20" s="1311">
        <v>110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147</v>
      </c>
      <c r="C29" s="338"/>
      <c r="D29" s="338"/>
      <c r="E29" s="338"/>
      <c r="F29" s="338"/>
    </row>
    <row r="30" spans="1:6">
      <c r="A30" s="1305" t="s">
        <v>700</v>
      </c>
      <c r="B30" s="1314">
        <v>12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3643.7556308911999</v>
      </c>
    </row>
    <row r="37" spans="1:6">
      <c r="A37" s="1310" t="s">
        <v>24</v>
      </c>
      <c r="B37" s="1310" t="s">
        <v>27</v>
      </c>
      <c r="C37" s="1311">
        <v>0</v>
      </c>
      <c r="D37" s="1311">
        <v>0</v>
      </c>
      <c r="E37" s="1311">
        <v>0</v>
      </c>
      <c r="F37" s="1311">
        <v>0</v>
      </c>
    </row>
    <row r="38" spans="1:6">
      <c r="A38" s="1310" t="s">
        <v>24</v>
      </c>
      <c r="B38" s="1310" t="s">
        <v>28</v>
      </c>
      <c r="C38" s="1311">
        <v>1</v>
      </c>
      <c r="D38" s="1311">
        <v>113670.159840352</v>
      </c>
      <c r="E38" s="1311">
        <v>0</v>
      </c>
      <c r="F38" s="1311">
        <v>0</v>
      </c>
    </row>
    <row r="39" spans="1:6">
      <c r="A39" s="1310" t="s">
        <v>29</v>
      </c>
      <c r="B39" s="1310" t="s">
        <v>30</v>
      </c>
      <c r="C39" s="1311">
        <v>6819</v>
      </c>
      <c r="D39" s="1311">
        <v>144100364.87469199</v>
      </c>
      <c r="E39" s="1311">
        <v>8740</v>
      </c>
      <c r="F39" s="1311">
        <v>32443060.388780601</v>
      </c>
    </row>
    <row r="40" spans="1:6">
      <c r="A40" s="1310" t="s">
        <v>29</v>
      </c>
      <c r="B40" s="1310" t="s">
        <v>28</v>
      </c>
      <c r="C40" s="1311">
        <v>1</v>
      </c>
      <c r="D40" s="1311">
        <v>76736.573411743797</v>
      </c>
      <c r="E40" s="1311">
        <v>0</v>
      </c>
      <c r="F40" s="1311">
        <v>0</v>
      </c>
    </row>
    <row r="41" spans="1:6">
      <c r="A41" s="1310" t="s">
        <v>31</v>
      </c>
      <c r="B41" s="1310" t="s">
        <v>32</v>
      </c>
      <c r="C41" s="1311">
        <v>115</v>
      </c>
      <c r="D41" s="1311">
        <v>1605752.9530996899</v>
      </c>
      <c r="E41" s="1311">
        <v>155</v>
      </c>
      <c r="F41" s="1311">
        <v>514016.445999344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133508.27844154899</v>
      </c>
      <c r="E44" s="1311">
        <v>10</v>
      </c>
      <c r="F44" s="1311">
        <v>110024.190158115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142312.691365256</v>
      </c>
      <c r="E47" s="1311">
        <v>5</v>
      </c>
      <c r="F47" s="1311">
        <v>32041.775655135199</v>
      </c>
    </row>
    <row r="48" spans="1:6">
      <c r="A48" s="1310" t="s">
        <v>31</v>
      </c>
      <c r="B48" s="1310" t="s">
        <v>28</v>
      </c>
      <c r="C48" s="1311">
        <v>0</v>
      </c>
      <c r="D48" s="1311">
        <v>0</v>
      </c>
      <c r="E48" s="1311">
        <v>0</v>
      </c>
      <c r="F48" s="1311">
        <v>0</v>
      </c>
    </row>
    <row r="49" spans="1:6">
      <c r="A49" s="1310" t="s">
        <v>31</v>
      </c>
      <c r="B49" s="1310" t="s">
        <v>39</v>
      </c>
      <c r="C49" s="1311">
        <v>0</v>
      </c>
      <c r="D49" s="1311">
        <v>0</v>
      </c>
      <c r="E49" s="1311">
        <v>0</v>
      </c>
      <c r="F49" s="1311">
        <v>0</v>
      </c>
    </row>
    <row r="50" spans="1:6">
      <c r="A50" s="1310" t="s">
        <v>31</v>
      </c>
      <c r="B50" s="1310" t="s">
        <v>40</v>
      </c>
      <c r="C50" s="1311">
        <v>7</v>
      </c>
      <c r="D50" s="1311">
        <v>1032441.8124762099</v>
      </c>
      <c r="E50" s="1311">
        <v>16</v>
      </c>
      <c r="F50" s="1311">
        <v>943817.94197144802</v>
      </c>
    </row>
    <row r="51" spans="1:6">
      <c r="A51" s="1310" t="s">
        <v>41</v>
      </c>
      <c r="B51" s="1310" t="s">
        <v>42</v>
      </c>
      <c r="C51" s="1311">
        <v>5</v>
      </c>
      <c r="D51" s="1311">
        <v>99482.055137730495</v>
      </c>
      <c r="E51" s="1311">
        <v>28</v>
      </c>
      <c r="F51" s="1311">
        <v>144732.32234318901</v>
      </c>
    </row>
    <row r="52" spans="1:6">
      <c r="A52" s="1310" t="s">
        <v>41</v>
      </c>
      <c r="B52" s="1310" t="s">
        <v>28</v>
      </c>
      <c r="C52" s="1311">
        <v>0</v>
      </c>
      <c r="D52" s="1311">
        <v>0</v>
      </c>
      <c r="E52" s="1311">
        <v>0</v>
      </c>
      <c r="F52" s="1311">
        <v>0</v>
      </c>
    </row>
    <row r="53" spans="1:6">
      <c r="A53" s="1310" t="s">
        <v>43</v>
      </c>
      <c r="B53" s="1310" t="s">
        <v>44</v>
      </c>
      <c r="C53" s="1311">
        <v>219</v>
      </c>
      <c r="D53" s="1311">
        <v>5307089.3149220496</v>
      </c>
      <c r="E53" s="1311">
        <v>380</v>
      </c>
      <c r="F53" s="1311">
        <v>1695780.7586445501</v>
      </c>
    </row>
    <row r="54" spans="1:6">
      <c r="A54" s="1310" t="s">
        <v>45</v>
      </c>
      <c r="B54" s="1310" t="s">
        <v>46</v>
      </c>
      <c r="C54" s="1311">
        <v>0</v>
      </c>
      <c r="D54" s="1311">
        <v>0</v>
      </c>
      <c r="E54" s="1311">
        <v>1</v>
      </c>
      <c r="F54" s="1311">
        <v>943089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43</v>
      </c>
      <c r="D57" s="1311">
        <v>6248282.4649101999</v>
      </c>
      <c r="E57" s="1311">
        <v>77</v>
      </c>
      <c r="F57" s="1311">
        <v>4920365.6082619</v>
      </c>
    </row>
    <row r="58" spans="1:6">
      <c r="A58" s="1310" t="s">
        <v>48</v>
      </c>
      <c r="B58" s="1310" t="s">
        <v>50</v>
      </c>
      <c r="C58" s="1311">
        <v>44</v>
      </c>
      <c r="D58" s="1311">
        <v>1319758.67749799</v>
      </c>
      <c r="E58" s="1311">
        <v>48</v>
      </c>
      <c r="F58" s="1311">
        <v>328915.31880625099</v>
      </c>
    </row>
    <row r="59" spans="1:6">
      <c r="A59" s="1310" t="s">
        <v>48</v>
      </c>
      <c r="B59" s="1310" t="s">
        <v>51</v>
      </c>
      <c r="C59" s="1311">
        <v>78</v>
      </c>
      <c r="D59" s="1311">
        <v>2634840.1980709201</v>
      </c>
      <c r="E59" s="1311">
        <v>142</v>
      </c>
      <c r="F59" s="1311">
        <v>3634991.4380035899</v>
      </c>
    </row>
    <row r="60" spans="1:6">
      <c r="A60" s="1310" t="s">
        <v>48</v>
      </c>
      <c r="B60" s="1310" t="s">
        <v>52</v>
      </c>
      <c r="C60" s="1311">
        <v>44</v>
      </c>
      <c r="D60" s="1311">
        <v>2586991.4817888401</v>
      </c>
      <c r="E60" s="1311">
        <v>48</v>
      </c>
      <c r="F60" s="1311">
        <v>912479.013172284</v>
      </c>
    </row>
    <row r="61" spans="1:6">
      <c r="A61" s="1310" t="s">
        <v>48</v>
      </c>
      <c r="B61" s="1310" t="s">
        <v>53</v>
      </c>
      <c r="C61" s="1311">
        <v>318</v>
      </c>
      <c r="D61" s="1311">
        <v>17500919.576904699</v>
      </c>
      <c r="E61" s="1311">
        <v>540</v>
      </c>
      <c r="F61" s="1311">
        <v>8060199.2286933698</v>
      </c>
    </row>
    <row r="62" spans="1:6">
      <c r="A62" s="1310" t="s">
        <v>48</v>
      </c>
      <c r="B62" s="1310" t="s">
        <v>54</v>
      </c>
      <c r="C62" s="1311">
        <v>19</v>
      </c>
      <c r="D62" s="1311">
        <v>1261884.4519527</v>
      </c>
      <c r="E62" s="1311">
        <v>24</v>
      </c>
      <c r="F62" s="1311">
        <v>1604961.85594725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31371.038424866401</v>
      </c>
      <c r="E65" s="1311">
        <v>3</v>
      </c>
      <c r="F65" s="1311">
        <v>11489</v>
      </c>
    </row>
    <row r="66" spans="1:6">
      <c r="A66" s="1310" t="s">
        <v>55</v>
      </c>
      <c r="B66" s="1310" t="s">
        <v>57</v>
      </c>
      <c r="C66" s="1311">
        <v>0</v>
      </c>
      <c r="D66" s="1311">
        <v>0</v>
      </c>
      <c r="E66" s="1311">
        <v>9</v>
      </c>
      <c r="F66" s="1311">
        <v>59327</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58322052</v>
      </c>
      <c r="E73" s="453"/>
      <c r="F73" s="332"/>
    </row>
    <row r="74" spans="1:6">
      <c r="A74" s="1310" t="s">
        <v>63</v>
      </c>
      <c r="B74" s="1310" t="s">
        <v>648</v>
      </c>
      <c r="C74" s="1324" t="s">
        <v>650</v>
      </c>
      <c r="D74" s="1325">
        <v>825068.19482185505</v>
      </c>
      <c r="E74" s="453"/>
      <c r="F74" s="332"/>
    </row>
    <row r="75" spans="1:6">
      <c r="A75" s="1310" t="s">
        <v>64</v>
      </c>
      <c r="B75" s="1310" t="s">
        <v>647</v>
      </c>
      <c r="C75" s="1324" t="s">
        <v>651</v>
      </c>
      <c r="D75" s="1325">
        <v>55275390</v>
      </c>
      <c r="E75" s="453"/>
      <c r="F75" s="332"/>
    </row>
    <row r="76" spans="1:6">
      <c r="A76" s="1310" t="s">
        <v>64</v>
      </c>
      <c r="B76" s="1310" t="s">
        <v>648</v>
      </c>
      <c r="C76" s="1324" t="s">
        <v>652</v>
      </c>
      <c r="D76" s="1325">
        <v>175137.19482185505</v>
      </c>
      <c r="E76" s="453"/>
      <c r="F76" s="332"/>
    </row>
    <row r="77" spans="1:6">
      <c r="A77" s="1310" t="s">
        <v>65</v>
      </c>
      <c r="B77" s="1310" t="s">
        <v>647</v>
      </c>
      <c r="C77" s="1324" t="s">
        <v>653</v>
      </c>
      <c r="D77" s="1325">
        <v>142325172</v>
      </c>
      <c r="E77" s="453"/>
      <c r="F77" s="332"/>
    </row>
    <row r="78" spans="1:6">
      <c r="A78" s="1305" t="s">
        <v>65</v>
      </c>
      <c r="B78" s="1305" t="s">
        <v>648</v>
      </c>
      <c r="C78" s="1305" t="s">
        <v>654</v>
      </c>
      <c r="D78" s="1326">
        <v>12293029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1225127.6103562899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3059.1950654960156</v>
      </c>
      <c r="C91" s="332"/>
      <c r="D91" s="332"/>
      <c r="E91" s="332"/>
      <c r="F91" s="332"/>
    </row>
    <row r="92" spans="1:6">
      <c r="A92" s="1305" t="s">
        <v>68</v>
      </c>
      <c r="B92" s="1306">
        <v>79.816385587971922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4567</v>
      </c>
      <c r="C97" s="332"/>
      <c r="D97" s="332"/>
      <c r="E97" s="332"/>
      <c r="F97" s="332"/>
    </row>
    <row r="98" spans="1:6">
      <c r="A98" s="1310" t="s">
        <v>71</v>
      </c>
      <c r="B98" s="1311">
        <v>3</v>
      </c>
      <c r="C98" s="332"/>
      <c r="D98" s="332"/>
      <c r="E98" s="332"/>
      <c r="F98" s="332"/>
    </row>
    <row r="99" spans="1:6">
      <c r="A99" s="1310" t="s">
        <v>72</v>
      </c>
      <c r="B99" s="1311">
        <v>27</v>
      </c>
      <c r="C99" s="332"/>
      <c r="D99" s="332"/>
      <c r="E99" s="332"/>
      <c r="F99" s="332"/>
    </row>
    <row r="100" spans="1:6">
      <c r="A100" s="1310" t="s">
        <v>73</v>
      </c>
      <c r="B100" s="1311">
        <v>358</v>
      </c>
      <c r="C100" s="332"/>
      <c r="D100" s="332"/>
      <c r="E100" s="332"/>
      <c r="F100" s="332"/>
    </row>
    <row r="101" spans="1:6">
      <c r="A101" s="1310" t="s">
        <v>74</v>
      </c>
      <c r="B101" s="1311">
        <v>36</v>
      </c>
      <c r="C101" s="332"/>
      <c r="D101" s="332"/>
      <c r="E101" s="332"/>
      <c r="F101" s="332"/>
    </row>
    <row r="102" spans="1:6">
      <c r="A102" s="1310" t="s">
        <v>75</v>
      </c>
      <c r="B102" s="1311">
        <v>91</v>
      </c>
      <c r="C102" s="332"/>
      <c r="D102" s="332"/>
      <c r="E102" s="332"/>
      <c r="F102" s="332"/>
    </row>
    <row r="103" spans="1:6">
      <c r="A103" s="1310" t="s">
        <v>76</v>
      </c>
      <c r="B103" s="1311">
        <v>63</v>
      </c>
      <c r="C103" s="332"/>
      <c r="D103" s="332"/>
      <c r="E103" s="332"/>
      <c r="F103" s="332"/>
    </row>
    <row r="104" spans="1:6">
      <c r="A104" s="1310" t="s">
        <v>77</v>
      </c>
      <c r="B104" s="1311">
        <v>2221</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42</v>
      </c>
      <c r="C123" s="1311">
        <v>34</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157</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59520.549450892271</v>
      </c>
      <c r="C3" s="43" t="s">
        <v>169</v>
      </c>
      <c r="D3" s="43"/>
      <c r="E3" s="154"/>
      <c r="F3" s="43"/>
      <c r="G3" s="43"/>
      <c r="H3" s="43"/>
      <c r="I3" s="43"/>
      <c r="J3" s="43"/>
      <c r="K3" s="96"/>
    </row>
    <row r="4" spans="1:11">
      <c r="A4" s="360" t="s">
        <v>170</v>
      </c>
      <c r="B4" s="49">
        <f>IF(ISERROR('SEAP template'!B78+'SEAP template'!C78),0,'SEAP template'!B78+'SEAP template'!C78)</f>
        <v>3139.0114510839876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0.20934483994033157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943.08900000000006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943.08900000000006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0.20934483994033157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197.43081575448736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32443.060388780603</v>
      </c>
      <c r="C5" s="17">
        <f>IF(ISERROR('Eigen informatie GS &amp; warmtenet'!B59),0,'Eigen informatie GS &amp; warmtenet'!B59)</f>
        <v>0</v>
      </c>
      <c r="D5" s="30">
        <f>(SUM(HH_hh_gas_kWh,HH_rest_gas_kWh)/1000)*0.903</f>
        <v>130191.92260763767</v>
      </c>
      <c r="E5" s="17">
        <f>B46*B57</f>
        <v>4324.2778048339287</v>
      </c>
      <c r="F5" s="17">
        <f>B51*B62</f>
        <v>0</v>
      </c>
      <c r="G5" s="18"/>
      <c r="H5" s="17"/>
      <c r="I5" s="17"/>
      <c r="J5" s="17">
        <f>B50*B61+C50*C61</f>
        <v>0</v>
      </c>
      <c r="K5" s="17"/>
      <c r="L5" s="17"/>
      <c r="M5" s="17"/>
      <c r="N5" s="17">
        <f>B48*B59+C48*C59</f>
        <v>10806.950571495119</v>
      </c>
      <c r="O5" s="17">
        <f>B69*B70*B71</f>
        <v>382.90393634169709</v>
      </c>
      <c r="P5" s="17">
        <f>B77*B78*B79/1000-B77*B78*B79/1000/B80</f>
        <v>705.77527361489661</v>
      </c>
    </row>
    <row r="6" spans="1:16">
      <c r="A6" s="16" t="s">
        <v>612</v>
      </c>
      <c r="B6" s="786">
        <f>kWh_PV_kleiner_dan_10kW</f>
        <v>3059.1950654960156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35502.255454276616</v>
      </c>
      <c r="C8" s="21">
        <f>C5</f>
        <v>0</v>
      </c>
      <c r="D8" s="21">
        <f>D5</f>
        <v>130191.92260763767</v>
      </c>
      <c r="E8" s="21">
        <f>E5</f>
        <v>4324.2778048339287</v>
      </c>
      <c r="F8" s="21">
        <f>F5</f>
        <v>0</v>
      </c>
      <c r="G8" s="21"/>
      <c r="H8" s="21"/>
      <c r="I8" s="21"/>
      <c r="J8" s="21">
        <f>J5</f>
        <v>0</v>
      </c>
      <c r="K8" s="21"/>
      <c r="L8" s="21">
        <f>L5</f>
        <v>0</v>
      </c>
      <c r="M8" s="21">
        <f>M5</f>
        <v>0</v>
      </c>
      <c r="N8" s="21">
        <f>N5</f>
        <v>10806.950571495119</v>
      </c>
      <c r="O8" s="21">
        <f>O5</f>
        <v>382.90393634169709</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0.20934483994033157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7432.2139855963014</v>
      </c>
      <c r="C12" s="23">
        <f ca="1">C10*C8</f>
        <v>0</v>
      </c>
      <c r="D12" s="23">
        <f>D8*D10</f>
        <v>26298.76836674281</v>
      </c>
      <c r="E12" s="23">
        <f>E10*E8</f>
        <v>981.61106169730181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8762</v>
      </c>
      <c r="C28" s="36"/>
      <c r="D28" s="228"/>
    </row>
    <row r="29" spans="1:7" s="15" customFormat="1">
      <c r="A29" s="230" t="s">
        <v>839</v>
      </c>
      <c r="B29" s="37">
        <f>SUM(HH_hh_gas_aantal,HH_rest_gas_aantal)</f>
        <v>6820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6820</v>
      </c>
      <c r="C32" s="167">
        <f>IF(ISERROR(B32/SUM($B$32,$B$34,$B$35,$B$36,$B$38,$B$39)*100),0,B32/SUM($B$32,$B$34,$B$35,$B$36,$B$38,$B$39)*100)</f>
        <v>78.43588269120184</v>
      </c>
      <c r="D32" s="233"/>
      <c r="G32" s="15"/>
    </row>
    <row r="33" spans="1:7">
      <c r="A33" s="171" t="s">
        <v>71</v>
      </c>
      <c r="B33" s="34" t="s">
        <v>110</v>
      </c>
      <c r="C33" s="167"/>
      <c r="D33" s="233"/>
      <c r="G33" s="15"/>
    </row>
    <row r="34" spans="1:7">
      <c r="A34" s="171" t="s">
        <v>72</v>
      </c>
      <c r="B34" s="33">
        <f>IF((($B$28-$B$32-$B$39-$B$77-$B$38)*C20/100)&lt;0,0,($B$28-$B$32-$B$39-$B$77-$B$38)*C20/100)</f>
        <v>120.24940617577198</v>
      </c>
      <c r="C34" s="167">
        <f>IF(ISERROR(B34/SUM($B$32,$B$34,$B$35,$B$36,$B$38,$B$39)*100),0,B34/SUM($B$32,$B$34,$B$35,$B$36,$B$38,$B$39)*100)</f>
        <v>1.3829718939134212</v>
      </c>
      <c r="D34" s="233"/>
      <c r="G34" s="15"/>
    </row>
    <row r="35" spans="1:7">
      <c r="A35" s="171" t="s">
        <v>73</v>
      </c>
      <c r="B35" s="33">
        <f>IF((($B$28-$B$32-$B$39-$B$77-$B$38)*C21/100)&lt;0,0,($B$28-$B$32-$B$39-$B$77-$B$38)*C21/100)</f>
        <v>1594.4180522565321</v>
      </c>
      <c r="C35" s="167">
        <f>IF(ISERROR(B35/SUM($B$32,$B$34,$B$35,$B$36,$B$38,$B$39)*100),0,B35/SUM($B$32,$B$34,$B$35,$B$36,$B$38,$B$39)*100)</f>
        <v>18.337182889666845</v>
      </c>
      <c r="D35" s="233"/>
      <c r="G35" s="15"/>
    </row>
    <row r="36" spans="1:7">
      <c r="A36" s="171" t="s">
        <v>74</v>
      </c>
      <c r="B36" s="33">
        <f>IF((($B$28-$B$32-$B$39-$B$77-$B$38)*C22/100)&lt;0,0,($B$28-$B$32-$B$39-$B$77-$B$38)*C22/100)</f>
        <v>160.33254156769598</v>
      </c>
      <c r="C36" s="167">
        <f>IF(ISERROR(B36/SUM($B$32,$B$34,$B$35,$B$36,$B$38,$B$39)*100),0,B36/SUM($B$32,$B$34,$B$35,$B$36,$B$38,$B$39)*100)</f>
        <v>1.8439625252178953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6820</v>
      </c>
      <c r="C44" s="34" t="s">
        <v>110</v>
      </c>
      <c r="D44" s="174"/>
    </row>
    <row r="45" spans="1:7">
      <c r="A45" s="171" t="s">
        <v>71</v>
      </c>
      <c r="B45" s="33" t="str">
        <f t="shared" si="0"/>
        <v>-</v>
      </c>
      <c r="C45" s="34" t="s">
        <v>110</v>
      </c>
      <c r="D45" s="174"/>
    </row>
    <row r="46" spans="1:7">
      <c r="A46" s="171" t="s">
        <v>72</v>
      </c>
      <c r="B46" s="33">
        <f t="shared" si="0"/>
        <v>120.24940617577198</v>
      </c>
      <c r="C46" s="34" t="s">
        <v>110</v>
      </c>
      <c r="D46" s="174"/>
    </row>
    <row r="47" spans="1:7">
      <c r="A47" s="171" t="s">
        <v>73</v>
      </c>
      <c r="B47" s="33">
        <f t="shared" si="0"/>
        <v>1594.4180522565321</v>
      </c>
      <c r="C47" s="34" t="s">
        <v>110</v>
      </c>
      <c r="D47" s="174"/>
    </row>
    <row r="48" spans="1:7">
      <c r="A48" s="171" t="s">
        <v>74</v>
      </c>
      <c r="B48" s="33">
        <f t="shared" si="0"/>
        <v>160.33254156769598</v>
      </c>
      <c r="C48" s="33">
        <f>B48*10</f>
        <v>1603.3254156769599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19461.912462884648</v>
      </c>
      <c r="C5" s="17">
        <f>IF(ISERROR('Eigen informatie GS &amp; warmtenet'!B60),0,'Eigen informatie GS &amp; warmtenet'!B60)</f>
        <v>0</v>
      </c>
      <c r="D5" s="30">
        <f>SUM(D6:D12)</f>
        <v>28492.067196566193</v>
      </c>
      <c r="E5" s="17">
        <f>SUM(E6:E12)</f>
        <v>85.17653648663314</v>
      </c>
      <c r="F5" s="17">
        <f>SUM(F6:F12)</f>
        <v>4328.9746277579161</v>
      </c>
      <c r="G5" s="18"/>
      <c r="H5" s="17"/>
      <c r="I5" s="17"/>
      <c r="J5" s="17">
        <f>SUM(J6:J12)</f>
        <v>4.8592645608401944E-2</v>
      </c>
      <c r="K5" s="17"/>
      <c r="L5" s="17"/>
      <c r="M5" s="17"/>
      <c r="N5" s="17">
        <f>SUM(N6:N12)</f>
        <v>1768.7478813733562</v>
      </c>
      <c r="O5" s="17">
        <f>B38*B39*B40</f>
        <v>9.7945215316823084</v>
      </c>
      <c r="P5" s="17">
        <f>B46*B47*B48/1000-B46*B47*B48/1000/B49</f>
        <v>105.07827661299004</v>
      </c>
      <c r="R5" s="32"/>
    </row>
    <row r="6" spans="1:18">
      <c r="A6" s="32" t="s">
        <v>53</v>
      </c>
      <c r="B6" s="37">
        <f>B26</f>
        <v>8060.1992286933701</v>
      </c>
      <c r="C6" s="33"/>
      <c r="D6" s="37">
        <f>IF(ISERROR(TER_kantoor_gas_kWh/1000),0,TER_kantoor_gas_kWh/1000)*0.903</f>
        <v>15803.330377944945</v>
      </c>
      <c r="E6" s="33">
        <f>$C$26*'E Balans VL '!I12/100/3.6*1000000</f>
        <v>1.9310321473299079</v>
      </c>
      <c r="F6" s="33">
        <f>$C$26*('E Balans VL '!L12+'E Balans VL '!N12)/100/3.6*1000000</f>
        <v>764.33922590009547</v>
      </c>
      <c r="G6" s="34"/>
      <c r="H6" s="33"/>
      <c r="I6" s="33"/>
      <c r="J6" s="33">
        <f>$C$26*('E Balans VL '!D12+'E Balans VL '!E12)/100/3.6*1000000</f>
        <v>0</v>
      </c>
      <c r="K6" s="33"/>
      <c r="L6" s="33"/>
      <c r="M6" s="33"/>
      <c r="N6" s="33">
        <f>$C$26*'E Balans VL '!Y12/100/3.6*1000000</f>
        <v>4.0941643048830354</v>
      </c>
      <c r="O6" s="33"/>
      <c r="P6" s="33"/>
      <c r="R6" s="32"/>
    </row>
    <row r="7" spans="1:18">
      <c r="A7" s="32" t="s">
        <v>52</v>
      </c>
      <c r="B7" s="37">
        <f t="shared" ref="B7:B12" si="0">B27</f>
        <v>912.479013172284</v>
      </c>
      <c r="C7" s="33"/>
      <c r="D7" s="37">
        <f>IF(ISERROR(TER_horeca_gas_kWh/1000),0,TER_horeca_gas_kWh/1000)*0.903</f>
        <v>2336.0533080553228</v>
      </c>
      <c r="E7" s="33">
        <f>$C$27*'E Balans VL '!I9/100/3.6*1000000</f>
        <v>0</v>
      </c>
      <c r="F7" s="33">
        <f>$C$27*('E Balans VL '!L9+'E Balans VL '!N9)/100/3.6*1000000</f>
        <v>74.82113412547605</v>
      </c>
      <c r="G7" s="34"/>
      <c r="H7" s="33"/>
      <c r="I7" s="33"/>
      <c r="J7" s="33">
        <f>$C$27*('E Balans VL '!D9+'E Balans VL '!E9)/100/3.6*1000000</f>
        <v>0</v>
      </c>
      <c r="K7" s="33"/>
      <c r="L7" s="33"/>
      <c r="M7" s="33"/>
      <c r="N7" s="33">
        <f>$C$27*'E Balans VL '!Y9/100/3.6*1000000</f>
        <v>0.27971147825558895</v>
      </c>
      <c r="O7" s="33"/>
      <c r="P7" s="33"/>
      <c r="R7" s="32"/>
    </row>
    <row r="8" spans="1:18">
      <c r="A8" s="6" t="s">
        <v>51</v>
      </c>
      <c r="B8" s="37">
        <f t="shared" si="0"/>
        <v>3634.9914380035898</v>
      </c>
      <c r="C8" s="33"/>
      <c r="D8" s="37">
        <f>IF(ISERROR(TER_handel_gas_kWh/1000),0,TER_handel_gas_kWh/1000)*0.903</f>
        <v>2379.260698858041</v>
      </c>
      <c r="E8" s="33">
        <f>$C$28*'E Balans VL '!I13/100/3.6*1000000</f>
        <v>12.775008188735182</v>
      </c>
      <c r="F8" s="33">
        <f>$C$28*('E Balans VL '!L13+'E Balans VL '!N13)/100/3.6*1000000</f>
        <v>332.59518874192497</v>
      </c>
      <c r="G8" s="34"/>
      <c r="H8" s="33"/>
      <c r="I8" s="33"/>
      <c r="J8" s="33">
        <f>$C$28*('E Balans VL '!D13+'E Balans VL '!E13)/100/3.6*1000000</f>
        <v>0</v>
      </c>
      <c r="K8" s="33"/>
      <c r="L8" s="33"/>
      <c r="M8" s="33"/>
      <c r="N8" s="33">
        <f>$C$28*'E Balans VL '!Y13/100/3.6*1000000</f>
        <v>1.3164374066068292</v>
      </c>
      <c r="O8" s="33"/>
      <c r="P8" s="33"/>
      <c r="R8" s="32"/>
    </row>
    <row r="9" spans="1:18">
      <c r="A9" s="32" t="s">
        <v>50</v>
      </c>
      <c r="B9" s="37">
        <f t="shared" si="0"/>
        <v>328.91531880625098</v>
      </c>
      <c r="C9" s="33"/>
      <c r="D9" s="37">
        <f>IF(ISERROR(TER_gezond_gas_kWh/1000),0,TER_gezond_gas_kWh/1000)*0.903</f>
        <v>1191.7420857806851</v>
      </c>
      <c r="E9" s="33">
        <f>$C$29*'E Balans VL '!I10/100/3.6*1000000</f>
        <v>0</v>
      </c>
      <c r="F9" s="33">
        <f>$C$29*('E Balans VL '!L10+'E Balans VL '!N10)/100/3.6*1000000</f>
        <v>40.318978230658708</v>
      </c>
      <c r="G9" s="34"/>
      <c r="H9" s="33"/>
      <c r="I9" s="33"/>
      <c r="J9" s="33">
        <f>$C$29*('E Balans VL '!D10+'E Balans VL '!E10)/100/3.6*1000000</f>
        <v>0</v>
      </c>
      <c r="K9" s="33"/>
      <c r="L9" s="33"/>
      <c r="M9" s="33"/>
      <c r="N9" s="33">
        <f>$C$29*'E Balans VL '!Y10/100/3.6*1000000</f>
        <v>2.4255212699657775</v>
      </c>
      <c r="O9" s="33"/>
      <c r="P9" s="33"/>
      <c r="R9" s="32"/>
    </row>
    <row r="10" spans="1:18">
      <c r="A10" s="32" t="s">
        <v>49</v>
      </c>
      <c r="B10" s="37">
        <f t="shared" si="0"/>
        <v>4920.3656082619</v>
      </c>
      <c r="C10" s="33"/>
      <c r="D10" s="37">
        <f>IF(ISERROR(TER_ander_gas_kWh/1000),0,TER_ander_gas_kWh/1000)*0.903</f>
        <v>5642.1990658139102</v>
      </c>
      <c r="E10" s="33">
        <f>$C$30*'E Balans VL '!I14/100/3.6*1000000</f>
        <v>70.470496150568053</v>
      </c>
      <c r="F10" s="33">
        <f>$C$30*('E Balans VL '!L14+'E Balans VL '!N14)/100/3.6*1000000</f>
        <v>2929.2609472512368</v>
      </c>
      <c r="G10" s="34"/>
      <c r="H10" s="33"/>
      <c r="I10" s="33"/>
      <c r="J10" s="33">
        <f>$C$30*('E Balans VL '!D14+'E Balans VL '!E14)/100/3.6*1000000</f>
        <v>4.8592645608401944E-2</v>
      </c>
      <c r="K10" s="33"/>
      <c r="L10" s="33"/>
      <c r="M10" s="33"/>
      <c r="N10" s="33">
        <f>$C$30*'E Balans VL '!Y14/100/3.6*1000000</f>
        <v>1756.1126586270211</v>
      </c>
      <c r="O10" s="33"/>
      <c r="P10" s="33"/>
      <c r="R10" s="32"/>
    </row>
    <row r="11" spans="1:18">
      <c r="A11" s="32" t="s">
        <v>54</v>
      </c>
      <c r="B11" s="37">
        <f t="shared" si="0"/>
        <v>1604.9618559472501</v>
      </c>
      <c r="C11" s="33"/>
      <c r="D11" s="37">
        <f>IF(ISERROR(TER_onderwijs_gas_kWh/1000),0,TER_onderwijs_gas_kWh/1000)*0.903</f>
        <v>1139.4816601132882</v>
      </c>
      <c r="E11" s="33">
        <f>$C$31*'E Balans VL '!I11/100/3.6*1000000</f>
        <v>0</v>
      </c>
      <c r="F11" s="33">
        <f>$C$31*('E Balans VL '!L11+'E Balans VL '!N11)/100/3.6*1000000</f>
        <v>187.63915350852372</v>
      </c>
      <c r="G11" s="34"/>
      <c r="H11" s="33"/>
      <c r="I11" s="33"/>
      <c r="J11" s="33">
        <f>$C$31*('E Balans VL '!D11+'E Balans VL '!E11)/100/3.6*1000000</f>
        <v>0</v>
      </c>
      <c r="K11" s="33"/>
      <c r="L11" s="33"/>
      <c r="M11" s="33"/>
      <c r="N11" s="33">
        <f>$C$31*'E Balans VL '!Y11/100/3.6*1000000</f>
        <v>4.5193882866238342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19461.912462884648</v>
      </c>
      <c r="C16" s="21">
        <f t="shared" ca="1" si="1"/>
        <v>0</v>
      </c>
      <c r="D16" s="21">
        <f t="shared" ca="1" si="1"/>
        <v>28492.067196566193</v>
      </c>
      <c r="E16" s="21">
        <f t="shared" si="1"/>
        <v>85.17653648663314</v>
      </c>
      <c r="F16" s="21">
        <f t="shared" ca="1" si="1"/>
        <v>4328.9746277579161</v>
      </c>
      <c r="G16" s="21">
        <f t="shared" si="1"/>
        <v>0</v>
      </c>
      <c r="H16" s="21">
        <f t="shared" si="1"/>
        <v>0</v>
      </c>
      <c r="I16" s="21">
        <f t="shared" si="1"/>
        <v>0</v>
      </c>
      <c r="J16" s="21">
        <f t="shared" si="1"/>
        <v>4.8592645608401944E-2</v>
      </c>
      <c r="K16" s="21">
        <f t="shared" si="1"/>
        <v>0</v>
      </c>
      <c r="L16" s="21">
        <f t="shared" ca="1" si="1"/>
        <v>0</v>
      </c>
      <c r="M16" s="21">
        <f t="shared" si="1"/>
        <v>0</v>
      </c>
      <c r="N16" s="21">
        <f t="shared" ca="1" si="1"/>
        <v>1768.7478813733562</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0.20934483994033157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4074.2509494753308</v>
      </c>
      <c r="C20" s="23">
        <f t="shared" ref="C20:P20" ca="1" si="2">C16*C18</f>
        <v>0</v>
      </c>
      <c r="D20" s="23">
        <f t="shared" ca="1" si="2"/>
        <v>5755.3975737063711</v>
      </c>
      <c r="E20" s="23">
        <f t="shared" si="2"/>
        <v>19.335073782465724</v>
      </c>
      <c r="F20" s="23">
        <f t="shared" ca="1" si="2"/>
        <v>1155.8362256113637</v>
      </c>
      <c r="G20" s="23">
        <f t="shared" si="2"/>
        <v>0</v>
      </c>
      <c r="H20" s="23">
        <f t="shared" si="2"/>
        <v>0</v>
      </c>
      <c r="I20" s="23">
        <f t="shared" si="2"/>
        <v>0</v>
      </c>
      <c r="J20" s="23">
        <f t="shared" si="2"/>
        <v>1.7201796545374286E-2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8060.1992286933701</v>
      </c>
      <c r="C26" s="39">
        <f>IF(ISERROR(B26*3.6/1000000/'E Balans VL '!Z12*100),0,B26*3.6/1000000/'E Balans VL '!Z12*100)</f>
        <v>0.22731896273738586</v>
      </c>
      <c r="D26" s="237" t="s">
        <v>702</v>
      </c>
      <c r="F26" s="6"/>
    </row>
    <row r="27" spans="1:18">
      <c r="A27" s="231" t="s">
        <v>52</v>
      </c>
      <c r="B27" s="33">
        <f>IF(ISERROR(TER_horeca_ele_kWh/1000),0,TER_horeca_ele_kWh/1000)</f>
        <v>912.479013172284</v>
      </c>
      <c r="C27" s="39">
        <f>IF(ISERROR(B27*3.6/1000000/'E Balans VL '!Z9*100),0,B27*3.6/1000000/'E Balans VL '!Z9*100)</f>
        <v>6.7649109316568604E-2</v>
      </c>
      <c r="D27" s="237" t="s">
        <v>702</v>
      </c>
      <c r="F27" s="6"/>
    </row>
    <row r="28" spans="1:18">
      <c r="A28" s="171" t="s">
        <v>51</v>
      </c>
      <c r="B28" s="33">
        <f>IF(ISERROR(TER_handel_ele_kWh/1000),0,TER_handel_ele_kWh/1000)</f>
        <v>3634.9914380035898</v>
      </c>
      <c r="C28" s="39">
        <f>IF(ISERROR(B28*3.6/1000000/'E Balans VL '!Z13*100),0,B28*3.6/1000000/'E Balans VL '!Z13*100)</f>
        <v>0.10889570096776849</v>
      </c>
      <c r="D28" s="237" t="s">
        <v>702</v>
      </c>
      <c r="F28" s="6"/>
    </row>
    <row r="29" spans="1:18">
      <c r="A29" s="231" t="s">
        <v>50</v>
      </c>
      <c r="B29" s="33">
        <f>IF(ISERROR(TER_gezond_ele_kWh/1000),0,TER_gezond_ele_kWh/1000)</f>
        <v>328.91531880625098</v>
      </c>
      <c r="C29" s="39">
        <f>IF(ISERROR(B29*3.6/1000000/'E Balans VL '!Z10*100),0,B29*3.6/1000000/'E Balans VL '!Z10*100)</f>
        <v>3.2523275641300274E-2</v>
      </c>
      <c r="D29" s="237" t="s">
        <v>702</v>
      </c>
      <c r="F29" s="6"/>
    </row>
    <row r="30" spans="1:18">
      <c r="A30" s="231" t="s">
        <v>49</v>
      </c>
      <c r="B30" s="33">
        <f>IF(ISERROR(TER_ander_ele_kWh/1000),0,TER_ander_ele_kWh/1000)</f>
        <v>4920.3656082619</v>
      </c>
      <c r="C30" s="39">
        <f>IF(ISERROR(B30*3.6/1000000/'E Balans VL '!Z14*100),0,B30*3.6/1000000/'E Balans VL '!Z14*100)</f>
        <v>0.19901424822553695</v>
      </c>
      <c r="D30" s="237" t="s">
        <v>702</v>
      </c>
      <c r="F30" s="6"/>
    </row>
    <row r="31" spans="1:18">
      <c r="A31" s="231" t="s">
        <v>54</v>
      </c>
      <c r="B31" s="33">
        <f>IF(ISERROR(TER_onderwijs_ele_kWh/1000),0,TER_onderwijs_ele_kWh/1000)</f>
        <v>1604.9618559472501</v>
      </c>
      <c r="C31" s="39">
        <f>IF(ISERROR(B31*3.6/1000000/'E Balans VL '!Z11*100),0,B31*3.6/1000000/'E Balans VL '!Z11*100)</f>
        <v>0.4409532142513351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1599.9003537840422</v>
      </c>
      <c r="C5" s="17">
        <f>IF(ISERROR('Eigen informatie GS &amp; warmtenet'!B61),0,'Eigen informatie GS &amp; warmtenet'!B61)</f>
        <v>0</v>
      </c>
      <c r="D5" s="30">
        <f>SUM(D6:D15)</f>
        <v>2631.3562090505825</v>
      </c>
      <c r="E5" s="17">
        <f>SUM(E6:E15)</f>
        <v>3.6792432205056547</v>
      </c>
      <c r="F5" s="17">
        <f>SUM(F6:F15)</f>
        <v>337.51246383415435</v>
      </c>
      <c r="G5" s="18"/>
      <c r="H5" s="17"/>
      <c r="I5" s="17"/>
      <c r="J5" s="17">
        <f>SUM(J6:J15)</f>
        <v>9.8428733494417345E-2</v>
      </c>
      <c r="K5" s="17"/>
      <c r="L5" s="17"/>
      <c r="M5" s="17"/>
      <c r="N5" s="17">
        <f>SUM(N6:N15)</f>
        <v>52.826114048436565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110.024190158115</v>
      </c>
      <c r="C8" s="33"/>
      <c r="D8" s="37">
        <f>IF( ISERROR(IND_metaal_Gas_kWH/1000),0,IND_metaal_Gas_kWH/1000)*0.903</f>
        <v>120.55797543271873</v>
      </c>
      <c r="E8" s="33">
        <f>C30*'E Balans VL '!I18/100/3.6*1000000</f>
        <v>0.55476116372373718</v>
      </c>
      <c r="F8" s="33">
        <f>C30*'E Balans VL '!L18/100/3.6*1000000+C30*'E Balans VL '!N18/100/3.6*1000000</f>
        <v>7.5170775006468151</v>
      </c>
      <c r="G8" s="34"/>
      <c r="H8" s="33"/>
      <c r="I8" s="33"/>
      <c r="J8" s="40">
        <f>C30*'E Balans VL '!D18/100/3.6*1000000+C30*'E Balans VL '!E18/100/3.6*1000000</f>
        <v>9.7545829759493857E-2</v>
      </c>
      <c r="K8" s="33"/>
      <c r="L8" s="33"/>
      <c r="M8" s="33"/>
      <c r="N8" s="33">
        <f>C30*'E Balans VL '!Y18/100/3.6*1000000</f>
        <v>1.4622221401429076</v>
      </c>
      <c r="O8" s="33"/>
      <c r="P8" s="33"/>
      <c r="R8" s="32"/>
    </row>
    <row r="9" spans="1:18">
      <c r="A9" s="6" t="s">
        <v>32</v>
      </c>
      <c r="B9" s="37">
        <f t="shared" si="0"/>
        <v>514.016445999344</v>
      </c>
      <c r="C9" s="33"/>
      <c r="D9" s="37">
        <f>IF( ISERROR(IND_andere_gas_kWh/1000),0,IND_andere_gas_kWh/1000)*0.903</f>
        <v>1449.9949166490201</v>
      </c>
      <c r="E9" s="33">
        <f>C31*'E Balans VL '!I19/100/3.6*1000000</f>
        <v>1.620301322135872</v>
      </c>
      <c r="F9" s="33">
        <f>C31*'E Balans VL '!L19/100/3.6*1000000+C31*'E Balans VL '!N19/100/3.6*1000000</f>
        <v>314.65924937143842</v>
      </c>
      <c r="G9" s="34"/>
      <c r="H9" s="33"/>
      <c r="I9" s="33"/>
      <c r="J9" s="40">
        <f>C31*'E Balans VL '!D19/100/3.6*1000000+C31*'E Balans VL '!E19/100/3.6*1000000</f>
        <v>0</v>
      </c>
      <c r="K9" s="33"/>
      <c r="L9" s="33"/>
      <c r="M9" s="33"/>
      <c r="N9" s="33">
        <f>C31*'E Balans VL '!Y19/100/3.6*1000000</f>
        <v>21.553407523007063</v>
      </c>
      <c r="O9" s="33"/>
      <c r="P9" s="33"/>
      <c r="R9" s="32"/>
    </row>
    <row r="10" spans="1:18">
      <c r="A10" s="6" t="s">
        <v>40</v>
      </c>
      <c r="B10" s="37">
        <f t="shared" si="0"/>
        <v>943.81794197144802</v>
      </c>
      <c r="C10" s="33"/>
      <c r="D10" s="37">
        <f>IF( ISERROR(IND_voed_gas_kWh/1000),0,IND_voed_gas_kWh/1000)*0.903</f>
        <v>932.29495666601758</v>
      </c>
      <c r="E10" s="33">
        <f>C32*'E Balans VL '!I20/100/3.6*1000000</f>
        <v>1.5041807346460456</v>
      </c>
      <c r="F10" s="33">
        <f>C32*'E Balans VL '!L20/100/3.6*1000000+C32*'E Balans VL '!N20/100/3.6*1000000</f>
        <v>15.33474876335737</v>
      </c>
      <c r="G10" s="34"/>
      <c r="H10" s="33"/>
      <c r="I10" s="33"/>
      <c r="J10" s="40">
        <f>C32*'E Balans VL '!D20/100/3.6*1000000+C32*'E Balans VL '!E20/100/3.6*1000000</f>
        <v>0</v>
      </c>
      <c r="K10" s="33"/>
      <c r="L10" s="33"/>
      <c r="M10" s="33"/>
      <c r="N10" s="33">
        <f>C32*'E Balans VL '!Y20/100/3.6*1000000</f>
        <v>29.810484385286593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32.041775655135197</v>
      </c>
      <c r="C13" s="33"/>
      <c r="D13" s="37">
        <f>IF( ISERROR(IND_papier_gas_kWh/1000),0,IND_papier_gas_kWh/1000)*0.903</f>
        <v>128.50836030282616</v>
      </c>
      <c r="E13" s="33">
        <f>C35*'E Balans VL '!I23/100/3.6*1000000</f>
        <v>0</v>
      </c>
      <c r="F13" s="33">
        <f>C35*'E Balans VL '!L23/100/3.6*1000000+C35*'E Balans VL '!N23/100/3.6*1000000</f>
        <v>1.3881987117877631E-3</v>
      </c>
      <c r="G13" s="34"/>
      <c r="H13" s="33"/>
      <c r="I13" s="33"/>
      <c r="J13" s="40">
        <f>C35*'E Balans VL '!D23/100/3.6*1000000+C35*'E Balans VL '!E23/100/3.6*1000000</f>
        <v>8.8290373492349433E-4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1599.9003537840422</v>
      </c>
      <c r="C18" s="21">
        <f>C5+C16</f>
        <v>0</v>
      </c>
      <c r="D18" s="21">
        <f>MAX((D5+D16),0)</f>
        <v>2631.3562090505825</v>
      </c>
      <c r="E18" s="21">
        <f>MAX((E5+E16),0)</f>
        <v>3.6792432205056547</v>
      </c>
      <c r="F18" s="21">
        <f>MAX((F5+F16),0)</f>
        <v>337.51246383415435</v>
      </c>
      <c r="G18" s="21"/>
      <c r="H18" s="21"/>
      <c r="I18" s="21"/>
      <c r="J18" s="21">
        <f>MAX((J5+J16),0)</f>
        <v>9.8428733494417345E-2</v>
      </c>
      <c r="K18" s="21"/>
      <c r="L18" s="21">
        <f>MAX((L5+L16),0)</f>
        <v>0</v>
      </c>
      <c r="M18" s="21"/>
      <c r="N18" s="21">
        <f>MAX((N5+N16),0)</f>
        <v>52.826114048436565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0.20934483994033157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334.93088348340018</v>
      </c>
      <c r="C22" s="23">
        <f ca="1">C18*C20</f>
        <v>0</v>
      </c>
      <c r="D22" s="23">
        <f>D18*D20</f>
        <v>531.53395422821768</v>
      </c>
      <c r="E22" s="23">
        <f>E18*E20</f>
        <v>0.83518821105478369</v>
      </c>
      <c r="F22" s="23">
        <f>F18*F20</f>
        <v>90.115827843719217</v>
      </c>
      <c r="G22" s="23"/>
      <c r="H22" s="23"/>
      <c r="I22" s="23"/>
      <c r="J22" s="23">
        <f>J18*J20</f>
        <v>3.4843771657023737E-2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110.024190158115</v>
      </c>
      <c r="C30" s="39">
        <f>IF(ISERROR(B30*3.6/1000000/'E Balans VL '!Z18*100),0,B30*3.6/1000000/'E Balans VL '!Z18*100)</f>
        <v>5.4613528325688472E-3</v>
      </c>
      <c r="D30" s="237" t="s">
        <v>702</v>
      </c>
    </row>
    <row r="31" spans="1:18">
      <c r="A31" s="6" t="s">
        <v>32</v>
      </c>
      <c r="B31" s="37">
        <f>IF( ISERROR(IND_ander_ele_kWh/1000),0,IND_ander_ele_kWh/1000)</f>
        <v>514.016445999344</v>
      </c>
      <c r="C31" s="39">
        <f>IF(ISERROR(B31*3.6/1000000/'E Balans VL '!Z19*100),0,B31*3.6/1000000/'E Balans VL '!Z19*100)</f>
        <v>1.7345421069230791E-2</v>
      </c>
      <c r="D31" s="237" t="s">
        <v>702</v>
      </c>
    </row>
    <row r="32" spans="1:18">
      <c r="A32" s="171" t="s">
        <v>40</v>
      </c>
      <c r="B32" s="37">
        <f>IF( ISERROR(IND_voed_ele_kWh/1000),0,IND_voed_ele_kWh/1000)</f>
        <v>943.81794197144802</v>
      </c>
      <c r="C32" s="39">
        <f>IF(ISERROR(B32*3.6/1000000/'E Balans VL '!Z20*100),0,B32*3.6/1000000/'E Balans VL '!Z20*100)</f>
        <v>2.2164916040048856E-2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32.041775655135197</v>
      </c>
      <c r="C35" s="39">
        <f>IF(ISERROR(B35*3.6/1000000/'E Balans VL '!Z22*100),0,B35*3.6/1000000/'E Balans VL '!Z22*100)</f>
        <v>4.5457910174498736E-3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144.732322343189</v>
      </c>
      <c r="C5" s="17">
        <f>'Eigen informatie GS &amp; warmtenet'!B62</f>
        <v>0</v>
      </c>
      <c r="D5" s="30">
        <f>IF(ISERROR(SUM(LB_lb_gas_kWh,LB_rest_gas_kWh)/1000),0,SUM(LB_lb_gas_kWh,LB_rest_gas_kWh)/1000)*0.903</f>
        <v>89.832295789370647</v>
      </c>
      <c r="E5" s="17">
        <f>B17*'E Balans VL '!I25/3.6*1000000/100</f>
        <v>5.3975110047708892</v>
      </c>
      <c r="F5" s="17">
        <f>B17*('E Balans VL '!L25/3.6*1000000+'E Balans VL '!N25/3.6*1000000)/100</f>
        <v>469.56758045210751</v>
      </c>
      <c r="G5" s="18"/>
      <c r="H5" s="17"/>
      <c r="I5" s="17"/>
      <c r="J5" s="17">
        <f>('E Balans VL '!D25+'E Balans VL '!E25)/3.6*1000000*landbouw!B17/100</f>
        <v>37.992949145121749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144.732322343189</v>
      </c>
      <c r="C8" s="21">
        <f>C5+C6</f>
        <v>0</v>
      </c>
      <c r="D8" s="21">
        <f>MAX((D5+D6),0)</f>
        <v>89.832295789370647</v>
      </c>
      <c r="E8" s="21">
        <f>MAX((E5+E6),0)</f>
        <v>5.3975110047708892</v>
      </c>
      <c r="F8" s="21">
        <f>MAX((F5+F6),0)</f>
        <v>469.56758045210751</v>
      </c>
      <c r="G8" s="21"/>
      <c r="H8" s="21"/>
      <c r="I8" s="21"/>
      <c r="J8" s="21">
        <f>MAX((J5+J6),0)</f>
        <v>37.992949145121749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0.20934483994033157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30.298964855127373</v>
      </c>
      <c r="C12" s="23">
        <f ca="1">C8*C10</f>
        <v>0</v>
      </c>
      <c r="D12" s="23">
        <f>D8*D10</f>
        <v>18.146123749452872</v>
      </c>
      <c r="E12" s="23">
        <f>E8*E10</f>
        <v>1.225234998082992</v>
      </c>
      <c r="F12" s="23">
        <f>F8*F10</f>
        <v>125.37454398071272</v>
      </c>
      <c r="G12" s="23"/>
      <c r="H12" s="23"/>
      <c r="I12" s="23"/>
      <c r="J12" s="23">
        <f>J8*J10</f>
        <v>13.449503997373098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1.9878606792185425E-2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35.777166005023716</v>
      </c>
      <c r="C26" s="247">
        <f>B26*'GWP N2O_CH4'!B5</f>
        <v>751.32048610549805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4.1315851754181994</v>
      </c>
      <c r="C27" s="247">
        <f>B27*'GWP N2O_CH4'!B5</f>
        <v>86.763288683782193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0.49530172289650443</v>
      </c>
      <c r="C28" s="247">
        <f>B28*'GWP N2O_CH4'!B4</f>
        <v>153.54353409791636</v>
      </c>
      <c r="D28" s="50"/>
    </row>
    <row r="29" spans="1:4">
      <c r="A29" s="41" t="s">
        <v>276</v>
      </c>
      <c r="B29" s="247">
        <f>B34*'ha_N2O bodem landbouw'!B4</f>
        <v>4.6940110981443963</v>
      </c>
      <c r="C29" s="247">
        <f>B29*'GWP N2O_CH4'!B4</f>
        <v>1455.143440424763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1.0697785344797488E-3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6.2236475625323433E-4</v>
      </c>
      <c r="C5" s="440" t="s">
        <v>210</v>
      </c>
      <c r="D5" s="425">
        <f>SUM(D6:D11)</f>
        <v>2.590398757063711E-3</v>
      </c>
      <c r="E5" s="425">
        <f>SUM(E6:E11)</f>
        <v>1.5534610213636495E-3</v>
      </c>
      <c r="F5" s="438" t="s">
        <v>210</v>
      </c>
      <c r="G5" s="425">
        <f>SUM(G6:G11)</f>
        <v>0.56653477911497241</v>
      </c>
      <c r="H5" s="425">
        <f>SUM(H6:H11)</f>
        <v>0.1684830792447595</v>
      </c>
      <c r="I5" s="440" t="s">
        <v>210</v>
      </c>
      <c r="J5" s="440" t="s">
        <v>210</v>
      </c>
      <c r="K5" s="440" t="s">
        <v>210</v>
      </c>
      <c r="L5" s="440" t="s">
        <v>210</v>
      </c>
      <c r="M5" s="425">
        <f>SUM(M6:M11)</f>
        <v>4.3609108258916958E-2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1.418303334349674E-4</v>
      </c>
      <c r="C6" s="426"/>
      <c r="D6" s="893">
        <f>vkm_GW_PW*SUMIFS(TableVerdeelsleutelVkm[CNG],TableVerdeelsleutelVkm[Voertuigtype],"Lichte voertuigen")*SUMIFS(TableECFTransport[EnergieConsumptieFactor (PJ per km)],TableECFTransport[Index],CONCATENATE($A6,"_CNG_CNG"))</f>
        <v>5.1224788202211297E-4</v>
      </c>
      <c r="E6" s="893">
        <f>vkm_GW_PW*SUMIFS(TableVerdeelsleutelVkm[LPG],TableVerdeelsleutelVkm[Voertuigtype],"Lichte voertuigen")*SUMIFS(TableECFTransport[EnergieConsumptieFactor (PJ per km)],TableECFTransport[Index],CONCATENATE($A6,"_LPG_LPG"))</f>
        <v>2.7839357515299298E-4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8.6634365309497988E-2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3.2787628729196341E-2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7.156940930241721E-3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7.8817150646850343E-3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8.2975094667247779E-8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4.4375290357899462E-4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1.344213162192555E-4</v>
      </c>
      <c r="C8" s="426"/>
      <c r="D8" s="428">
        <f>vkm_NGW_PW*SUMIFS(TableVerdeelsleutelVkm[CNG],TableVerdeelsleutelVkm[Voertuigtype],"Lichte voertuigen")*SUMIFS(TableECFTransport[EnergieConsumptieFactor (PJ per km)],TableECFTransport[Index],CONCATENATE($A8,"_CNG_CNG"))</f>
        <v>8.2293511889102095E-4</v>
      </c>
      <c r="E8" s="428">
        <f>vkm_NGW_PW*SUMIFS(TableVerdeelsleutelVkm[LPG],TableVerdeelsleutelVkm[Voertuigtype],"Lichte voertuigen")*SUMIFS(TableECFTransport[EnergieConsumptieFactor (PJ per km)],TableECFTransport[Index],CONCATENATE($A8,"_LPG_LPG"))</f>
        <v>4.2500140819379538E-4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0.12308051270746648</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5.1871967453938989E-2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1.0535608177118273E-2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2.016687768312661E-3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3.0836750098756577E-8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1.1354334796818143E-4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3.4611310659901141E-4</v>
      </c>
      <c r="C10" s="426"/>
      <c r="D10" s="428">
        <f>vkm_SW_PW*SUMIFS(TableVerdeelsleutelVkm[CNG],TableVerdeelsleutelVkm[Voertuigtype],"Lichte voertuigen")*SUMIFS(TableECFTransport[EnergieConsumptieFactor (PJ per km)],TableECFTransport[Index],CONCATENATE($A10,"_CNG_CNG"))</f>
        <v>1.2552157561505771E-3</v>
      </c>
      <c r="E10" s="428">
        <f>vkm_SW_PW*SUMIFS(TableVerdeelsleutelVkm[LPG],TableVerdeelsleutelVkm[Voertuigtype],"Lichte voertuigen")*SUMIFS(TableECFTransport[EnergieConsumptieFactor (PJ per km)],TableECFTransport[Index],CONCATENATE($A10,"_LPG_LPG"))</f>
        <v>8.5006603801686127E-4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0.23507802976477657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8.3822122323319939E-2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1.9062295607843713E-2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0.11184346850023366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1.2469264594502711E-6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6.2969672921660775E-3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172.87909895923175</v>
      </c>
      <c r="C14" s="21"/>
      <c r="D14" s="21">
        <f t="shared" ref="D14:M14" si="0">((D5)*10^9/3600)+D12</f>
        <v>719.55521029547526</v>
      </c>
      <c r="E14" s="21">
        <f t="shared" si="0"/>
        <v>431.51695037879153</v>
      </c>
      <c r="F14" s="21"/>
      <c r="G14" s="21">
        <f t="shared" si="0"/>
        <v>157370.77197638122</v>
      </c>
      <c r="H14" s="21">
        <f t="shared" si="0"/>
        <v>46800.855345766526</v>
      </c>
      <c r="I14" s="21"/>
      <c r="J14" s="21"/>
      <c r="K14" s="21"/>
      <c r="L14" s="21"/>
      <c r="M14" s="21">
        <f t="shared" si="0"/>
        <v>12113.641183032489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0.20934483994033157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36.191347300649113</v>
      </c>
      <c r="C18" s="23"/>
      <c r="D18" s="23">
        <f t="shared" ref="D18:M18" si="1">D14*D16</f>
        <v>145.35015247968602</v>
      </c>
      <c r="E18" s="23">
        <f t="shared" si="1"/>
        <v>97.954347735985678</v>
      </c>
      <c r="F18" s="23"/>
      <c r="G18" s="23">
        <f t="shared" si="1"/>
        <v>42017.996117693787</v>
      </c>
      <c r="H18" s="23">
        <f t="shared" si="1"/>
        <v>11653.412981095866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1.5082221754121397E-2</v>
      </c>
      <c r="H50" s="321">
        <f t="shared" si="2"/>
        <v>0</v>
      </c>
      <c r="I50" s="321">
        <f t="shared" si="2"/>
        <v>0</v>
      </c>
      <c r="J50" s="321">
        <f t="shared" si="2"/>
        <v>0</v>
      </c>
      <c r="K50" s="321">
        <f t="shared" si="2"/>
        <v>0</v>
      </c>
      <c r="L50" s="321">
        <f t="shared" si="2"/>
        <v>0</v>
      </c>
      <c r="M50" s="321">
        <f t="shared" si="2"/>
        <v>8.1844725450514908E-4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1.5082221754121397E-2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8.1844725450514908E-4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4189.5060428114994</v>
      </c>
      <c r="H54" s="21">
        <f t="shared" si="3"/>
        <v>0</v>
      </c>
      <c r="I54" s="21">
        <f t="shared" si="3"/>
        <v>0</v>
      </c>
      <c r="J54" s="21">
        <f t="shared" si="3"/>
        <v>0</v>
      </c>
      <c r="K54" s="21">
        <f t="shared" si="3"/>
        <v>0</v>
      </c>
      <c r="L54" s="21">
        <f t="shared" si="3"/>
        <v>0</v>
      </c>
      <c r="M54" s="21">
        <f t="shared" si="3"/>
        <v>227.34645958476364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0.20934483994033157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1118.5981134306703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20405.001462884647</v>
      </c>
      <c r="D10" s="689">
        <f ca="1">tertiair!C16</f>
        <v>0</v>
      </c>
      <c r="E10" s="689">
        <f ca="1">tertiair!D16</f>
        <v>28492.067196566193</v>
      </c>
      <c r="F10" s="689">
        <f>tertiair!E16</f>
        <v>85.17653648663314</v>
      </c>
      <c r="G10" s="689">
        <f ca="1">tertiair!F16</f>
        <v>4328.9746277579161</v>
      </c>
      <c r="H10" s="689">
        <f>tertiair!G16</f>
        <v>0</v>
      </c>
      <c r="I10" s="689">
        <f>tertiair!H16</f>
        <v>0</v>
      </c>
      <c r="J10" s="689">
        <f>tertiair!I16</f>
        <v>0</v>
      </c>
      <c r="K10" s="689">
        <f>tertiair!J16</f>
        <v>4.8592645608401944E-2</v>
      </c>
      <c r="L10" s="689">
        <f>tertiair!K16</f>
        <v>0</v>
      </c>
      <c r="M10" s="689">
        <f ca="1">tertiair!L16</f>
        <v>0</v>
      </c>
      <c r="N10" s="689">
        <f>tertiair!M16</f>
        <v>0</v>
      </c>
      <c r="O10" s="689">
        <f ca="1">tertiair!N16</f>
        <v>1768.7478813733562</v>
      </c>
      <c r="P10" s="689">
        <f>tertiair!O16</f>
        <v>9.7945215316823084</v>
      </c>
      <c r="Q10" s="690">
        <f>tertiair!P16</f>
        <v>105.07827661299004</v>
      </c>
      <c r="R10" s="692">
        <f ca="1">SUM(C10:Q10)</f>
        <v>55194.889095859027</v>
      </c>
      <c r="S10" s="67"/>
    </row>
    <row r="11" spans="1:19" s="451" customFormat="1">
      <c r="A11" s="811" t="s">
        <v>224</v>
      </c>
      <c r="B11" s="816"/>
      <c r="C11" s="689">
        <f>huishoudens!B8</f>
        <v>35502.255454276616</v>
      </c>
      <c r="D11" s="689">
        <f>huishoudens!C8</f>
        <v>0</v>
      </c>
      <c r="E11" s="689">
        <f>huishoudens!D8</f>
        <v>130191.92260763767</v>
      </c>
      <c r="F11" s="689">
        <f>huishoudens!E8</f>
        <v>4324.2778048339287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10806.950571495119</v>
      </c>
      <c r="P11" s="689">
        <f>huishoudens!O8</f>
        <v>382.90393634169709</v>
      </c>
      <c r="Q11" s="690">
        <f>huishoudens!P8</f>
        <v>705.77527361489661</v>
      </c>
      <c r="R11" s="692">
        <f>SUM(C11:Q11)</f>
        <v>181914.08564819989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1599.9003537840422</v>
      </c>
      <c r="D13" s="689">
        <f>industrie!C18</f>
        <v>0</v>
      </c>
      <c r="E13" s="689">
        <f>industrie!D18</f>
        <v>2631.3562090505825</v>
      </c>
      <c r="F13" s="689">
        <f>industrie!E18</f>
        <v>3.6792432205056547</v>
      </c>
      <c r="G13" s="689">
        <f>industrie!F18</f>
        <v>337.51246383415435</v>
      </c>
      <c r="H13" s="689">
        <f>industrie!G18</f>
        <v>0</v>
      </c>
      <c r="I13" s="689">
        <f>industrie!H18</f>
        <v>0</v>
      </c>
      <c r="J13" s="689">
        <f>industrie!I18</f>
        <v>0</v>
      </c>
      <c r="K13" s="689">
        <f>industrie!J18</f>
        <v>9.8428733494417345E-2</v>
      </c>
      <c r="L13" s="689">
        <f>industrie!K18</f>
        <v>0</v>
      </c>
      <c r="M13" s="689">
        <f>industrie!L18</f>
        <v>0</v>
      </c>
      <c r="N13" s="689">
        <f>industrie!M18</f>
        <v>0</v>
      </c>
      <c r="O13" s="689">
        <f>industrie!N18</f>
        <v>52.826114048436565</v>
      </c>
      <c r="P13" s="689">
        <f>industrie!O18</f>
        <v>0</v>
      </c>
      <c r="Q13" s="690">
        <f>industrie!P18</f>
        <v>0</v>
      </c>
      <c r="R13" s="692">
        <f>SUM(C13:Q13)</f>
        <v>4625.3728126712149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57507.157270945303</v>
      </c>
      <c r="D16" s="725">
        <f t="shared" ref="D16:R16" ca="1" si="0">SUM(D9:D15)</f>
        <v>0</v>
      </c>
      <c r="E16" s="725">
        <f t="shared" ca="1" si="0"/>
        <v>161315.34601325443</v>
      </c>
      <c r="F16" s="725">
        <f t="shared" si="0"/>
        <v>4413.1335845410676</v>
      </c>
      <c r="G16" s="725">
        <f t="shared" ca="1" si="0"/>
        <v>4666.4870915920701</v>
      </c>
      <c r="H16" s="725">
        <f t="shared" si="0"/>
        <v>0</v>
      </c>
      <c r="I16" s="725">
        <f t="shared" si="0"/>
        <v>0</v>
      </c>
      <c r="J16" s="725">
        <f t="shared" si="0"/>
        <v>0</v>
      </c>
      <c r="K16" s="725">
        <f t="shared" si="0"/>
        <v>0.14702137910281929</v>
      </c>
      <c r="L16" s="725">
        <f t="shared" si="0"/>
        <v>0</v>
      </c>
      <c r="M16" s="725">
        <f t="shared" ca="1" si="0"/>
        <v>0</v>
      </c>
      <c r="N16" s="725">
        <f t="shared" si="0"/>
        <v>0</v>
      </c>
      <c r="O16" s="725">
        <f t="shared" ca="1" si="0"/>
        <v>12628.524566916913</v>
      </c>
      <c r="P16" s="725">
        <f t="shared" si="0"/>
        <v>392.69845787337943</v>
      </c>
      <c r="Q16" s="725">
        <f t="shared" si="0"/>
        <v>810.85355022788667</v>
      </c>
      <c r="R16" s="725">
        <f t="shared" ca="1" si="0"/>
        <v>241734.34755673012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4189.5060428114994</v>
      </c>
      <c r="I19" s="689">
        <f>transport!H54</f>
        <v>0</v>
      </c>
      <c r="J19" s="689">
        <f>transport!I54</f>
        <v>0</v>
      </c>
      <c r="K19" s="689">
        <f>transport!J54</f>
        <v>0</v>
      </c>
      <c r="L19" s="689">
        <f>transport!K54</f>
        <v>0</v>
      </c>
      <c r="M19" s="689">
        <f>transport!L54</f>
        <v>0</v>
      </c>
      <c r="N19" s="689">
        <f>transport!M54</f>
        <v>227.34645958476364</v>
      </c>
      <c r="O19" s="689">
        <f>transport!N54</f>
        <v>0</v>
      </c>
      <c r="P19" s="689">
        <f>transport!O54</f>
        <v>0</v>
      </c>
      <c r="Q19" s="690">
        <f>transport!P54</f>
        <v>0</v>
      </c>
      <c r="R19" s="692">
        <f>SUM(C19:Q19)</f>
        <v>4416.8525023962629</v>
      </c>
      <c r="S19" s="67"/>
    </row>
    <row r="20" spans="1:19" s="451" customFormat="1">
      <c r="A20" s="811" t="s">
        <v>306</v>
      </c>
      <c r="B20" s="816"/>
      <c r="C20" s="689">
        <f>transport!B14</f>
        <v>172.87909895923175</v>
      </c>
      <c r="D20" s="689">
        <f>transport!C14</f>
        <v>0</v>
      </c>
      <c r="E20" s="689">
        <f>transport!D14</f>
        <v>719.55521029547526</v>
      </c>
      <c r="F20" s="689">
        <f>transport!E14</f>
        <v>431.51695037879153</v>
      </c>
      <c r="G20" s="689">
        <f>transport!F14</f>
        <v>0</v>
      </c>
      <c r="H20" s="689">
        <f>transport!G14</f>
        <v>157370.77197638122</v>
      </c>
      <c r="I20" s="689">
        <f>transport!H14</f>
        <v>46800.855345766526</v>
      </c>
      <c r="J20" s="689">
        <f>transport!I14</f>
        <v>0</v>
      </c>
      <c r="K20" s="689">
        <f>transport!J14</f>
        <v>0</v>
      </c>
      <c r="L20" s="689">
        <f>transport!K14</f>
        <v>0</v>
      </c>
      <c r="M20" s="689">
        <f>transport!L14</f>
        <v>0</v>
      </c>
      <c r="N20" s="689">
        <f>transport!M14</f>
        <v>12113.641183032489</v>
      </c>
      <c r="O20" s="689">
        <f>transport!N14</f>
        <v>0</v>
      </c>
      <c r="P20" s="689">
        <f>transport!O14</f>
        <v>0</v>
      </c>
      <c r="Q20" s="690">
        <f>transport!P14</f>
        <v>0</v>
      </c>
      <c r="R20" s="692">
        <f>SUM(C20:Q20)</f>
        <v>217609.21976481372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172.87909895923175</v>
      </c>
      <c r="D22" s="814">
        <f t="shared" ref="D22:R22" si="1">SUM(D18:D21)</f>
        <v>0</v>
      </c>
      <c r="E22" s="814">
        <f t="shared" si="1"/>
        <v>719.55521029547526</v>
      </c>
      <c r="F22" s="814">
        <f t="shared" si="1"/>
        <v>431.51695037879153</v>
      </c>
      <c r="G22" s="814">
        <f t="shared" si="1"/>
        <v>0</v>
      </c>
      <c r="H22" s="814">
        <f t="shared" si="1"/>
        <v>161560.27801919272</v>
      </c>
      <c r="I22" s="814">
        <f t="shared" si="1"/>
        <v>46800.855345766526</v>
      </c>
      <c r="J22" s="814">
        <f t="shared" si="1"/>
        <v>0</v>
      </c>
      <c r="K22" s="814">
        <f t="shared" si="1"/>
        <v>0</v>
      </c>
      <c r="L22" s="814">
        <f t="shared" si="1"/>
        <v>0</v>
      </c>
      <c r="M22" s="814">
        <f t="shared" si="1"/>
        <v>0</v>
      </c>
      <c r="N22" s="814">
        <f t="shared" si="1"/>
        <v>12340.987642617252</v>
      </c>
      <c r="O22" s="814">
        <f t="shared" si="1"/>
        <v>0</v>
      </c>
      <c r="P22" s="814">
        <f t="shared" si="1"/>
        <v>0</v>
      </c>
      <c r="Q22" s="814">
        <f t="shared" si="1"/>
        <v>0</v>
      </c>
      <c r="R22" s="814">
        <f t="shared" si="1"/>
        <v>222026.07226720999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144.732322343189</v>
      </c>
      <c r="D24" s="689">
        <f>+landbouw!C8</f>
        <v>0</v>
      </c>
      <c r="E24" s="689">
        <f>+landbouw!D8</f>
        <v>89.832295789370647</v>
      </c>
      <c r="F24" s="689">
        <f>+landbouw!E8</f>
        <v>5.3975110047708892</v>
      </c>
      <c r="G24" s="689">
        <f>+landbouw!F8</f>
        <v>469.56758045210751</v>
      </c>
      <c r="H24" s="689">
        <f>+landbouw!G8</f>
        <v>0</v>
      </c>
      <c r="I24" s="689">
        <f>+landbouw!H8</f>
        <v>0</v>
      </c>
      <c r="J24" s="689">
        <f>+landbouw!I8</f>
        <v>0</v>
      </c>
      <c r="K24" s="689">
        <f>+landbouw!J8</f>
        <v>37.992949145121749</v>
      </c>
      <c r="L24" s="689">
        <f>+landbouw!K8</f>
        <v>0</v>
      </c>
      <c r="M24" s="689">
        <f>+landbouw!L8</f>
        <v>0</v>
      </c>
      <c r="N24" s="689">
        <f>+landbouw!M8</f>
        <v>0</v>
      </c>
      <c r="O24" s="689">
        <f>+landbouw!N8</f>
        <v>0</v>
      </c>
      <c r="P24" s="689">
        <f>+landbouw!O8</f>
        <v>0</v>
      </c>
      <c r="Q24" s="690">
        <f>+landbouw!P8</f>
        <v>0</v>
      </c>
      <c r="R24" s="692">
        <f>SUM(C24:Q24)</f>
        <v>747.52265873455974</v>
      </c>
      <c r="S24" s="67"/>
    </row>
    <row r="25" spans="1:19" s="451" customFormat="1" ht="15" thickBot="1">
      <c r="A25" s="833" t="s">
        <v>714</v>
      </c>
      <c r="B25" s="947"/>
      <c r="C25" s="948">
        <f>IF(Onbekend_ele_kWh="---",0,Onbekend_ele_kWh)/1000+IF(REST_rest_ele_kWh="---",0,REST_rest_ele_kWh)/1000</f>
        <v>1695.7807586445501</v>
      </c>
      <c r="D25" s="948"/>
      <c r="E25" s="948">
        <f>IF(onbekend_gas_kWh="---",0,onbekend_gas_kWh)/1000+IF(REST_rest_gas_kWh="---",0,REST_rest_gas_kWh)/1000</f>
        <v>5307.0893149220492</v>
      </c>
      <c r="F25" s="948"/>
      <c r="G25" s="948"/>
      <c r="H25" s="948"/>
      <c r="I25" s="948"/>
      <c r="J25" s="948"/>
      <c r="K25" s="948"/>
      <c r="L25" s="948"/>
      <c r="M25" s="948"/>
      <c r="N25" s="948"/>
      <c r="O25" s="948"/>
      <c r="P25" s="948"/>
      <c r="Q25" s="949"/>
      <c r="R25" s="692">
        <f>SUM(C25:Q25)</f>
        <v>7002.8700735665989</v>
      </c>
      <c r="S25" s="67"/>
    </row>
    <row r="26" spans="1:19" s="451" customFormat="1" ht="15.75" thickBot="1">
      <c r="A26" s="697" t="s">
        <v>715</v>
      </c>
      <c r="B26" s="819"/>
      <c r="C26" s="814">
        <f>SUM(C24:C25)</f>
        <v>1840.5130809877392</v>
      </c>
      <c r="D26" s="814">
        <f t="shared" ref="D26:R26" si="2">SUM(D24:D25)</f>
        <v>0</v>
      </c>
      <c r="E26" s="814">
        <f t="shared" si="2"/>
        <v>5396.9216107114198</v>
      </c>
      <c r="F26" s="814">
        <f t="shared" si="2"/>
        <v>5.3975110047708892</v>
      </c>
      <c r="G26" s="814">
        <f t="shared" si="2"/>
        <v>469.56758045210751</v>
      </c>
      <c r="H26" s="814">
        <f t="shared" si="2"/>
        <v>0</v>
      </c>
      <c r="I26" s="814">
        <f t="shared" si="2"/>
        <v>0</v>
      </c>
      <c r="J26" s="814">
        <f t="shared" si="2"/>
        <v>0</v>
      </c>
      <c r="K26" s="814">
        <f t="shared" si="2"/>
        <v>37.992949145121749</v>
      </c>
      <c r="L26" s="814">
        <f t="shared" si="2"/>
        <v>0</v>
      </c>
      <c r="M26" s="814">
        <f t="shared" si="2"/>
        <v>0</v>
      </c>
      <c r="N26" s="814">
        <f t="shared" si="2"/>
        <v>0</v>
      </c>
      <c r="O26" s="814">
        <f t="shared" si="2"/>
        <v>0</v>
      </c>
      <c r="P26" s="814">
        <f t="shared" si="2"/>
        <v>0</v>
      </c>
      <c r="Q26" s="814">
        <f t="shared" si="2"/>
        <v>0</v>
      </c>
      <c r="R26" s="814">
        <f t="shared" si="2"/>
        <v>7750.3927323011585</v>
      </c>
      <c r="S26" s="67"/>
    </row>
    <row r="27" spans="1:19" s="451" customFormat="1" ht="17.25" thickTop="1" thickBot="1">
      <c r="A27" s="698" t="s">
        <v>115</v>
      </c>
      <c r="B27" s="806"/>
      <c r="C27" s="699">
        <f ca="1">C22+C16+C26</f>
        <v>59520.549450892271</v>
      </c>
      <c r="D27" s="699">
        <f t="shared" ref="D27:R27" ca="1" si="3">D22+D16+D26</f>
        <v>0</v>
      </c>
      <c r="E27" s="699">
        <f t="shared" ca="1" si="3"/>
        <v>167431.82283426134</v>
      </c>
      <c r="F27" s="699">
        <f t="shared" si="3"/>
        <v>4850.048045924631</v>
      </c>
      <c r="G27" s="699">
        <f t="shared" ca="1" si="3"/>
        <v>5136.054672044178</v>
      </c>
      <c r="H27" s="699">
        <f t="shared" si="3"/>
        <v>161560.27801919272</v>
      </c>
      <c r="I27" s="699">
        <f t="shared" si="3"/>
        <v>46800.855345766526</v>
      </c>
      <c r="J27" s="699">
        <f t="shared" si="3"/>
        <v>0</v>
      </c>
      <c r="K27" s="699">
        <f t="shared" si="3"/>
        <v>38.139970524224566</v>
      </c>
      <c r="L27" s="699">
        <f t="shared" si="3"/>
        <v>0</v>
      </c>
      <c r="M27" s="699">
        <f t="shared" ca="1" si="3"/>
        <v>0</v>
      </c>
      <c r="N27" s="699">
        <f t="shared" si="3"/>
        <v>12340.987642617252</v>
      </c>
      <c r="O27" s="699">
        <f t="shared" ca="1" si="3"/>
        <v>12628.524566916913</v>
      </c>
      <c r="P27" s="699">
        <f t="shared" si="3"/>
        <v>392.69845787337943</v>
      </c>
      <c r="Q27" s="699">
        <f t="shared" si="3"/>
        <v>810.85355022788667</v>
      </c>
      <c r="R27" s="699">
        <f t="shared" ca="1" si="3"/>
        <v>471510.81255624129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4271.6817652298178</v>
      </c>
      <c r="D40" s="689">
        <f ca="1">tertiair!C20</f>
        <v>0</v>
      </c>
      <c r="E40" s="689">
        <f ca="1">tertiair!D20</f>
        <v>5755.3975737063711</v>
      </c>
      <c r="F40" s="689">
        <f>tertiair!E20</f>
        <v>19.335073782465724</v>
      </c>
      <c r="G40" s="689">
        <f ca="1">tertiair!F20</f>
        <v>1155.8362256113637</v>
      </c>
      <c r="H40" s="689">
        <f>tertiair!G20</f>
        <v>0</v>
      </c>
      <c r="I40" s="689">
        <f>tertiair!H20</f>
        <v>0</v>
      </c>
      <c r="J40" s="689">
        <f>tertiair!I20</f>
        <v>0</v>
      </c>
      <c r="K40" s="689">
        <f>tertiair!J20</f>
        <v>1.7201796545374286E-2</v>
      </c>
      <c r="L40" s="689">
        <f>tertiair!K20</f>
        <v>0</v>
      </c>
      <c r="M40" s="689">
        <f ca="1">tertiair!L20</f>
        <v>0</v>
      </c>
      <c r="N40" s="689">
        <f>tertiair!M20</f>
        <v>0</v>
      </c>
      <c r="O40" s="689">
        <f ca="1">tertiair!N20</f>
        <v>0</v>
      </c>
      <c r="P40" s="689">
        <f>tertiair!O20</f>
        <v>0</v>
      </c>
      <c r="Q40" s="772">
        <f>tertiair!P20</f>
        <v>0</v>
      </c>
      <c r="R40" s="852">
        <f t="shared" ca="1" si="4"/>
        <v>11202.267840126564</v>
      </c>
    </row>
    <row r="41" spans="1:18">
      <c r="A41" s="824" t="s">
        <v>224</v>
      </c>
      <c r="B41" s="831"/>
      <c r="C41" s="689">
        <f ca="1">huishoudens!B12</f>
        <v>7432.2139855963014</v>
      </c>
      <c r="D41" s="689">
        <f ca="1">huishoudens!C12</f>
        <v>0</v>
      </c>
      <c r="E41" s="689">
        <f>huishoudens!D12</f>
        <v>26298.76836674281</v>
      </c>
      <c r="F41" s="689">
        <f>huishoudens!E12</f>
        <v>981.61106169730181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34712.593414036412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334.93088348340018</v>
      </c>
      <c r="D43" s="689">
        <f ca="1">industrie!C22</f>
        <v>0</v>
      </c>
      <c r="E43" s="689">
        <f>industrie!D22</f>
        <v>531.53395422821768</v>
      </c>
      <c r="F43" s="689">
        <f>industrie!E22</f>
        <v>0.83518821105478369</v>
      </c>
      <c r="G43" s="689">
        <f>industrie!F22</f>
        <v>90.115827843719217</v>
      </c>
      <c r="H43" s="689">
        <f>industrie!G22</f>
        <v>0</v>
      </c>
      <c r="I43" s="689">
        <f>industrie!H22</f>
        <v>0</v>
      </c>
      <c r="J43" s="689">
        <f>industrie!I22</f>
        <v>0</v>
      </c>
      <c r="K43" s="689">
        <f>industrie!J22</f>
        <v>3.4843771657023737E-2</v>
      </c>
      <c r="L43" s="689">
        <f>industrie!K22</f>
        <v>0</v>
      </c>
      <c r="M43" s="689">
        <f>industrie!L22</f>
        <v>0</v>
      </c>
      <c r="N43" s="689">
        <f>industrie!M22</f>
        <v>0</v>
      </c>
      <c r="O43" s="689">
        <f>industrie!N22</f>
        <v>0</v>
      </c>
      <c r="P43" s="689">
        <f>industrie!O22</f>
        <v>0</v>
      </c>
      <c r="Q43" s="772">
        <f>industrie!P22</f>
        <v>0</v>
      </c>
      <c r="R43" s="851">
        <f t="shared" ca="1" si="4"/>
        <v>957.45069753804887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12038.82663430952</v>
      </c>
      <c r="D46" s="725">
        <f t="shared" ref="D46:Q46" ca="1" si="5">SUM(D39:D45)</f>
        <v>0</v>
      </c>
      <c r="E46" s="725">
        <f t="shared" ca="1" si="5"/>
        <v>32585.699894677397</v>
      </c>
      <c r="F46" s="725">
        <f t="shared" si="5"/>
        <v>1001.7813236908223</v>
      </c>
      <c r="G46" s="725">
        <f t="shared" ca="1" si="5"/>
        <v>1245.9520534550829</v>
      </c>
      <c r="H46" s="725">
        <f t="shared" si="5"/>
        <v>0</v>
      </c>
      <c r="I46" s="725">
        <f t="shared" si="5"/>
        <v>0</v>
      </c>
      <c r="J46" s="725">
        <f t="shared" si="5"/>
        <v>0</v>
      </c>
      <c r="K46" s="725">
        <f t="shared" si="5"/>
        <v>5.2045568202398022E-2</v>
      </c>
      <c r="L46" s="725">
        <f t="shared" si="5"/>
        <v>0</v>
      </c>
      <c r="M46" s="725">
        <f t="shared" ca="1" si="5"/>
        <v>0</v>
      </c>
      <c r="N46" s="725">
        <f t="shared" si="5"/>
        <v>0</v>
      </c>
      <c r="O46" s="725">
        <f t="shared" ca="1" si="5"/>
        <v>0</v>
      </c>
      <c r="P46" s="725">
        <f t="shared" si="5"/>
        <v>0</v>
      </c>
      <c r="Q46" s="725">
        <f t="shared" si="5"/>
        <v>0</v>
      </c>
      <c r="R46" s="725">
        <f ca="1">SUM(R39:R45)</f>
        <v>46872.311951701027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1118.5981134306703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1118.5981134306703</v>
      </c>
    </row>
    <row r="50" spans="1:18">
      <c r="A50" s="827" t="s">
        <v>306</v>
      </c>
      <c r="B50" s="837"/>
      <c r="C50" s="695">
        <f ca="1">transport!B18</f>
        <v>36.191347300649113</v>
      </c>
      <c r="D50" s="695">
        <f>transport!C18</f>
        <v>0</v>
      </c>
      <c r="E50" s="695">
        <f>transport!D18</f>
        <v>145.35015247968602</v>
      </c>
      <c r="F50" s="695">
        <f>transport!E18</f>
        <v>97.954347735985678</v>
      </c>
      <c r="G50" s="695">
        <f>transport!F18</f>
        <v>0</v>
      </c>
      <c r="H50" s="695">
        <f>transport!G18</f>
        <v>42017.996117693787</v>
      </c>
      <c r="I50" s="695">
        <f>transport!H18</f>
        <v>11653.412981095866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53950.904946305978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36.191347300649113</v>
      </c>
      <c r="D52" s="725">
        <f t="shared" ref="D52:Q52" ca="1" si="6">SUM(D48:D51)</f>
        <v>0</v>
      </c>
      <c r="E52" s="725">
        <f t="shared" si="6"/>
        <v>145.35015247968602</v>
      </c>
      <c r="F52" s="725">
        <f t="shared" si="6"/>
        <v>97.954347735985678</v>
      </c>
      <c r="G52" s="725">
        <f t="shared" si="6"/>
        <v>0</v>
      </c>
      <c r="H52" s="725">
        <f t="shared" si="6"/>
        <v>43136.594231124458</v>
      </c>
      <c r="I52" s="725">
        <f t="shared" si="6"/>
        <v>11653.412981095866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55069.503059736649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30.298964855127373</v>
      </c>
      <c r="D54" s="695">
        <f ca="1">+landbouw!C12</f>
        <v>0</v>
      </c>
      <c r="E54" s="695">
        <f>+landbouw!D12</f>
        <v>18.146123749452872</v>
      </c>
      <c r="F54" s="695">
        <f>+landbouw!E12</f>
        <v>1.225234998082992</v>
      </c>
      <c r="G54" s="695">
        <f>+landbouw!F12</f>
        <v>125.37454398071272</v>
      </c>
      <c r="H54" s="695">
        <f>+landbouw!G12</f>
        <v>0</v>
      </c>
      <c r="I54" s="695">
        <f>+landbouw!H12</f>
        <v>0</v>
      </c>
      <c r="J54" s="695">
        <f>+landbouw!I12</f>
        <v>0</v>
      </c>
      <c r="K54" s="695">
        <f>+landbouw!J12</f>
        <v>13.449503997373098</v>
      </c>
      <c r="L54" s="695">
        <f>+landbouw!K12</f>
        <v>0</v>
      </c>
      <c r="M54" s="695">
        <f>+landbouw!L12</f>
        <v>0</v>
      </c>
      <c r="N54" s="695">
        <f>+landbouw!M12</f>
        <v>0</v>
      </c>
      <c r="O54" s="695">
        <f>+landbouw!N12</f>
        <v>0</v>
      </c>
      <c r="P54" s="695">
        <f>+landbouw!O12</f>
        <v>0</v>
      </c>
      <c r="Q54" s="696">
        <f>+landbouw!P12</f>
        <v>0</v>
      </c>
      <c r="R54" s="724">
        <f ca="1">SUM(C54:Q54)</f>
        <v>188.49437158074903</v>
      </c>
    </row>
    <row r="55" spans="1:18" ht="15" thickBot="1">
      <c r="A55" s="827" t="s">
        <v>714</v>
      </c>
      <c r="B55" s="837"/>
      <c r="C55" s="695">
        <f ca="1">C25*'EF ele_warmte'!B12</f>
        <v>355.00295149233739</v>
      </c>
      <c r="D55" s="695"/>
      <c r="E55" s="695">
        <f>E25*EF_CO2_aardgas</f>
        <v>1072.032041614254</v>
      </c>
      <c r="F55" s="695"/>
      <c r="G55" s="695"/>
      <c r="H55" s="695"/>
      <c r="I55" s="695"/>
      <c r="J55" s="695"/>
      <c r="K55" s="695"/>
      <c r="L55" s="695"/>
      <c r="M55" s="695"/>
      <c r="N55" s="695"/>
      <c r="O55" s="695"/>
      <c r="P55" s="695"/>
      <c r="Q55" s="696"/>
      <c r="R55" s="724">
        <f ca="1">SUM(C55:Q55)</f>
        <v>1427.0349931065914</v>
      </c>
    </row>
    <row r="56" spans="1:18" ht="15.75" thickBot="1">
      <c r="A56" s="825" t="s">
        <v>715</v>
      </c>
      <c r="B56" s="838"/>
      <c r="C56" s="725">
        <f ca="1">SUM(C54:C55)</f>
        <v>385.30191634746478</v>
      </c>
      <c r="D56" s="725">
        <f t="shared" ref="D56:Q56" ca="1" si="7">SUM(D54:D55)</f>
        <v>0</v>
      </c>
      <c r="E56" s="725">
        <f t="shared" si="7"/>
        <v>1090.178165363707</v>
      </c>
      <c r="F56" s="725">
        <f t="shared" si="7"/>
        <v>1.225234998082992</v>
      </c>
      <c r="G56" s="725">
        <f t="shared" si="7"/>
        <v>125.37454398071272</v>
      </c>
      <c r="H56" s="725">
        <f t="shared" si="7"/>
        <v>0</v>
      </c>
      <c r="I56" s="725">
        <f t="shared" si="7"/>
        <v>0</v>
      </c>
      <c r="J56" s="725">
        <f t="shared" si="7"/>
        <v>0</v>
      </c>
      <c r="K56" s="725">
        <f t="shared" si="7"/>
        <v>13.449503997373098</v>
      </c>
      <c r="L56" s="725">
        <f t="shared" si="7"/>
        <v>0</v>
      </c>
      <c r="M56" s="725">
        <f t="shared" si="7"/>
        <v>0</v>
      </c>
      <c r="N56" s="725">
        <f t="shared" si="7"/>
        <v>0</v>
      </c>
      <c r="O56" s="725">
        <f t="shared" si="7"/>
        <v>0</v>
      </c>
      <c r="P56" s="725">
        <f t="shared" si="7"/>
        <v>0</v>
      </c>
      <c r="Q56" s="726">
        <f t="shared" si="7"/>
        <v>0</v>
      </c>
      <c r="R56" s="727">
        <f ca="1">SUM(R54:R55)</f>
        <v>1615.5293646873404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12460.319897957635</v>
      </c>
      <c r="D61" s="733">
        <f t="shared" ref="D61:Q61" ca="1" si="8">D46+D52+D56</f>
        <v>0</v>
      </c>
      <c r="E61" s="733">
        <f t="shared" ca="1" si="8"/>
        <v>33821.228212520786</v>
      </c>
      <c r="F61" s="733">
        <f t="shared" si="8"/>
        <v>1100.9609064248909</v>
      </c>
      <c r="G61" s="733">
        <f t="shared" ca="1" si="8"/>
        <v>1371.3265974357957</v>
      </c>
      <c r="H61" s="733">
        <f t="shared" si="8"/>
        <v>43136.594231124458</v>
      </c>
      <c r="I61" s="733">
        <f t="shared" si="8"/>
        <v>11653.412981095866</v>
      </c>
      <c r="J61" s="733">
        <f t="shared" si="8"/>
        <v>0</v>
      </c>
      <c r="K61" s="733">
        <f t="shared" si="8"/>
        <v>13.501549565575496</v>
      </c>
      <c r="L61" s="733">
        <f t="shared" si="8"/>
        <v>0</v>
      </c>
      <c r="M61" s="733">
        <f t="shared" ca="1" si="8"/>
        <v>0</v>
      </c>
      <c r="N61" s="733">
        <f t="shared" si="8"/>
        <v>0</v>
      </c>
      <c r="O61" s="733">
        <f t="shared" ca="1" si="8"/>
        <v>0</v>
      </c>
      <c r="P61" s="733">
        <f t="shared" si="8"/>
        <v>0</v>
      </c>
      <c r="Q61" s="733">
        <f t="shared" si="8"/>
        <v>0</v>
      </c>
      <c r="R61" s="733">
        <f ca="1">R46+R52+R56</f>
        <v>103557.34437612502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0.20934483994033162</v>
      </c>
      <c r="D63" s="779">
        <f t="shared" ca="1" si="9"/>
        <v>0</v>
      </c>
      <c r="E63" s="973">
        <f t="shared" ca="1" si="9"/>
        <v>0.20199999999999996</v>
      </c>
      <c r="F63" s="779">
        <f t="shared" si="9"/>
        <v>0.22699999999999995</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3139.0114510839876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3139.0114510839876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3139.0114510839876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3139.0114510839876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35502.255454276616</v>
      </c>
      <c r="C4" s="455">
        <f>huishoudens!C8</f>
        <v>0</v>
      </c>
      <c r="D4" s="455">
        <f>huishoudens!D8</f>
        <v>130191.92260763767</v>
      </c>
      <c r="E4" s="455">
        <f>huishoudens!E8</f>
        <v>4324.2778048339287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10806.950571495119</v>
      </c>
      <c r="O4" s="455">
        <f>huishoudens!O8</f>
        <v>382.90393634169709</v>
      </c>
      <c r="P4" s="456">
        <f>huishoudens!P8</f>
        <v>705.77527361489661</v>
      </c>
      <c r="Q4" s="457">
        <f>SUM(B4:P4)</f>
        <v>181914.08564819989</v>
      </c>
    </row>
    <row r="5" spans="1:17">
      <c r="A5" s="454" t="s">
        <v>155</v>
      </c>
      <c r="B5" s="455">
        <f ca="1">tertiair!B16</f>
        <v>19461.912462884648</v>
      </c>
      <c r="C5" s="455">
        <f ca="1">tertiair!C16</f>
        <v>0</v>
      </c>
      <c r="D5" s="455">
        <f ca="1">tertiair!D16</f>
        <v>28492.067196566193</v>
      </c>
      <c r="E5" s="455">
        <f>tertiair!E16</f>
        <v>85.17653648663314</v>
      </c>
      <c r="F5" s="455">
        <f ca="1">tertiair!F16</f>
        <v>4328.9746277579161</v>
      </c>
      <c r="G5" s="455">
        <f>tertiair!G16</f>
        <v>0</v>
      </c>
      <c r="H5" s="455">
        <f>tertiair!H16</f>
        <v>0</v>
      </c>
      <c r="I5" s="455">
        <f>tertiair!I16</f>
        <v>0</v>
      </c>
      <c r="J5" s="455">
        <f>tertiair!J16</f>
        <v>4.8592645608401944E-2</v>
      </c>
      <c r="K5" s="455">
        <f>tertiair!K16</f>
        <v>0</v>
      </c>
      <c r="L5" s="455">
        <f ca="1">tertiair!L16</f>
        <v>0</v>
      </c>
      <c r="M5" s="455">
        <f>tertiair!M16</f>
        <v>0</v>
      </c>
      <c r="N5" s="455">
        <f ca="1">tertiair!N16</f>
        <v>1768.7478813733562</v>
      </c>
      <c r="O5" s="455">
        <f>tertiair!O16</f>
        <v>9.7945215316823084</v>
      </c>
      <c r="P5" s="456">
        <f>tertiair!P16</f>
        <v>105.07827661299004</v>
      </c>
      <c r="Q5" s="454">
        <f t="shared" ref="Q5:Q14" ca="1" si="0">SUM(B5:P5)</f>
        <v>54251.80009585902</v>
      </c>
    </row>
    <row r="6" spans="1:17">
      <c r="A6" s="454" t="s">
        <v>193</v>
      </c>
      <c r="B6" s="455">
        <f>'openbare verlichting'!B8</f>
        <v>943.08900000000006</v>
      </c>
      <c r="C6" s="455"/>
      <c r="D6" s="455"/>
      <c r="E6" s="455"/>
      <c r="F6" s="455"/>
      <c r="G6" s="455"/>
      <c r="H6" s="455"/>
      <c r="I6" s="455"/>
      <c r="J6" s="455"/>
      <c r="K6" s="455"/>
      <c r="L6" s="455"/>
      <c r="M6" s="455"/>
      <c r="N6" s="455"/>
      <c r="O6" s="455"/>
      <c r="P6" s="456"/>
      <c r="Q6" s="454">
        <f t="shared" si="0"/>
        <v>943.08900000000006</v>
      </c>
    </row>
    <row r="7" spans="1:17">
      <c r="A7" s="454" t="s">
        <v>111</v>
      </c>
      <c r="B7" s="455">
        <f>landbouw!B8</f>
        <v>144.732322343189</v>
      </c>
      <c r="C7" s="455">
        <f>landbouw!C8</f>
        <v>0</v>
      </c>
      <c r="D7" s="455">
        <f>landbouw!D8</f>
        <v>89.832295789370647</v>
      </c>
      <c r="E7" s="455">
        <f>landbouw!E8</f>
        <v>5.3975110047708892</v>
      </c>
      <c r="F7" s="455">
        <f>landbouw!F8</f>
        <v>469.56758045210751</v>
      </c>
      <c r="G7" s="455">
        <f>landbouw!G8</f>
        <v>0</v>
      </c>
      <c r="H7" s="455">
        <f>landbouw!H8</f>
        <v>0</v>
      </c>
      <c r="I7" s="455">
        <f>landbouw!I8</f>
        <v>0</v>
      </c>
      <c r="J7" s="455">
        <f>landbouw!J8</f>
        <v>37.992949145121749</v>
      </c>
      <c r="K7" s="455">
        <f>landbouw!K8</f>
        <v>0</v>
      </c>
      <c r="L7" s="455">
        <f>landbouw!L8</f>
        <v>0</v>
      </c>
      <c r="M7" s="455">
        <f>landbouw!M8</f>
        <v>0</v>
      </c>
      <c r="N7" s="455">
        <f>landbouw!N8</f>
        <v>0</v>
      </c>
      <c r="O7" s="455">
        <f>landbouw!O8</f>
        <v>0</v>
      </c>
      <c r="P7" s="456">
        <f>landbouw!P8</f>
        <v>0</v>
      </c>
      <c r="Q7" s="454">
        <f t="shared" si="0"/>
        <v>747.52265873455974</v>
      </c>
    </row>
    <row r="8" spans="1:17">
      <c r="A8" s="454" t="s">
        <v>626</v>
      </c>
      <c r="B8" s="455">
        <f>industrie!B18</f>
        <v>1599.9003537840422</v>
      </c>
      <c r="C8" s="455">
        <f>industrie!C18</f>
        <v>0</v>
      </c>
      <c r="D8" s="455">
        <f>industrie!D18</f>
        <v>2631.3562090505825</v>
      </c>
      <c r="E8" s="455">
        <f>industrie!E18</f>
        <v>3.6792432205056547</v>
      </c>
      <c r="F8" s="455">
        <f>industrie!F18</f>
        <v>337.51246383415435</v>
      </c>
      <c r="G8" s="455">
        <f>industrie!G18</f>
        <v>0</v>
      </c>
      <c r="H8" s="455">
        <f>industrie!H18</f>
        <v>0</v>
      </c>
      <c r="I8" s="455">
        <f>industrie!I18</f>
        <v>0</v>
      </c>
      <c r="J8" s="455">
        <f>industrie!J18</f>
        <v>9.8428733494417345E-2</v>
      </c>
      <c r="K8" s="455">
        <f>industrie!K18</f>
        <v>0</v>
      </c>
      <c r="L8" s="455">
        <f>industrie!L18</f>
        <v>0</v>
      </c>
      <c r="M8" s="455">
        <f>industrie!M18</f>
        <v>0</v>
      </c>
      <c r="N8" s="455">
        <f>industrie!N18</f>
        <v>52.826114048436565</v>
      </c>
      <c r="O8" s="455">
        <f>industrie!O18</f>
        <v>0</v>
      </c>
      <c r="P8" s="456">
        <f>industrie!P18</f>
        <v>0</v>
      </c>
      <c r="Q8" s="454">
        <f t="shared" si="0"/>
        <v>4625.3728126712149</v>
      </c>
    </row>
    <row r="9" spans="1:17" s="460" customFormat="1">
      <c r="A9" s="458" t="s">
        <v>552</v>
      </c>
      <c r="B9" s="459">
        <f>transport!B14</f>
        <v>172.87909895923175</v>
      </c>
      <c r="C9" s="459">
        <f>transport!C14</f>
        <v>0</v>
      </c>
      <c r="D9" s="459">
        <f>transport!D14</f>
        <v>719.55521029547526</v>
      </c>
      <c r="E9" s="459">
        <f>transport!E14</f>
        <v>431.51695037879153</v>
      </c>
      <c r="F9" s="459">
        <f>transport!F14</f>
        <v>0</v>
      </c>
      <c r="G9" s="459">
        <f>transport!G14</f>
        <v>157370.77197638122</v>
      </c>
      <c r="H9" s="459">
        <f>transport!H14</f>
        <v>46800.855345766526</v>
      </c>
      <c r="I9" s="459">
        <f>transport!I14</f>
        <v>0</v>
      </c>
      <c r="J9" s="459">
        <f>transport!J14</f>
        <v>0</v>
      </c>
      <c r="K9" s="459">
        <f>transport!K14</f>
        <v>0</v>
      </c>
      <c r="L9" s="459">
        <f>transport!L14</f>
        <v>0</v>
      </c>
      <c r="M9" s="459">
        <f>transport!M14</f>
        <v>12113.641183032489</v>
      </c>
      <c r="N9" s="459">
        <f>transport!N14</f>
        <v>0</v>
      </c>
      <c r="O9" s="459">
        <f>transport!O14</f>
        <v>0</v>
      </c>
      <c r="P9" s="459">
        <f>transport!P14</f>
        <v>0</v>
      </c>
      <c r="Q9" s="458">
        <f>SUM(B9:P9)</f>
        <v>217609.21976481372</v>
      </c>
    </row>
    <row r="10" spans="1:17">
      <c r="A10" s="454" t="s">
        <v>542</v>
      </c>
      <c r="B10" s="455">
        <f>transport!B54</f>
        <v>0</v>
      </c>
      <c r="C10" s="455">
        <f>transport!C54</f>
        <v>0</v>
      </c>
      <c r="D10" s="455">
        <f>transport!D54</f>
        <v>0</v>
      </c>
      <c r="E10" s="455">
        <f>transport!E54</f>
        <v>0</v>
      </c>
      <c r="F10" s="455">
        <f>transport!F54</f>
        <v>0</v>
      </c>
      <c r="G10" s="455">
        <f>transport!G54</f>
        <v>4189.5060428114994</v>
      </c>
      <c r="H10" s="455">
        <f>transport!H54</f>
        <v>0</v>
      </c>
      <c r="I10" s="455">
        <f>transport!I54</f>
        <v>0</v>
      </c>
      <c r="J10" s="455">
        <f>transport!J54</f>
        <v>0</v>
      </c>
      <c r="K10" s="455">
        <f>transport!K54</f>
        <v>0</v>
      </c>
      <c r="L10" s="455">
        <f>transport!L54</f>
        <v>0</v>
      </c>
      <c r="M10" s="455">
        <f>transport!M54</f>
        <v>227.34645958476364</v>
      </c>
      <c r="N10" s="455">
        <f>transport!N54</f>
        <v>0</v>
      </c>
      <c r="O10" s="455">
        <f>transport!O54</f>
        <v>0</v>
      </c>
      <c r="P10" s="456">
        <f>transport!P54</f>
        <v>0</v>
      </c>
      <c r="Q10" s="454">
        <f t="shared" si="0"/>
        <v>4416.8525023962629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1695.7807586445501</v>
      </c>
      <c r="C14" s="462"/>
      <c r="D14" s="462">
        <f>'SEAP template'!E25</f>
        <v>5307.0893149220492</v>
      </c>
      <c r="E14" s="462"/>
      <c r="F14" s="462"/>
      <c r="G14" s="462"/>
      <c r="H14" s="462"/>
      <c r="I14" s="462"/>
      <c r="J14" s="462"/>
      <c r="K14" s="462"/>
      <c r="L14" s="462"/>
      <c r="M14" s="462"/>
      <c r="N14" s="462"/>
      <c r="O14" s="462"/>
      <c r="P14" s="463"/>
      <c r="Q14" s="454">
        <f t="shared" si="0"/>
        <v>7002.8700735665989</v>
      </c>
    </row>
    <row r="15" spans="1:17" s="466" customFormat="1">
      <c r="A15" s="464" t="s">
        <v>546</v>
      </c>
      <c r="B15" s="465">
        <f ca="1">SUM(B4:B14)</f>
        <v>59520.549450892271</v>
      </c>
      <c r="C15" s="465">
        <f t="shared" ref="C15:Q15" ca="1" si="1">SUM(C4:C14)</f>
        <v>0</v>
      </c>
      <c r="D15" s="465">
        <f t="shared" ca="1" si="1"/>
        <v>167431.82283426134</v>
      </c>
      <c r="E15" s="465">
        <f t="shared" si="1"/>
        <v>4850.0480459246301</v>
      </c>
      <c r="F15" s="465">
        <f t="shared" ca="1" si="1"/>
        <v>5136.054672044178</v>
      </c>
      <c r="G15" s="465">
        <f t="shared" si="1"/>
        <v>161560.27801919272</v>
      </c>
      <c r="H15" s="465">
        <f t="shared" si="1"/>
        <v>46800.855345766526</v>
      </c>
      <c r="I15" s="465">
        <f t="shared" si="1"/>
        <v>0</v>
      </c>
      <c r="J15" s="465">
        <f t="shared" si="1"/>
        <v>38.139970524224566</v>
      </c>
      <c r="K15" s="465">
        <f t="shared" si="1"/>
        <v>0</v>
      </c>
      <c r="L15" s="465">
        <f t="shared" ca="1" si="1"/>
        <v>0</v>
      </c>
      <c r="M15" s="465">
        <f t="shared" si="1"/>
        <v>12340.987642617252</v>
      </c>
      <c r="N15" s="465">
        <f t="shared" ca="1" si="1"/>
        <v>12628.524566916913</v>
      </c>
      <c r="O15" s="465">
        <f t="shared" si="1"/>
        <v>392.69845787337943</v>
      </c>
      <c r="P15" s="465">
        <f t="shared" si="1"/>
        <v>810.85355022788667</v>
      </c>
      <c r="Q15" s="465">
        <f t="shared" ca="1" si="1"/>
        <v>471510.81255624129</v>
      </c>
    </row>
    <row r="17" spans="1:17">
      <c r="A17" s="467" t="s">
        <v>547</v>
      </c>
      <c r="B17" s="784">
        <f ca="1">huishoudens!B10</f>
        <v>0.20934483994033157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7432.2139855963014</v>
      </c>
      <c r="C22" s="455">
        <f t="shared" ref="C22:C32" ca="1" si="3">C4*$C$17</f>
        <v>0</v>
      </c>
      <c r="D22" s="455">
        <f t="shared" ref="D22:D32" si="4">D4*$D$17</f>
        <v>26298.76836674281</v>
      </c>
      <c r="E22" s="455">
        <f t="shared" ref="E22:E32" si="5">E4*$E$17</f>
        <v>981.61106169730181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34712.593414036412</v>
      </c>
    </row>
    <row r="23" spans="1:17">
      <c r="A23" s="454" t="s">
        <v>155</v>
      </c>
      <c r="B23" s="455">
        <f t="shared" ca="1" si="2"/>
        <v>4074.2509494753308</v>
      </c>
      <c r="C23" s="455">
        <f t="shared" ca="1" si="3"/>
        <v>0</v>
      </c>
      <c r="D23" s="455">
        <f t="shared" ca="1" si="4"/>
        <v>5755.3975737063711</v>
      </c>
      <c r="E23" s="455">
        <f t="shared" si="5"/>
        <v>19.335073782465724</v>
      </c>
      <c r="F23" s="455">
        <f t="shared" ca="1" si="6"/>
        <v>1155.8362256113637</v>
      </c>
      <c r="G23" s="455">
        <f t="shared" si="7"/>
        <v>0</v>
      </c>
      <c r="H23" s="455">
        <f t="shared" si="8"/>
        <v>0</v>
      </c>
      <c r="I23" s="455">
        <f t="shared" si="9"/>
        <v>0</v>
      </c>
      <c r="J23" s="455">
        <f t="shared" si="10"/>
        <v>1.7201796545374286E-2</v>
      </c>
      <c r="K23" s="455">
        <f t="shared" si="11"/>
        <v>0</v>
      </c>
      <c r="L23" s="455">
        <f t="shared" ca="1" si="12"/>
        <v>0</v>
      </c>
      <c r="M23" s="455">
        <f t="shared" si="13"/>
        <v>0</v>
      </c>
      <c r="N23" s="455">
        <f t="shared" ca="1" si="14"/>
        <v>0</v>
      </c>
      <c r="O23" s="455">
        <f t="shared" si="15"/>
        <v>0</v>
      </c>
      <c r="P23" s="456">
        <f t="shared" si="16"/>
        <v>0</v>
      </c>
      <c r="Q23" s="454">
        <f t="shared" ref="Q23:Q31" ca="1" si="17">SUM(B23:P23)</f>
        <v>11004.837024372076</v>
      </c>
    </row>
    <row r="24" spans="1:17">
      <c r="A24" s="454" t="s">
        <v>193</v>
      </c>
      <c r="B24" s="455">
        <f t="shared" ca="1" si="2"/>
        <v>197.43081575448736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197.43081575448736</v>
      </c>
    </row>
    <row r="25" spans="1:17">
      <c r="A25" s="454" t="s">
        <v>111</v>
      </c>
      <c r="B25" s="455">
        <f t="shared" ca="1" si="2"/>
        <v>30.298964855127373</v>
      </c>
      <c r="C25" s="455">
        <f t="shared" ca="1" si="3"/>
        <v>0</v>
      </c>
      <c r="D25" s="455">
        <f t="shared" si="4"/>
        <v>18.146123749452872</v>
      </c>
      <c r="E25" s="455">
        <f t="shared" si="5"/>
        <v>1.225234998082992</v>
      </c>
      <c r="F25" s="455">
        <f t="shared" si="6"/>
        <v>125.37454398071272</v>
      </c>
      <c r="G25" s="455">
        <f t="shared" si="7"/>
        <v>0</v>
      </c>
      <c r="H25" s="455">
        <f t="shared" si="8"/>
        <v>0</v>
      </c>
      <c r="I25" s="455">
        <f t="shared" si="9"/>
        <v>0</v>
      </c>
      <c r="J25" s="455">
        <f t="shared" si="10"/>
        <v>13.449503997373098</v>
      </c>
      <c r="K25" s="455">
        <f t="shared" si="11"/>
        <v>0</v>
      </c>
      <c r="L25" s="455">
        <f t="shared" si="12"/>
        <v>0</v>
      </c>
      <c r="M25" s="455">
        <f t="shared" si="13"/>
        <v>0</v>
      </c>
      <c r="N25" s="455">
        <f t="shared" si="14"/>
        <v>0</v>
      </c>
      <c r="O25" s="455">
        <f t="shared" si="15"/>
        <v>0</v>
      </c>
      <c r="P25" s="456">
        <f t="shared" si="16"/>
        <v>0</v>
      </c>
      <c r="Q25" s="454">
        <f t="shared" ca="1" si="17"/>
        <v>188.49437158074903</v>
      </c>
    </row>
    <row r="26" spans="1:17">
      <c r="A26" s="454" t="s">
        <v>626</v>
      </c>
      <c r="B26" s="455">
        <f t="shared" ca="1" si="2"/>
        <v>334.93088348340018</v>
      </c>
      <c r="C26" s="455">
        <f t="shared" ca="1" si="3"/>
        <v>0</v>
      </c>
      <c r="D26" s="455">
        <f t="shared" si="4"/>
        <v>531.53395422821768</v>
      </c>
      <c r="E26" s="455">
        <f t="shared" si="5"/>
        <v>0.83518821105478369</v>
      </c>
      <c r="F26" s="455">
        <f t="shared" si="6"/>
        <v>90.115827843719217</v>
      </c>
      <c r="G26" s="455">
        <f t="shared" si="7"/>
        <v>0</v>
      </c>
      <c r="H26" s="455">
        <f t="shared" si="8"/>
        <v>0</v>
      </c>
      <c r="I26" s="455">
        <f t="shared" si="9"/>
        <v>0</v>
      </c>
      <c r="J26" s="455">
        <f t="shared" si="10"/>
        <v>3.4843771657023737E-2</v>
      </c>
      <c r="K26" s="455">
        <f t="shared" si="11"/>
        <v>0</v>
      </c>
      <c r="L26" s="455">
        <f t="shared" si="12"/>
        <v>0</v>
      </c>
      <c r="M26" s="455">
        <f t="shared" si="13"/>
        <v>0</v>
      </c>
      <c r="N26" s="455">
        <f t="shared" si="14"/>
        <v>0</v>
      </c>
      <c r="O26" s="455">
        <f t="shared" si="15"/>
        <v>0</v>
      </c>
      <c r="P26" s="456">
        <f t="shared" si="16"/>
        <v>0</v>
      </c>
      <c r="Q26" s="454">
        <f t="shared" ca="1" si="17"/>
        <v>957.45069753804887</v>
      </c>
    </row>
    <row r="27" spans="1:17" s="460" customFormat="1">
      <c r="A27" s="458" t="s">
        <v>552</v>
      </c>
      <c r="B27" s="778">
        <f t="shared" ca="1" si="2"/>
        <v>36.191347300649113</v>
      </c>
      <c r="C27" s="459">
        <f t="shared" ca="1" si="3"/>
        <v>0</v>
      </c>
      <c r="D27" s="459">
        <f t="shared" si="4"/>
        <v>145.35015247968602</v>
      </c>
      <c r="E27" s="459">
        <f t="shared" si="5"/>
        <v>97.954347735985678</v>
      </c>
      <c r="F27" s="459">
        <f t="shared" si="6"/>
        <v>0</v>
      </c>
      <c r="G27" s="459">
        <f t="shared" si="7"/>
        <v>42017.996117693787</v>
      </c>
      <c r="H27" s="459">
        <f t="shared" si="8"/>
        <v>11653.412981095866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53950.904946305978</v>
      </c>
    </row>
    <row r="28" spans="1:17" ht="16.5" customHeight="1">
      <c r="A28" s="454" t="s">
        <v>542</v>
      </c>
      <c r="B28" s="455">
        <f t="shared" ca="1" si="2"/>
        <v>0</v>
      </c>
      <c r="C28" s="455">
        <f t="shared" ca="1" si="3"/>
        <v>0</v>
      </c>
      <c r="D28" s="455">
        <f t="shared" si="4"/>
        <v>0</v>
      </c>
      <c r="E28" s="455">
        <f t="shared" si="5"/>
        <v>0</v>
      </c>
      <c r="F28" s="455">
        <f t="shared" si="6"/>
        <v>0</v>
      </c>
      <c r="G28" s="455">
        <f t="shared" si="7"/>
        <v>1118.5981134306703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1118.5981134306703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355.00295149233739</v>
      </c>
      <c r="C32" s="455">
        <f t="shared" ca="1" si="3"/>
        <v>0</v>
      </c>
      <c r="D32" s="455">
        <f t="shared" si="4"/>
        <v>1072.032041614254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1427.0349931065914</v>
      </c>
    </row>
    <row r="33" spans="1:17" s="466" customFormat="1">
      <c r="A33" s="464" t="s">
        <v>546</v>
      </c>
      <c r="B33" s="465">
        <f ca="1">SUM(B22:B32)</f>
        <v>12460.319897957634</v>
      </c>
      <c r="C33" s="465">
        <f t="shared" ref="C33:Q33" ca="1" si="19">SUM(C22:C32)</f>
        <v>0</v>
      </c>
      <c r="D33" s="465">
        <f t="shared" ca="1" si="19"/>
        <v>33821.228212520786</v>
      </c>
      <c r="E33" s="465">
        <f t="shared" si="19"/>
        <v>1100.9609064248909</v>
      </c>
      <c r="F33" s="465">
        <f t="shared" ca="1" si="19"/>
        <v>1371.3265974357957</v>
      </c>
      <c r="G33" s="465">
        <f t="shared" si="19"/>
        <v>43136.594231124458</v>
      </c>
      <c r="H33" s="465">
        <f t="shared" si="19"/>
        <v>11653.412981095866</v>
      </c>
      <c r="I33" s="465">
        <f t="shared" si="19"/>
        <v>0</v>
      </c>
      <c r="J33" s="465">
        <f t="shared" si="19"/>
        <v>13.501549565575495</v>
      </c>
      <c r="K33" s="465">
        <f t="shared" si="19"/>
        <v>0</v>
      </c>
      <c r="L33" s="465">
        <f t="shared" ca="1" si="19"/>
        <v>0</v>
      </c>
      <c r="M33" s="465">
        <f t="shared" si="19"/>
        <v>0</v>
      </c>
      <c r="N33" s="465">
        <f t="shared" ca="1" si="19"/>
        <v>0</v>
      </c>
      <c r="O33" s="465">
        <f t="shared" si="19"/>
        <v>0</v>
      </c>
      <c r="P33" s="465">
        <f t="shared" si="19"/>
        <v>0</v>
      </c>
      <c r="Q33" s="465">
        <f t="shared" ca="1" si="19"/>
        <v>103557.34437612499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3139.0114510839876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3139.0114510839876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0.20934483994033157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0.20934483994033157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2020-06-20T15:21:06Z</dcterms:modified>
</cp:coreProperties>
</file>