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22" i="59"/>
  <c r="C56" i="22"/>
  <c r="C58" i="22" s="1"/>
  <c r="D49" i="14" s="1"/>
  <c r="D52" i="14" s="1"/>
  <c r="C20" i="16"/>
  <c r="C22" i="16" s="1"/>
  <c r="D43" i="14" s="1"/>
  <c r="C10" i="17"/>
  <c r="C12" i="17" s="1"/>
  <c r="D54" i="14" s="1"/>
  <c r="D56" i="14" s="1"/>
  <c r="C17" i="19"/>
  <c r="C19" i="19" s="1"/>
  <c r="D39" i="14" s="1"/>
  <c r="C29" i="20"/>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C17" i="48" l="1"/>
  <c r="C24" i="48" s="1"/>
  <c r="D46" i="14"/>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<sst xmlns="http://schemas.openxmlformats.org/spreadsheetml/2006/main" count="2391" uniqueCount="881">
  <si>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</si>
  <si>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</si>
  <si>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</si>
  <si>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</si>
  <si>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</si>
  <si>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</si>
  <si>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</si>
  <si>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</si>
  <si>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</si>
  <si>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</si>
  <si>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</si>
  <si>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</si>
  <si>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</si>
  <si>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</si>
  <si>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</si>
  <si>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</si>
  <si>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</si>
  <si>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</si>
  <si>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</si>
  <si>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</si>
  <si>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</si>
  <si>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</si>
  <si>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</si>
  <si>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</si>
  <si>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</si>
  <si>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</si>
  <si>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</si>
  <si>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</si>
  <si>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</si>
  <si>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</si>
  <si>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</si>
  <si>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</si>
  <si>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</si>
  <si>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</si>
  <si>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</si>
  <si>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</si>
  <si>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</si>
  <si>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</si>
  <si>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</si>
  <si>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</si>
  <si>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</si>
  <si>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</si>
  <si>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</si>
  <si>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</si>
  <si>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</si>
  <si>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</si>
  <si>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</si>
  <si>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</si>
  <si>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</si>
  <si>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</si>
  <si>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</si>
  <si>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</si>
  <si>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</si>
  <si>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</si>
  <si>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</si>
  <si>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</si>
  <si>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</si>
  <si>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</si>
  <si>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</si>
  <si>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</si>
  <si>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</si>
  <si>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</si>
  <si>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</si>
  <si>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</si>
  <si>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</si>
  <si>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</si>
  <si>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</si>
  <si>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</si>
  <si>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</si>
  <si>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</si>
  <si>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</si>
  <si>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</si>
  <si>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</si>
  <si>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</si>
  <si>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</si>
  <si>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</si>
  <si>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</si>
  <si>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</si>
  <si>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</si>
  <si>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</si>
  <si>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</si>
  <si>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</si>
  <si>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</si>
  <si>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</si>
  <si>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</si>
  <si>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</si>
  <si>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</si>
  <si>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</si>
  <si>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</si>
  <si>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</si>
  <si>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</si>
  <si>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</si>
  <si>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</si>
  <si>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</si>
  <si>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</si>
  <si>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</si>
  <si>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</si>
  <si>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</si>
  <si>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</si>
  <si>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</si>
  <si>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</si>
  <si>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</si>
  <si>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</si>
  <si>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</si>
  <si>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</si>
  <si>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</si>
  <si>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</si>
  <si>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</si>
  <si>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</si>
  <si>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</si>
  <si>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</si>
  <si>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</si>
  <si>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</si>
  <si>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</si>
  <si>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</si>
  <si>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</si>
  <si>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</si>
  <si>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</si>
  <si>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</si>
  <si>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</si>
  <si>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</si>
  <si>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</si>
  <si>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</si>
  <si>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</si>
  <si>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</si>
  <si>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</si>
  <si>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</si>
  <si>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</si>
  <si>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</si>
  <si>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</si>
  <si>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</si>
  <si>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</si>
  <si>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</si>
  <si>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</si>
  <si>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</si>
  <si>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</si>
  <si>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</si>
  <si>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</si>
  <si>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</si>
  <si>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</si>
  <si>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</si>
  <si>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</si>
  <si>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</si>
  <si>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</si>
  <si>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</si>
  <si>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</si>
  <si>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</si>
  <si>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</si>
  <si>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</si>
  <si>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</si>
  <si>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</si>
  <si>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</si>
  <si>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</si>
  <si>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</si>
  <si>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</si>
  <si>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</si>
  <si>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</si>
  <si>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</si>
  <si>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</si>
  <si>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</si>
  <si>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</si>
  <si>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</si>
  <si>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</si>
  <si>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</si>
  <si>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</si>
  <si>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</si>
  <si>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</si>
  <si>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</si>
  <si>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</si>
  <si>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</si>
  <si>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</si>
  <si>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</si>
  <si>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</si>
  <si>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</si>
  <si>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</si>
  <si>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</si>
  <si>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</si>
  <si>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</si>
  <si>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</si>
  <si>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</si>
  <si>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</si>
  <si>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</si>
  <si>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</si>
  <si>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</si>
  <si>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</si>
  <si>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</si>
  <si>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</si>
  <si>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</si>
  <si>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</si>
  <si>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</si>
  <si>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</si>
  <si>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</si>
  <si>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</si>
  <si>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</si>
  <si>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</si>
  <si>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</si>
  <si>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</si>
  <si>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</si>
  <si>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</si>
  <si>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</si>
  <si>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</si>
  <si>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</si>
  <si>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</si>
  <si>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</si>
  <si>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</si>
  <si>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</si>
  <si>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</si>
  <si>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</si>
  <si>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</si>
  <si>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</si>
  <si>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</si>
  <si>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</si>
  <si>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</si>
  <si>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</si>
  <si>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</si>
  <si>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</si>
  <si>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</si>
  <si>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</si>
  <si>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</si>
  <si>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</si>
  <si>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</si>
  <si>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</si>
  <si>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</si>
  <si>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</si>
  <si>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</si>
  <si>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</si>
  <si>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</si>
  <si>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</si>
  <si>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</si>
  <si>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</si>
  <si>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</si>
  <si>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</si>
  <si>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</si>
  <si>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</si>
  <si>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</si>
  <si>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</si>
  <si>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</si>
  <si>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</si>
  <si>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</si>
  <si>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</si>
  <si>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</si>
  <si>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</si>
  <si>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</si>
  <si>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</si>
  <si>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</si>
  <si>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</si>
  <si>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</si>
  <si>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</si>
  <si>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</si>
  <si>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</si>
  <si>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</si>
  <si>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</si>
  <si>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</si>
  <si>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</si>
  <si>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</si>
  <si>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</si>
  <si>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</si>
  <si>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</si>
  <si>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</si>
  <si>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</si>
  <si>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</si>
  <si>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</si>
  <si>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</si>
  <si>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</si>
  <si>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</si>
  <si>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</si>
  <si>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</si>
  <si>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</si>
  <si>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</si>
  <si>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</si>
  <si>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</si>
  <si>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</si>
  <si>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</si>
  <si>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</si>
  <si>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</si>
  <si>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</si>
  <si>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</si>
  <si>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</si>
  <si>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</si>
  <si>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</si>
  <si>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</si>
  <si>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</si>
  <si>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</si>
  <si>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</si>
  <si>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</si>
  <si>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</si>
  <si>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</si>
  <si>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</si>
  <si>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</si>
  <si>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</si>
  <si>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</si>
  <si>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</si>
  <si>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</si>
  <si>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</si>
  <si>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</si>
  <si>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</si>
  <si>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</si>
  <si>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</si>
  <si>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</si>
  <si>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</si>
  <si>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</si>
  <si>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</si>
  <si>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</si>
  <si>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</si>
  <si>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</si>
  <si>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</si>
  <si>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</si>
  <si>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</si>
  <si>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</si>
  <si>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</si>
  <si>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</si>
  <si>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</si>
  <si>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</si>
  <si>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</si>
  <si>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</si>
  <si>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</si>
  <si>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</si>
  <si>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</si>
  <si>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</si>
  <si>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</si>
  <si>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</si>
  <si>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</si>
  <si>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</si>
  <si>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</si>
  <si>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</si>
  <si>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</si>
  <si>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</si>
  <si>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</si>
  <si>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</si>
  <si>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</si>
  <si>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</si>
  <si>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</si>
  <si>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</si>
  <si>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</si>
  <si>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</si>
  <si>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</si>
  <si>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</si>
  <si>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</si>
  <si>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</si>
  <si>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</si>
  <si>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</si>
  <si>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</si>
  <si>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</si>
  <si>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</si>
  <si>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</si>
  <si>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</si>
  <si>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</si>
  <si>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</si>
  <si>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</si>
  <si>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</si>
  <si>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</si>
  <si>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</si>
  <si>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</si>
  <si>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</si>
  <si>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</si>
  <si>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</si>
  <si>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</si>
  <si>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</si>
  <si>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</si>
  <si>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</si>
  <si>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</si>
  <si>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</si>
  <si>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</si>
  <si>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</si>
  <si>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</si>
  <si>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</si>
  <si>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</si>
  <si>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</si>
  <si>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</si>
  <si>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</si>
  <si>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</si>
  <si>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</si>
  <si>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</si>
  <si>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</si>
  <si>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</si>
  <si>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</si>
  <si>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</si>
  <si>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</si>
  <si>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</si>
  <si>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</si>
  <si>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</si>
  <si>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</si>
  <si>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</si>
  <si>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</si>
  <si>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</si>
  <si>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</si>
  <si>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</si>
  <si>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</si>
  <si>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</si>
  <si>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</si>
  <si>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</si>
  <si>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</si>
  <si>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</si>
  <si>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</si>
  <si>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</si>
  <si>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</si>
  <si>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</si>
  <si>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</si>
  <si>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</si>
  <si>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</si>
  <si>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</si>
  <si>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</si>
  <si>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</si>
  <si>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</si>
  <si>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</si>
  <si>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</si>
  <si>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</si>
  <si>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</si>
  <si>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</si>
  <si>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</si>
  <si>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</si>
  <si>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</si>
  <si>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</si>
  <si>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</si>
  <si>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</si>
  <si>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</si>
  <si>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</si>
  <si>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</si>
  <si>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</si>
  <si>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</si>
  <si>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</si>
  <si>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</si>
  <si>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</si>
  <si>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</si>
  <si>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</si>
  <si>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</si>
  <si>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</si>
  <si>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</si>
  <si>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</si>
  <si>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</si>
  <si>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</si>
  <si>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</si>
  <si>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</si>
  <si>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</si>
  <si>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</si>
  <si>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</si>
  <si>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</si>
  <si>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</si>
  <si>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</si>
  <si>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</si>
  <si>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</si>
  <si>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</si>
  <si>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</si>
  <si>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</si>
  <si>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</si>
  <si>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</si>
  <si>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</si>
  <si>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</si>
  <si>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</si>
  <si>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</si>
  <si>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</si>
  <si>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</si>
  <si>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</si>
  <si>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</si>
  <si>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</si>
  <si>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</si>
  <si>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</si>
  <si>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</si>
  <si>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</si>
  <si>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</si>
  <si>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</si>
  <si>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</si>
  <si>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</si>
  <si>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</si>
  <si>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</si>
  <si>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</si>
  <si>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</si>
  <si>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</si>
  <si>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</si>
  <si>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</si>
  <si>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</si>
  <si>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</si>
  <si>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</si>
  <si>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</si>
  <si>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</si>
  <si>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</si>
  <si>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</si>
  <si>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</si>
  <si>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</si>
  <si>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</si>
  <si>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</si>
  <si>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</si>
  <si>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</si>
  <si>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</si>
  <si>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</si>
  <si>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</si>
  <si>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</si>
  <si>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</si>
  <si>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</si>
  <si>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</si>
  <si>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</si>
  <si>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</si>
  <si>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</si>
  <si>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</si>
  <si>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</si>
  <si>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</si>
  <si>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</si>
  <si>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</si>
  <si>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</si>
  <si>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</si>
  <si>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</si>
  <si>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</si>
  <si>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</si>
  <si>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</si>
  <si>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</si>
  <si>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</si>
  <si>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</si>
  <si>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</si>
  <si>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</si>
  <si>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</si>
  <si>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</si>
  <si>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</si>
  <si>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</si>
  <si>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</si>
  <si>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</si>
  <si>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</si>
  <si>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</si>
  <si>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</si>
  <si>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</si>
  <si>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</si>
  <si>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</si>
  <si>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</si>
  <si>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</si>
  <si>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</si>
  <si>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</si>
  <si>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</si>
  <si>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</si>
  <si>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</si>
  <si>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</si>
  <si>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</si>
  <si>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</si>
  <si>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</si>
  <si>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</si>
  <si>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</si>
  <si>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</si>
  <si>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</si>
  <si>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</si>
  <si>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</si>
  <si>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</si>
  <si>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</si>
  <si>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</si>
  <si>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</si>
  <si>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</si>
  <si>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</si>
  <si>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</si>
  <si>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</si>
  <si>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</si>
  <si>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</si>
  <si>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</si>
  <si>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</si>
  <si>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</si>
  <si>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</si>
  <si>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</si>
  <si>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</si>
  <si>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</si>
  <si>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</si>
  <si>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</si>
  <si>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</si>
  <si>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</si>
  <si>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</si>
  <si>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</si>
  <si>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</si>
  <si>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</si>
  <si>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</si>
  <si>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</si>
  <si>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</si>
  <si>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</si>
  <si>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</si>
  <si>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</si>
  <si>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</si>
  <si>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</si>
  <si>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</si>
  <si>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</si>
  <si>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</si>
  <si>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</si>
  <si>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</si>
  <si>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</si>
  <si>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</si>
  <si>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</si>
  <si>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</si>
  <si>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</si>
  <si>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</si>
  <si>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</si>
  <si>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</si>
  <si>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</si>
  <si>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</si>
  <si>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</si>
  <si>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</si>
  <si>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</si>
  <si>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</si>
  <si>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</si>
  <si>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</si>
  <si>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</si>
  <si>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</si>
  <si>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</si>
  <si>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</si>
  <si>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</si>
  <si>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</si>
  <si>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</si>
  <si>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</si>
  <si>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</si>
  <si>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</si>
  <si>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</si>
  <si>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</si>
  <si>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</si>
  <si>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</si>
  <si>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</si>
  <si>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</si>
  <si>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</si>
  <si>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</si>
  <si>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</si>
  <si>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</si>
  <si>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</si>
  <si>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</si>
  <si>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</si>
  <si>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</si>
  <si>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</si>
  <si>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</si>
  <si>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</si>
  <si>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</si>
  <si>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</si>
  <si>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</si>
  <si>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</si>
  <si>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</si>
  <si>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</si>
  <si>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</si>
  <si>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</si>
  <si>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</si>
  <si>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</si>
  <si>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</si>
  <si>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</si>
  <si>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</si>
  <si>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</si>
  <si>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</si>
  <si>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</si>
  <si>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</si>
  <si>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</si>
  <si>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</si>
  <si>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</si>
  <si>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</si>
  <si>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</si>
  <si>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</si>
  <si>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</si>
  <si>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</si>
  <si>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</si>
  <si>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</si>
  <si>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</si>
  <si>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</si>
  <si>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</si>
  <si>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</si>
  <si>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</si>
  <si>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</si>
  <si>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</si>
  <si>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</si>
  <si>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</si>
  <si>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</si>
  <si>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</si>
  <si>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</si>
  <si>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</si>
  <si>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</si>
  <si>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</si>
  <si>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</si>
  <si>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</si>
  <si>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</si>
  <si>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</si>
  <si>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</si>
  <si>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</si>
  <si>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</si>
  <si>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</si>
  <si>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</si>
  <si>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</si>
  <si>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</si>
  <si>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</si>
  <si>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</si>
  <si>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</si>
  <si>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</si>
  <si>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</si>
  <si>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</si>
  <si>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</si>
  <si>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</si>
  <si>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</si>
  <si>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</si>
  <si>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</si>
  <si>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</si>
  <si>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</si>
  <si>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</si>
  <si>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</si>
  <si>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</si>
  <si>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</si>
  <si>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</si>
  <si>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</si>
  <si>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</si>
  <si>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</si>
  <si>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</si>
  <si>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</si>
  <si>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</si>
  <si>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</si>
  <si>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</si>
  <si>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</si>
  <si>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</si>
  <si>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</si>
  <si>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</si>
  <si>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</si>
  <si>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</si>
  <si>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</si>
  <si>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</si>
  <si>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</si>
  <si>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</si>
  <si>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</si>
  <si>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</si>
  <si>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</si>
  <si>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</si>
  <si>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</si>
  <si>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</si>
  <si>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</si>
  <si>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</si>
  <si>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</si>
  <si>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</si>
  <si>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</si>
  <si>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</si>
  <si>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</si>
  <si>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</si>
  <si>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</si>
  <si>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</si>
  <si>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</si>
  <si>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</si>
  <si>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</si>
  <si>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</si>
  <si>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</si>
  <si>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</si>
  <si>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</si>
  <si>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</si>
  <si>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</si>
  <si>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</si>
  <si>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</si>
  <si>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</si>
  <si>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</si>
  <si>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</si>
  <si>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</si>
  <si>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</si>
  <si>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</si>
  <si>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</si>
  <si>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</si>
  <si>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</si>
  <si>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</si>
  <si>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</si>
  <si>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</si>
  <si>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</si>
  <si>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</si>
  <si>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</si>
  <si>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</si>
  <si>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</si>
  <si>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</si>
  <si>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</si>
  <si>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</si>
  <si>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</si>
  <si>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</si>
  <si>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</si>
  <si>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</si>
  <si>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</si>
  <si>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</si>
  <si>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</si>
  <si>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</si>
  <si>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</si>
  <si>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</si>
  <si>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</si>
  <si>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</si>
  <si>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</si>
  <si>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</si>
  <si>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</si>
  <si>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</si>
  <si>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</si>
  <si>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</si>
  <si>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</si>
  <si>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</si>
  <si>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</si>
  <si>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</si>
  <si>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</si>
  <si>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</si>
  <si>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</si>
  <si>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</si>
  <si>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</si>
  <si>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</si>
  <si>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</si>
  <si>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</si>
  <si>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</si>
  <si>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</si>
  <si>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</si>
  <si>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</si>
  <si>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</si>
  <si>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</si>
  <si>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</si>
  <si>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</si>
  <si>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</si>
  <si>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</si>
  <si>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</si>
  <si>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</si>
  <si>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</si>
  <si>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</si>
  <si>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</si>
  <si>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</si>
  <si>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</si>
  <si>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</si>
  <si>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</si>
  <si>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</si>
  <si>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</si>
  <si>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</si>
  <si>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</si>
  <si>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</si>
  <si>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</si>
  <si>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</si>
  <si>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</si>
  <si>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</si>
  <si>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</si>
  <si>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</si>
  <si>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</si>
  <si>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</si>
  <si>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</si>
  <si>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</si>
  <si>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</si>
  <si>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</si>
  <si>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</si>
  <si>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</si>
  <si>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</si>
  <si>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</si>
  <si>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</si>
  <si>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</si>
  <si>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</si>
  <si>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</si>
  <si>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</si>
  <si>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</si>
  <si>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</si>
  <si>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</si>
  <si>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</si>
  <si>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</si>
  <si>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</si>
  <si>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</si>
  <si>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</si>
  <si>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</si>
  <si>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</si>
  <si>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</si>
  <si>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</si>
  <si>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</si>
  <si>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</si>
  <si>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</si>
  <si>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</si>
  <si>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</si>
  <si>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</si>
  <si>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</si>
  <si>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</si>
  <si>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</si>
  <si>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</si>
  <si>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</si>
  <si>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</si>
  <si>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</si>
  <si>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</si>
  <si>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</si>
  <si>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</si>
  <si>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</si>
  <si>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</si>
  <si>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</si>
  <si>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</si>
  <si>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24062</t>
  </si>
  <si>
    <t>LEUVEN</t>
  </si>
  <si>
    <t>referentietaak LNE (2017); Jaarverslag De Lijn</t>
  </si>
  <si>
    <t>Sterrekes Kinderdagverblijf vzw</t>
  </si>
  <si>
    <t>Geldenaaksebaan 438 , 3001 Heverlee</t>
  </si>
  <si>
    <t>WKK-0431 De Sterrekes Kinderdagverblijf</t>
  </si>
  <si>
    <t>interne verbrandingsmotor</t>
  </si>
  <si>
    <t>WKK interne verbrandinsgmotor (gas)</t>
  </si>
  <si>
    <t>IVERLEK</t>
  </si>
  <si>
    <t>WKK-0698 Lieven Herbots</t>
  </si>
  <si>
    <t>brandstofcel</t>
  </si>
  <si>
    <t>Bertemstraat 25 , 3001 Heverlee</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</si>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</sst>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678569.03640787455</c:v>
                </c:pt>
                <c:pt idx="1">
                  <c:v>1058324.0065668577</c:v>
                </c:pt>
                <c:pt idx="2">
                  <c:v>5117.3519999999999</c:v>
                </c:pt>
                <c:pt idx="3">
                  <c:v>9081.9867250696934</c:v>
                </c:pt>
                <c:pt idx="4">
                  <c:v>267715.43138441822</c:v>
                </c:pt>
                <c:pt idx="5">
                  <c:v>589729.60340776283</c:v>
                </c:pt>
                <c:pt idx="6">
                  <c:v>23434.904670362888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678569.03640787455</c:v>
                </c:pt>
                <c:pt idx="1">
                  <c:v>1058324.0065668577</c:v>
                </c:pt>
                <c:pt idx="2">
                  <c:v>5117.3519999999999</c:v>
                </c:pt>
                <c:pt idx="3">
                  <c:v>9081.9867250696934</c:v>
                </c:pt>
                <c:pt idx="4">
                  <c:v>267715.43138441822</c:v>
                </c:pt>
                <c:pt idx="5">
                  <c:v>589729.60340776283</c:v>
                </c:pt>
                <c:pt idx="6">
                  <c:v>23434.904670362888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139884.34719290928</c:v>
                </c:pt>
                <c:pt idx="1">
                  <c:v>222583.00845189989</c:v>
                </c:pt>
                <c:pt idx="2">
                  <c:v>1103.5980458251806</c:v>
                </c:pt>
                <c:pt idx="3">
                  <c:v>2309.0321421589965</c:v>
                </c:pt>
                <c:pt idx="4">
                  <c:v>56666.587647175642</c:v>
                </c:pt>
                <c:pt idx="5">
                  <c:v>146346.9672886164</c:v>
                </c:pt>
                <c:pt idx="6">
                  <c:v>5935.0499339684975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139884.34719290928</c:v>
                </c:pt>
                <c:pt idx="1">
                  <c:v>222583.00845189989</c:v>
                </c:pt>
                <c:pt idx="2">
                  <c:v>1103.5980458251806</c:v>
                </c:pt>
                <c:pt idx="3">
                  <c:v>2309.0321421589965</c:v>
                </c:pt>
                <c:pt idx="4">
                  <c:v>56666.587647175642</c:v>
                </c:pt>
                <c:pt idx="5">
                  <c:v>146346.9672886164</c:v>
                </c:pt>
                <c:pt idx="6">
                  <c:v>5935.0499339684975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24062</v>
      </c>
      <c r="B6" s="392"/>
      <c r="C6" s="393"/>
    </row>
    <row r="7" spans="1:7" s="390" customFormat="1" ht="15.75" customHeight="1">
      <c r="A7" s="394" t="str">
        <f>txtMunicipality</f>
        <v>LEUVEN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485653.47796734236</v>
      </c>
      <c r="D10" s="689">
        <f ca="1">tertiair!C16</f>
        <v>72.604247104247108</v>
      </c>
      <c r="E10" s="689">
        <f ca="1">tertiair!D16</f>
        <v>514612.47686152678</v>
      </c>
      <c r="F10" s="689">
        <f>tertiair!E16</f>
        <v>563.58540494598924</v>
      </c>
      <c r="G10" s="689">
        <f ca="1">tertiair!F16</f>
        <v>55635.55991982494</v>
      </c>
      <c r="H10" s="689">
        <f>tertiair!G16</f>
        <v>0</v>
      </c>
      <c r="I10" s="689">
        <f>tertiair!H16</f>
        <v>0</v>
      </c>
      <c r="J10" s="689">
        <f>tertiair!I16</f>
        <v>0</v>
      </c>
      <c r="K10" s="689">
        <f>tertiair!J16</f>
        <v>0.26097629749284362</v>
      </c>
      <c r="L10" s="689">
        <f>tertiair!K16</f>
        <v>0</v>
      </c>
      <c r="M10" s="689">
        <f ca="1">tertiair!L16</f>
        <v>0</v>
      </c>
      <c r="N10" s="689">
        <f>tertiair!M16</f>
        <v>0</v>
      </c>
      <c r="O10" s="689">
        <f ca="1">tertiair!N16</f>
        <v>5708.354060946217</v>
      </c>
      <c r="P10" s="689">
        <f>tertiair!O16</f>
        <v>39.178086126729234</v>
      </c>
      <c r="Q10" s="690">
        <f>tertiair!P16</f>
        <v>1155.8610427428903</v>
      </c>
      <c r="R10" s="692">
        <f ca="1">SUM(C10:Q10)</f>
        <v>1063441.3585668576</v>
      </c>
      <c r="S10" s="67"/>
    </row>
    <row r="11" spans="1:19" s="451" customFormat="1">
      <c r="A11" s="811" t="s">
        <v>224</v>
      </c>
      <c r="B11" s="816"/>
      <c r="C11" s="689">
        <f>huishoudens!B8</f>
        <v>140053.88770245927</v>
      </c>
      <c r="D11" s="689">
        <f>huishoudens!C8</f>
        <v>0</v>
      </c>
      <c r="E11" s="689">
        <f>huishoudens!D8</f>
        <v>393877.57090701303</v>
      </c>
      <c r="F11" s="689">
        <f>huishoudens!E8</f>
        <v>30183.330751452537</v>
      </c>
      <c r="G11" s="689">
        <f>huishoudens!F8</f>
        <v>87137.514676866776</v>
      </c>
      <c r="H11" s="689">
        <f>huishoudens!G8</f>
        <v>0</v>
      </c>
      <c r="I11" s="689">
        <f>huishoudens!H8</f>
        <v>0</v>
      </c>
      <c r="J11" s="689">
        <f>huishoudens!I8</f>
        <v>0</v>
      </c>
      <c r="K11" s="689">
        <f>huishoudens!J8</f>
        <v>0</v>
      </c>
      <c r="L11" s="689">
        <f>huishoudens!K8</f>
        <v>0</v>
      </c>
      <c r="M11" s="689">
        <f>huishoudens!L8</f>
        <v>0</v>
      </c>
      <c r="N11" s="689">
        <f>huishoudens!M8</f>
        <v>0</v>
      </c>
      <c r="O11" s="689">
        <f>huishoudens!N8</f>
        <v>23972.095641235021</v>
      </c>
      <c r="P11" s="689">
        <f>huishoudens!O8</f>
        <v>1648.6692803106234</v>
      </c>
      <c r="Q11" s="690">
        <f>huishoudens!P8</f>
        <v>1695.9674485372886</v>
      </c>
      <c r="R11" s="692">
        <f>SUM(C11:Q11)</f>
        <v>678569.03640787455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121837.15803005952</v>
      </c>
      <c r="D13" s="689">
        <f>industrie!C18</f>
        <v>0</v>
      </c>
      <c r="E13" s="689">
        <f>industrie!D18</f>
        <v>115253.54319308615</v>
      </c>
      <c r="F13" s="689">
        <f>industrie!E18</f>
        <v>828.24102791752205</v>
      </c>
      <c r="G13" s="689">
        <f>industrie!F18</f>
        <v>25921.903779724817</v>
      </c>
      <c r="H13" s="689">
        <f>industrie!G18</f>
        <v>0</v>
      </c>
      <c r="I13" s="689">
        <f>industrie!H18</f>
        <v>0</v>
      </c>
      <c r="J13" s="689">
        <f>industrie!I18</f>
        <v>0</v>
      </c>
      <c r="K13" s="689">
        <f>industrie!J18</f>
        <v>2.9704648129963092</v>
      </c>
      <c r="L13" s="689">
        <f>industrie!K18</f>
        <v>0</v>
      </c>
      <c r="M13" s="689">
        <f>industrie!L18</f>
        <v>0</v>
      </c>
      <c r="N13" s="689">
        <f>industrie!M18</f>
        <v>0</v>
      </c>
      <c r="O13" s="689">
        <f>industrie!N18</f>
        <v>3871.6148888172011</v>
      </c>
      <c r="P13" s="689">
        <f>industrie!O18</f>
        <v>0</v>
      </c>
      <c r="Q13" s="690">
        <f>industrie!P18</f>
        <v>0</v>
      </c>
      <c r="R13" s="692">
        <f>SUM(C13:Q13)</f>
        <v>267715.43138441822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747544.52369986114</v>
      </c>
      <c r="D16" s="725">
        <f t="shared" ref="D16:R16" ca="1" si="0">SUM(D9:D15)</f>
        <v>72.604247104247108</v>
      </c>
      <c r="E16" s="725">
        <f t="shared" ca="1" si="0"/>
        <v>1023743.5909616259</v>
      </c>
      <c r="F16" s="725">
        <f t="shared" si="0"/>
        <v>31575.157184316049</v>
      </c>
      <c r="G16" s="725">
        <f t="shared" ca="1" si="0"/>
        <v>168694.97837641652</v>
      </c>
      <c r="H16" s="725">
        <f t="shared" si="0"/>
        <v>0</v>
      </c>
      <c r="I16" s="725">
        <f t="shared" si="0"/>
        <v>0</v>
      </c>
      <c r="J16" s="725">
        <f t="shared" si="0"/>
        <v>0</v>
      </c>
      <c r="K16" s="725">
        <f t="shared" si="0"/>
        <v>3.2314411104891527</v>
      </c>
      <c r="L16" s="725">
        <f t="shared" si="0"/>
        <v>0</v>
      </c>
      <c r="M16" s="725">
        <f t="shared" ca="1" si="0"/>
        <v>0</v>
      </c>
      <c r="N16" s="725">
        <f t="shared" si="0"/>
        <v>0</v>
      </c>
      <c r="O16" s="725">
        <f t="shared" ca="1" si="0"/>
        <v>33552.064590998438</v>
      </c>
      <c r="P16" s="725">
        <f t="shared" si="0"/>
        <v>1687.8473664373528</v>
      </c>
      <c r="Q16" s="725">
        <f t="shared" si="0"/>
        <v>2851.8284912801792</v>
      </c>
      <c r="R16" s="725">
        <f t="shared" ca="1" si="0"/>
        <v>2009725.8263591505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22228.65143808426</v>
      </c>
      <c r="I19" s="689">
        <f>transport!H54</f>
        <v>0</v>
      </c>
      <c r="J19" s="689">
        <f>transport!I54</f>
        <v>0</v>
      </c>
      <c r="K19" s="689">
        <f>transport!J54</f>
        <v>0</v>
      </c>
      <c r="L19" s="689">
        <f>transport!K54</f>
        <v>0</v>
      </c>
      <c r="M19" s="689">
        <f>transport!L54</f>
        <v>0</v>
      </c>
      <c r="N19" s="689">
        <f>transport!M54</f>
        <v>1206.2532322786296</v>
      </c>
      <c r="O19" s="689">
        <f>transport!N54</f>
        <v>0</v>
      </c>
      <c r="P19" s="689">
        <f>transport!O54</f>
        <v>0</v>
      </c>
      <c r="Q19" s="690">
        <f>transport!P54</f>
        <v>0</v>
      </c>
      <c r="R19" s="692">
        <f>SUM(C19:Q19)</f>
        <v>23434.904670362888</v>
      </c>
      <c r="S19" s="67"/>
    </row>
    <row r="20" spans="1:19" s="451" customFormat="1">
      <c r="A20" s="811" t="s">
        <v>306</v>
      </c>
      <c r="B20" s="816"/>
      <c r="C20" s="689">
        <f>transport!B14</f>
        <v>458.5944956166789</v>
      </c>
      <c r="D20" s="689">
        <f>transport!C14</f>
        <v>0</v>
      </c>
      <c r="E20" s="689">
        <f>transport!D14</f>
        <v>1853.9757288995966</v>
      </c>
      <c r="F20" s="689">
        <f>transport!E14</f>
        <v>1120.5722192559633</v>
      </c>
      <c r="G20" s="689">
        <f>transport!F14</f>
        <v>0</v>
      </c>
      <c r="H20" s="689">
        <f>transport!G14</f>
        <v>432720.27111942502</v>
      </c>
      <c r="I20" s="689">
        <f>transport!H14</f>
        <v>120814.78844860867</v>
      </c>
      <c r="J20" s="689">
        <f>transport!I14</f>
        <v>0</v>
      </c>
      <c r="K20" s="689">
        <f>transport!J14</f>
        <v>0</v>
      </c>
      <c r="L20" s="689">
        <f>transport!K14</f>
        <v>0</v>
      </c>
      <c r="M20" s="689">
        <f>transport!L14</f>
        <v>0</v>
      </c>
      <c r="N20" s="689">
        <f>transport!M14</f>
        <v>32761.401395956869</v>
      </c>
      <c r="O20" s="689">
        <f>transport!N14</f>
        <v>0</v>
      </c>
      <c r="P20" s="689">
        <f>transport!O14</f>
        <v>0</v>
      </c>
      <c r="Q20" s="690">
        <f>transport!P14</f>
        <v>0</v>
      </c>
      <c r="R20" s="692">
        <f>SUM(C20:Q20)</f>
        <v>589729.60340776283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458.5944956166789</v>
      </c>
      <c r="D22" s="814">
        <f t="shared" ref="D22:R22" si="1">SUM(D18:D21)</f>
        <v>0</v>
      </c>
      <c r="E22" s="814">
        <f t="shared" si="1"/>
        <v>1853.9757288995966</v>
      </c>
      <c r="F22" s="814">
        <f t="shared" si="1"/>
        <v>1120.5722192559633</v>
      </c>
      <c r="G22" s="814">
        <f t="shared" si="1"/>
        <v>0</v>
      </c>
      <c r="H22" s="814">
        <f t="shared" si="1"/>
        <v>454948.92255750927</v>
      </c>
      <c r="I22" s="814">
        <f t="shared" si="1"/>
        <v>120814.78844860867</v>
      </c>
      <c r="J22" s="814">
        <f t="shared" si="1"/>
        <v>0</v>
      </c>
      <c r="K22" s="814">
        <f t="shared" si="1"/>
        <v>0</v>
      </c>
      <c r="L22" s="814">
        <f t="shared" si="1"/>
        <v>0</v>
      </c>
      <c r="M22" s="814">
        <f t="shared" si="1"/>
        <v>0</v>
      </c>
      <c r="N22" s="814">
        <f t="shared" si="1"/>
        <v>33967.654628235498</v>
      </c>
      <c r="O22" s="814">
        <f t="shared" si="1"/>
        <v>0</v>
      </c>
      <c r="P22" s="814">
        <f t="shared" si="1"/>
        <v>0</v>
      </c>
      <c r="Q22" s="814">
        <f t="shared" si="1"/>
        <v>0</v>
      </c>
      <c r="R22" s="814">
        <f t="shared" si="1"/>
        <v>613164.50807812577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1787.9176161103001</v>
      </c>
      <c r="D24" s="689">
        <f>+landbouw!C8</f>
        <v>0</v>
      </c>
      <c r="E24" s="689">
        <f>+landbouw!D8</f>
        <v>957.35936596881459</v>
      </c>
      <c r="F24" s="689">
        <f>+landbouw!E8</f>
        <v>66.676916754616101</v>
      </c>
      <c r="G24" s="689">
        <f>+landbouw!F8</f>
        <v>5800.6956252237751</v>
      </c>
      <c r="H24" s="689">
        <f>+landbouw!G8</f>
        <v>0</v>
      </c>
      <c r="I24" s="689">
        <f>+landbouw!H8</f>
        <v>0</v>
      </c>
      <c r="J24" s="689">
        <f>+landbouw!I8</f>
        <v>0</v>
      </c>
      <c r="K24" s="689">
        <f>+landbouw!J8</f>
        <v>469.33720101218699</v>
      </c>
      <c r="L24" s="689">
        <f>+landbouw!K8</f>
        <v>0</v>
      </c>
      <c r="M24" s="689">
        <f>+landbouw!L8</f>
        <v>0</v>
      </c>
      <c r="N24" s="689">
        <f>+landbouw!M8</f>
        <v>0</v>
      </c>
      <c r="O24" s="689">
        <f>+landbouw!N8</f>
        <v>0</v>
      </c>
      <c r="P24" s="689">
        <f>+landbouw!O8</f>
        <v>0</v>
      </c>
      <c r="Q24" s="690">
        <f>+landbouw!P8</f>
        <v>0</v>
      </c>
      <c r="R24" s="692">
        <f>SUM(C24:Q24)</f>
        <v>9081.9867250696934</v>
      </c>
      <c r="S24" s="67"/>
    </row>
    <row r="25" spans="1:19" s="451" customFormat="1" ht="15" thickBot="1">
      <c r="A25" s="833" t="s">
        <v>714</v>
      </c>
      <c r="B25" s="947"/>
      <c r="C25" s="948">
        <f>IF(Onbekend_ele_kWh="---",0,Onbekend_ele_kWh)/1000+IF(REST_rest_ele_kWh="---",0,REST_rest_ele_kWh)/1000</f>
        <v>9679.0552902260497</v>
      </c>
      <c r="D25" s="948"/>
      <c r="E25" s="948">
        <f>IF(onbekend_gas_kWh="---",0,onbekend_gas_kWh)/1000+IF(REST_rest_gas_kWh="---",0,REST_rest_gas_kWh)/1000</f>
        <v>33808.3215799389</v>
      </c>
      <c r="F25" s="948"/>
      <c r="G25" s="948"/>
      <c r="H25" s="948"/>
      <c r="I25" s="948"/>
      <c r="J25" s="948"/>
      <c r="K25" s="948"/>
      <c r="L25" s="948"/>
      <c r="M25" s="948"/>
      <c r="N25" s="948"/>
      <c r="O25" s="948"/>
      <c r="P25" s="948"/>
      <c r="Q25" s="949"/>
      <c r="R25" s="692">
        <f>SUM(C25:Q25)</f>
        <v>43487.376870164953</v>
      </c>
      <c r="S25" s="67"/>
    </row>
    <row r="26" spans="1:19" s="451" customFormat="1" ht="15.75" thickBot="1">
      <c r="A26" s="697" t="s">
        <v>715</v>
      </c>
      <c r="B26" s="819"/>
      <c r="C26" s="814">
        <f>SUM(C24:C25)</f>
        <v>11466.97290633635</v>
      </c>
      <c r="D26" s="814">
        <f t="shared" ref="D26:R26" si="2">SUM(D24:D25)</f>
        <v>0</v>
      </c>
      <c r="E26" s="814">
        <f t="shared" si="2"/>
        <v>34765.680945907712</v>
      </c>
      <c r="F26" s="814">
        <f t="shared" si="2"/>
        <v>66.676916754616101</v>
      </c>
      <c r="G26" s="814">
        <f t="shared" si="2"/>
        <v>5800.6956252237751</v>
      </c>
      <c r="H26" s="814">
        <f t="shared" si="2"/>
        <v>0</v>
      </c>
      <c r="I26" s="814">
        <f t="shared" si="2"/>
        <v>0</v>
      </c>
      <c r="J26" s="814">
        <f t="shared" si="2"/>
        <v>0</v>
      </c>
      <c r="K26" s="814">
        <f t="shared" si="2"/>
        <v>469.33720101218699</v>
      </c>
      <c r="L26" s="814">
        <f t="shared" si="2"/>
        <v>0</v>
      </c>
      <c r="M26" s="814">
        <f t="shared" si="2"/>
        <v>0</v>
      </c>
      <c r="N26" s="814">
        <f t="shared" si="2"/>
        <v>0</v>
      </c>
      <c r="O26" s="814">
        <f t="shared" si="2"/>
        <v>0</v>
      </c>
      <c r="P26" s="814">
        <f t="shared" si="2"/>
        <v>0</v>
      </c>
      <c r="Q26" s="814">
        <f t="shared" si="2"/>
        <v>0</v>
      </c>
      <c r="R26" s="814">
        <f t="shared" si="2"/>
        <v>52569.363595234645</v>
      </c>
      <c r="S26" s="67"/>
    </row>
    <row r="27" spans="1:19" s="451" customFormat="1" ht="17.25" thickTop="1" thickBot="1">
      <c r="A27" s="698" t="s">
        <v>115</v>
      </c>
      <c r="B27" s="806"/>
      <c r="C27" s="699">
        <f ca="1">C22+C16+C26</f>
        <v>759470.09110181418</v>
      </c>
      <c r="D27" s="699">
        <f t="shared" ref="D27:R27" ca="1" si="3">D22+D16+D26</f>
        <v>72.604247104247108</v>
      </c>
      <c r="E27" s="699">
        <f t="shared" ca="1" si="3"/>
        <v>1060363.2476364332</v>
      </c>
      <c r="F27" s="699">
        <f t="shared" si="3"/>
        <v>32762.406320326627</v>
      </c>
      <c r="G27" s="699">
        <f t="shared" ca="1" si="3"/>
        <v>174495.67400164029</v>
      </c>
      <c r="H27" s="699">
        <f t="shared" si="3"/>
        <v>454948.92255750927</v>
      </c>
      <c r="I27" s="699">
        <f t="shared" si="3"/>
        <v>120814.78844860867</v>
      </c>
      <c r="J27" s="699">
        <f t="shared" si="3"/>
        <v>0</v>
      </c>
      <c r="K27" s="699">
        <f t="shared" si="3"/>
        <v>472.56864212267612</v>
      </c>
      <c r="L27" s="699">
        <f t="shared" si="3"/>
        <v>0</v>
      </c>
      <c r="M27" s="699">
        <f t="shared" ca="1" si="3"/>
        <v>0</v>
      </c>
      <c r="N27" s="699">
        <f t="shared" si="3"/>
        <v>33967.654628235498</v>
      </c>
      <c r="O27" s="699">
        <f t="shared" ca="1" si="3"/>
        <v>33552.064590998438</v>
      </c>
      <c r="P27" s="699">
        <f t="shared" si="3"/>
        <v>1687.8473664373528</v>
      </c>
      <c r="Q27" s="699">
        <f t="shared" si="3"/>
        <v>2851.8284912801792</v>
      </c>
      <c r="R27" s="699">
        <f t="shared" ca="1" si="3"/>
        <v>2675459.6980325109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104735.07181701815</v>
      </c>
      <c r="D40" s="689">
        <f ca="1">tertiair!C20</f>
        <v>17.093583553182018</v>
      </c>
      <c r="E40" s="689">
        <f ca="1">tertiair!D20</f>
        <v>103951.72032602842</v>
      </c>
      <c r="F40" s="689">
        <f>tertiair!E20</f>
        <v>127.93388692273956</v>
      </c>
      <c r="G40" s="689">
        <f ca="1">tertiair!F20</f>
        <v>14854.694498593261</v>
      </c>
      <c r="H40" s="689">
        <f>tertiair!G20</f>
        <v>0</v>
      </c>
      <c r="I40" s="689">
        <f>tertiair!H20</f>
        <v>0</v>
      </c>
      <c r="J40" s="689">
        <f>tertiair!I20</f>
        <v>0</v>
      </c>
      <c r="K40" s="689">
        <f>tertiair!J20</f>
        <v>9.2385609312466643E-2</v>
      </c>
      <c r="L40" s="689">
        <f>tertiair!K20</f>
        <v>0</v>
      </c>
      <c r="M40" s="689">
        <f ca="1">tertiair!L20</f>
        <v>0</v>
      </c>
      <c r="N40" s="689">
        <f>tertiair!M20</f>
        <v>0</v>
      </c>
      <c r="O40" s="689">
        <f ca="1">tertiair!N20</f>
        <v>0</v>
      </c>
      <c r="P40" s="689">
        <f>tertiair!O20</f>
        <v>0</v>
      </c>
      <c r="Q40" s="772">
        <f>tertiair!P20</f>
        <v>0</v>
      </c>
      <c r="R40" s="852">
        <f t="shared" ca="1" si="4"/>
        <v>223686.60649772506</v>
      </c>
    </row>
    <row r="41" spans="1:18">
      <c r="A41" s="824" t="s">
        <v>224</v>
      </c>
      <c r="B41" s="831"/>
      <c r="C41" s="689">
        <f ca="1">huishoudens!B12</f>
        <v>30203.745370389479</v>
      </c>
      <c r="D41" s="689">
        <f ca="1">huishoudens!C12</f>
        <v>0</v>
      </c>
      <c r="E41" s="689">
        <f>huishoudens!D12</f>
        <v>79563.269323216635</v>
      </c>
      <c r="F41" s="689">
        <f>huishoudens!E12</f>
        <v>6851.6160805797263</v>
      </c>
      <c r="G41" s="689">
        <f>huishoudens!F12</f>
        <v>23265.71641872343</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139884.34719290928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26275.161355104632</v>
      </c>
      <c r="D43" s="689">
        <f ca="1">industrie!C22</f>
        <v>0</v>
      </c>
      <c r="E43" s="689">
        <f>industrie!D22</f>
        <v>23281.215725003403</v>
      </c>
      <c r="F43" s="689">
        <f>industrie!E22</f>
        <v>188.01071333727751</v>
      </c>
      <c r="G43" s="689">
        <f>industrie!F22</f>
        <v>6921.1483091865266</v>
      </c>
      <c r="H43" s="689">
        <f>industrie!G22</f>
        <v>0</v>
      </c>
      <c r="I43" s="689">
        <f>industrie!H22</f>
        <v>0</v>
      </c>
      <c r="J43" s="689">
        <f>industrie!I22</f>
        <v>0</v>
      </c>
      <c r="K43" s="689">
        <f>industrie!J22</f>
        <v>1.0515445438006934</v>
      </c>
      <c r="L43" s="689">
        <f>industrie!K22</f>
        <v>0</v>
      </c>
      <c r="M43" s="689">
        <f>industrie!L22</f>
        <v>0</v>
      </c>
      <c r="N43" s="689">
        <f>industrie!M22</f>
        <v>0</v>
      </c>
      <c r="O43" s="689">
        <f>industrie!N22</f>
        <v>0</v>
      </c>
      <c r="P43" s="689">
        <f>industrie!O22</f>
        <v>0</v>
      </c>
      <c r="Q43" s="772">
        <f>industrie!P22</f>
        <v>0</v>
      </c>
      <c r="R43" s="851">
        <f t="shared" ca="1" si="4"/>
        <v>56666.587647175642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161213.97854251228</v>
      </c>
      <c r="D46" s="725">
        <f t="shared" ref="D46:Q46" ca="1" si="5">SUM(D39:D45)</f>
        <v>17.093583553182018</v>
      </c>
      <c r="E46" s="725">
        <f t="shared" ca="1" si="5"/>
        <v>206796.20537424844</v>
      </c>
      <c r="F46" s="725">
        <f t="shared" si="5"/>
        <v>7167.5606808397433</v>
      </c>
      <c r="G46" s="725">
        <f t="shared" ca="1" si="5"/>
        <v>45041.559226503217</v>
      </c>
      <c r="H46" s="725">
        <f t="shared" si="5"/>
        <v>0</v>
      </c>
      <c r="I46" s="725">
        <f t="shared" si="5"/>
        <v>0</v>
      </c>
      <c r="J46" s="725">
        <f t="shared" si="5"/>
        <v>0</v>
      </c>
      <c r="K46" s="725">
        <f t="shared" si="5"/>
        <v>1.14393015311316</v>
      </c>
      <c r="L46" s="725">
        <f t="shared" si="5"/>
        <v>0</v>
      </c>
      <c r="M46" s="725">
        <f t="shared" ca="1" si="5"/>
        <v>0</v>
      </c>
      <c r="N46" s="725">
        <f t="shared" si="5"/>
        <v>0</v>
      </c>
      <c r="O46" s="725">
        <f t="shared" ca="1" si="5"/>
        <v>0</v>
      </c>
      <c r="P46" s="725">
        <f t="shared" si="5"/>
        <v>0</v>
      </c>
      <c r="Q46" s="725">
        <f t="shared" si="5"/>
        <v>0</v>
      </c>
      <c r="R46" s="725">
        <f ca="1">SUM(R39:R45)</f>
        <v>420237.54133780999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5935.0499339684975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5935.0499339684975</v>
      </c>
    </row>
    <row r="50" spans="1:18">
      <c r="A50" s="827" t="s">
        <v>306</v>
      </c>
      <c r="B50" s="837"/>
      <c r="C50" s="695">
        <f ca="1">transport!B18</f>
        <v>98.89958501755423</v>
      </c>
      <c r="D50" s="695">
        <f>transport!C18</f>
        <v>0</v>
      </c>
      <c r="E50" s="695">
        <f>transport!D18</f>
        <v>374.50309723771852</v>
      </c>
      <c r="F50" s="695">
        <f>transport!E18</f>
        <v>254.36989377110368</v>
      </c>
      <c r="G50" s="695">
        <f>transport!F18</f>
        <v>0</v>
      </c>
      <c r="H50" s="695">
        <f>transport!G18</f>
        <v>115536.31238888648</v>
      </c>
      <c r="I50" s="695">
        <f>transport!H18</f>
        <v>30082.882323703558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146346.9672886164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98.89958501755423</v>
      </c>
      <c r="D52" s="725">
        <f t="shared" ref="D52:Q52" ca="1" si="6">SUM(D48:D51)</f>
        <v>0</v>
      </c>
      <c r="E52" s="725">
        <f t="shared" si="6"/>
        <v>374.50309723771852</v>
      </c>
      <c r="F52" s="725">
        <f t="shared" si="6"/>
        <v>254.36989377110368</v>
      </c>
      <c r="G52" s="725">
        <f t="shared" si="6"/>
        <v>0</v>
      </c>
      <c r="H52" s="725">
        <f t="shared" si="6"/>
        <v>121471.36232285498</v>
      </c>
      <c r="I52" s="725">
        <f t="shared" si="6"/>
        <v>30082.882323703558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152282.01722258489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385.57878903693603</v>
      </c>
      <c r="D54" s="695">
        <f ca="1">+landbouw!C12</f>
        <v>0</v>
      </c>
      <c r="E54" s="695">
        <f>+landbouw!D12</f>
        <v>193.38659192570057</v>
      </c>
      <c r="F54" s="695">
        <f>+landbouw!E12</f>
        <v>15.135660103297855</v>
      </c>
      <c r="G54" s="695">
        <f>+landbouw!F12</f>
        <v>1548.7857319347481</v>
      </c>
      <c r="H54" s="695">
        <f>+landbouw!G12</f>
        <v>0</v>
      </c>
      <c r="I54" s="695">
        <f>+landbouw!H12</f>
        <v>0</v>
      </c>
      <c r="J54" s="695">
        <f>+landbouw!I12</f>
        <v>0</v>
      </c>
      <c r="K54" s="695">
        <f>+landbouw!J12</f>
        <v>166.1453691583142</v>
      </c>
      <c r="L54" s="695">
        <f>+landbouw!K12</f>
        <v>0</v>
      </c>
      <c r="M54" s="695">
        <f>+landbouw!L12</f>
        <v>0</v>
      </c>
      <c r="N54" s="695">
        <f>+landbouw!M12</f>
        <v>0</v>
      </c>
      <c r="O54" s="695">
        <f>+landbouw!N12</f>
        <v>0</v>
      </c>
      <c r="P54" s="695">
        <f>+landbouw!O12</f>
        <v>0</v>
      </c>
      <c r="Q54" s="696">
        <f>+landbouw!P12</f>
        <v>0</v>
      </c>
      <c r="R54" s="724">
        <f ca="1">SUM(C54:Q54)</f>
        <v>2309.0321421589965</v>
      </c>
    </row>
    <row r="55" spans="1:18" ht="15" thickBot="1">
      <c r="A55" s="827" t="s">
        <v>714</v>
      </c>
      <c r="B55" s="837"/>
      <c r="C55" s="695">
        <f ca="1">C25*'EF ele_warmte'!B12</f>
        <v>2087.3659861051856</v>
      </c>
      <c r="D55" s="695"/>
      <c r="E55" s="695">
        <f>E25*EF_CO2_aardgas</f>
        <v>6829.280959147658</v>
      </c>
      <c r="F55" s="695"/>
      <c r="G55" s="695"/>
      <c r="H55" s="695"/>
      <c r="I55" s="695"/>
      <c r="J55" s="695"/>
      <c r="K55" s="695"/>
      <c r="L55" s="695"/>
      <c r="M55" s="695"/>
      <c r="N55" s="695"/>
      <c r="O55" s="695"/>
      <c r="P55" s="695"/>
      <c r="Q55" s="696"/>
      <c r="R55" s="724">
        <f ca="1">SUM(C55:Q55)</f>
        <v>8916.6469452528436</v>
      </c>
    </row>
    <row r="56" spans="1:18" ht="15.75" thickBot="1">
      <c r="A56" s="825" t="s">
        <v>715</v>
      </c>
      <c r="B56" s="838"/>
      <c r="C56" s="725">
        <f ca="1">SUM(C54:C55)</f>
        <v>2472.9447751421217</v>
      </c>
      <c r="D56" s="725">
        <f t="shared" ref="D56:Q56" ca="1" si="7">SUM(D54:D55)</f>
        <v>0</v>
      </c>
      <c r="E56" s="725">
        <f t="shared" si="7"/>
        <v>7022.6675510733585</v>
      </c>
      <c r="F56" s="725">
        <f t="shared" si="7"/>
        <v>15.135660103297855</v>
      </c>
      <c r="G56" s="725">
        <f t="shared" si="7"/>
        <v>1548.7857319347481</v>
      </c>
      <c r="H56" s="725">
        <f t="shared" si="7"/>
        <v>0</v>
      </c>
      <c r="I56" s="725">
        <f t="shared" si="7"/>
        <v>0</v>
      </c>
      <c r="J56" s="725">
        <f t="shared" si="7"/>
        <v>0</v>
      </c>
      <c r="K56" s="725">
        <f t="shared" si="7"/>
        <v>166.1453691583142</v>
      </c>
      <c r="L56" s="725">
        <f t="shared" si="7"/>
        <v>0</v>
      </c>
      <c r="M56" s="725">
        <f t="shared" si="7"/>
        <v>0</v>
      </c>
      <c r="N56" s="725">
        <f t="shared" si="7"/>
        <v>0</v>
      </c>
      <c r="O56" s="725">
        <f t="shared" si="7"/>
        <v>0</v>
      </c>
      <c r="P56" s="725">
        <f t="shared" si="7"/>
        <v>0</v>
      </c>
      <c r="Q56" s="726">
        <f t="shared" si="7"/>
        <v>0</v>
      </c>
      <c r="R56" s="727">
        <f ca="1">SUM(R54:R55)</f>
        <v>11225.67908741184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163785.82290267196</v>
      </c>
      <c r="D61" s="733">
        <f t="shared" ref="D61:Q61" ca="1" si="8">D46+D52+D56</f>
        <v>17.093583553182018</v>
      </c>
      <c r="E61" s="733">
        <f t="shared" ca="1" si="8"/>
        <v>214193.37602255953</v>
      </c>
      <c r="F61" s="733">
        <f t="shared" si="8"/>
        <v>7437.0662347141442</v>
      </c>
      <c r="G61" s="733">
        <f t="shared" ca="1" si="8"/>
        <v>46590.344958437963</v>
      </c>
      <c r="H61" s="733">
        <f t="shared" si="8"/>
        <v>121471.36232285498</v>
      </c>
      <c r="I61" s="733">
        <f t="shared" si="8"/>
        <v>30082.882323703558</v>
      </c>
      <c r="J61" s="733">
        <f t="shared" si="8"/>
        <v>0</v>
      </c>
      <c r="K61" s="733">
        <f t="shared" si="8"/>
        <v>167.28929931142736</v>
      </c>
      <c r="L61" s="733">
        <f t="shared" si="8"/>
        <v>0</v>
      </c>
      <c r="M61" s="733">
        <f t="shared" ca="1" si="8"/>
        <v>0</v>
      </c>
      <c r="N61" s="733">
        <f t="shared" si="8"/>
        <v>0</v>
      </c>
      <c r="O61" s="733">
        <f t="shared" ca="1" si="8"/>
        <v>0</v>
      </c>
      <c r="P61" s="733">
        <f t="shared" si="8"/>
        <v>0</v>
      </c>
      <c r="Q61" s="733">
        <f t="shared" si="8"/>
        <v>0</v>
      </c>
      <c r="R61" s="733">
        <f ca="1">R46+R52+R56</f>
        <v>583745.23764780676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0.21565802896208447</v>
      </c>
      <c r="D63" s="779">
        <f t="shared" ca="1" si="9"/>
        <v>0.23543503630908252</v>
      </c>
      <c r="E63" s="973">
        <f t="shared" ca="1" si="9"/>
        <v>0.20200000000000001</v>
      </c>
      <c r="F63" s="779">
        <f t="shared" si="9"/>
        <v>0.22700000000000001</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16957.088374088253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50.800000000000004</v>
      </c>
      <c r="D76" s="956">
        <f>'lokale energieproductie'!C8</f>
        <v>59.208415071789062</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11.960099844501391</v>
      </c>
      <c r="R76" s="854">
        <v>0</v>
      </c>
    </row>
    <row r="77" spans="1:18" ht="15.75" thickBot="1">
      <c r="A77" s="749" t="s">
        <v>760</v>
      </c>
      <c r="B77" s="746">
        <f>'lokale energieproductie'!B9*IFERROR(SUM(I77:O77)/SUM(D77:O77),0)</f>
        <v>1404</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4011.4285714285716</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18361.088374088253</v>
      </c>
      <c r="C78" s="751">
        <f>SUM(C72:C77)</f>
        <v>50.800000000000004</v>
      </c>
      <c r="D78" s="752">
        <f t="shared" ref="D78:H78" si="10">SUM(D76:D77)</f>
        <v>59.208415071789062</v>
      </c>
      <c r="E78" s="752">
        <f t="shared" si="10"/>
        <v>0</v>
      </c>
      <c r="F78" s="752">
        <f t="shared" si="10"/>
        <v>0</v>
      </c>
      <c r="G78" s="752">
        <f t="shared" si="10"/>
        <v>0</v>
      </c>
      <c r="H78" s="752">
        <f t="shared" si="10"/>
        <v>0</v>
      </c>
      <c r="I78" s="752">
        <f>SUM(I76:I77)</f>
        <v>0</v>
      </c>
      <c r="J78" s="752">
        <f>SUM(J76:J77)</f>
        <v>4011.4285714285716</v>
      </c>
      <c r="K78" s="752">
        <f t="shared" ref="K78:L78" si="11">SUM(K76:K77)</f>
        <v>0</v>
      </c>
      <c r="L78" s="752">
        <f t="shared" si="11"/>
        <v>0</v>
      </c>
      <c r="M78" s="752">
        <f>SUM(M76:M77)</f>
        <v>0</v>
      </c>
      <c r="N78" s="752">
        <f>SUM(N76:N77)</f>
        <v>0</v>
      </c>
      <c r="O78" s="862">
        <f>SUM(O76:O77)</f>
        <v>0</v>
      </c>
      <c r="P78" s="753">
        <v>0</v>
      </c>
      <c r="Q78" s="753">
        <f>SUM(Q76:Q77)</f>
        <v>11.960099844501391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72.604247104247108</v>
      </c>
      <c r="D87" s="775">
        <f>'lokale energieproductie'!C17</f>
        <v>84.62170075832681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17.093583553182018</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72.604247104247108</v>
      </c>
      <c r="D90" s="751">
        <f t="shared" ref="D90:H90" si="12">SUM(D87:D89)</f>
        <v>84.62170075832681</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17.093583553182018</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140053.88770245927</v>
      </c>
      <c r="C4" s="455">
        <f>huishoudens!C8</f>
        <v>0</v>
      </c>
      <c r="D4" s="455">
        <f>huishoudens!D8</f>
        <v>393877.57090701303</v>
      </c>
      <c r="E4" s="455">
        <f>huishoudens!E8</f>
        <v>30183.330751452537</v>
      </c>
      <c r="F4" s="455">
        <f>huishoudens!F8</f>
        <v>87137.514676866776</v>
      </c>
      <c r="G4" s="455">
        <f>huishoudens!G8</f>
        <v>0</v>
      </c>
      <c r="H4" s="455">
        <f>huishoudens!H8</f>
        <v>0</v>
      </c>
      <c r="I4" s="455">
        <f>huishoudens!I8</f>
        <v>0</v>
      </c>
      <c r="J4" s="455">
        <f>huishoudens!J8</f>
        <v>0</v>
      </c>
      <c r="K4" s="455">
        <f>huishoudens!K8</f>
        <v>0</v>
      </c>
      <c r="L4" s="455">
        <f>huishoudens!L8</f>
        <v>0</v>
      </c>
      <c r="M4" s="455">
        <f>huishoudens!M8</f>
        <v>0</v>
      </c>
      <c r="N4" s="455">
        <f>huishoudens!N8</f>
        <v>23972.095641235021</v>
      </c>
      <c r="O4" s="455">
        <f>huishoudens!O8</f>
        <v>1648.6692803106234</v>
      </c>
      <c r="P4" s="456">
        <f>huishoudens!P8</f>
        <v>1695.9674485372886</v>
      </c>
      <c r="Q4" s="457">
        <f>SUM(B4:P4)</f>
        <v>678569.03640787455</v>
      </c>
    </row>
    <row r="5" spans="1:17">
      <c r="A5" s="454" t="s">
        <v>155</v>
      </c>
      <c r="B5" s="455">
        <f ca="1">tertiair!B16</f>
        <v>480536.12596734235</v>
      </c>
      <c r="C5" s="455">
        <f ca="1">tertiair!C16</f>
        <v>72.604247104247108</v>
      </c>
      <c r="D5" s="455">
        <f ca="1">tertiair!D16</f>
        <v>514612.47686152678</v>
      </c>
      <c r="E5" s="455">
        <f>tertiair!E16</f>
        <v>563.58540494598924</v>
      </c>
      <c r="F5" s="455">
        <f ca="1">tertiair!F16</f>
        <v>55635.55991982494</v>
      </c>
      <c r="G5" s="455">
        <f>tertiair!G16</f>
        <v>0</v>
      </c>
      <c r="H5" s="455">
        <f>tertiair!H16</f>
        <v>0</v>
      </c>
      <c r="I5" s="455">
        <f>tertiair!I16</f>
        <v>0</v>
      </c>
      <c r="J5" s="455">
        <f>tertiair!J16</f>
        <v>0.26097629749284362</v>
      </c>
      <c r="K5" s="455">
        <f>tertiair!K16</f>
        <v>0</v>
      </c>
      <c r="L5" s="455">
        <f ca="1">tertiair!L16</f>
        <v>0</v>
      </c>
      <c r="M5" s="455">
        <f>tertiair!M16</f>
        <v>0</v>
      </c>
      <c r="N5" s="455">
        <f ca="1">tertiair!N16</f>
        <v>5708.354060946217</v>
      </c>
      <c r="O5" s="455">
        <f>tertiair!O16</f>
        <v>39.178086126729234</v>
      </c>
      <c r="P5" s="456">
        <f>tertiair!P16</f>
        <v>1155.8610427428903</v>
      </c>
      <c r="Q5" s="454">
        <f t="shared" ref="Q5:Q14" ca="1" si="0">SUM(B5:P5)</f>
        <v>1058324.0065668577</v>
      </c>
    </row>
    <row r="6" spans="1:17">
      <c r="A6" s="454" t="s">
        <v>193</v>
      </c>
      <c r="B6" s="455">
        <f>'openbare verlichting'!B8</f>
        <v>5117.3519999999999</v>
      </c>
      <c r="C6" s="455"/>
      <c r="D6" s="455"/>
      <c r="E6" s="455"/>
      <c r="F6" s="455"/>
      <c r="G6" s="455"/>
      <c r="H6" s="455"/>
      <c r="I6" s="455"/>
      <c r="J6" s="455"/>
      <c r="K6" s="455"/>
      <c r="L6" s="455"/>
      <c r="M6" s="455"/>
      <c r="N6" s="455"/>
      <c r="O6" s="455"/>
      <c r="P6" s="456"/>
      <c r="Q6" s="454">
        <f t="shared" si="0"/>
        <v>5117.3519999999999</v>
      </c>
    </row>
    <row r="7" spans="1:17">
      <c r="A7" s="454" t="s">
        <v>111</v>
      </c>
      <c r="B7" s="455">
        <f>landbouw!B8</f>
        <v>1787.9176161103001</v>
      </c>
      <c r="C7" s="455">
        <f>landbouw!C8</f>
        <v>0</v>
      </c>
      <c r="D7" s="455">
        <f>landbouw!D8</f>
        <v>957.35936596881459</v>
      </c>
      <c r="E7" s="455">
        <f>landbouw!E8</f>
        <v>66.676916754616101</v>
      </c>
      <c r="F7" s="455">
        <f>landbouw!F8</f>
        <v>5800.6956252237751</v>
      </c>
      <c r="G7" s="455">
        <f>landbouw!G8</f>
        <v>0</v>
      </c>
      <c r="H7" s="455">
        <f>landbouw!H8</f>
        <v>0</v>
      </c>
      <c r="I7" s="455">
        <f>landbouw!I8</f>
        <v>0</v>
      </c>
      <c r="J7" s="455">
        <f>landbouw!J8</f>
        <v>469.33720101218699</v>
      </c>
      <c r="K7" s="455">
        <f>landbouw!K8</f>
        <v>0</v>
      </c>
      <c r="L7" s="455">
        <f>landbouw!L8</f>
        <v>0</v>
      </c>
      <c r="M7" s="455">
        <f>landbouw!M8</f>
        <v>0</v>
      </c>
      <c r="N7" s="455">
        <f>landbouw!N8</f>
        <v>0</v>
      </c>
      <c r="O7" s="455">
        <f>landbouw!O8</f>
        <v>0</v>
      </c>
      <c r="P7" s="456">
        <f>landbouw!P8</f>
        <v>0</v>
      </c>
      <c r="Q7" s="454">
        <f t="shared" si="0"/>
        <v>9081.9867250696934</v>
      </c>
    </row>
    <row r="8" spans="1:17">
      <c r="A8" s="454" t="s">
        <v>626</v>
      </c>
      <c r="B8" s="455">
        <f>industrie!B18</f>
        <v>121837.15803005952</v>
      </c>
      <c r="C8" s="455">
        <f>industrie!C18</f>
        <v>0</v>
      </c>
      <c r="D8" s="455">
        <f>industrie!D18</f>
        <v>115253.54319308615</v>
      </c>
      <c r="E8" s="455">
        <f>industrie!E18</f>
        <v>828.24102791752205</v>
      </c>
      <c r="F8" s="455">
        <f>industrie!F18</f>
        <v>25921.903779724817</v>
      </c>
      <c r="G8" s="455">
        <f>industrie!G18</f>
        <v>0</v>
      </c>
      <c r="H8" s="455">
        <f>industrie!H18</f>
        <v>0</v>
      </c>
      <c r="I8" s="455">
        <f>industrie!I18</f>
        <v>0</v>
      </c>
      <c r="J8" s="455">
        <f>industrie!J18</f>
        <v>2.9704648129963092</v>
      </c>
      <c r="K8" s="455">
        <f>industrie!K18</f>
        <v>0</v>
      </c>
      <c r="L8" s="455">
        <f>industrie!L18</f>
        <v>0</v>
      </c>
      <c r="M8" s="455">
        <f>industrie!M18</f>
        <v>0</v>
      </c>
      <c r="N8" s="455">
        <f>industrie!N18</f>
        <v>3871.6148888172011</v>
      </c>
      <c r="O8" s="455">
        <f>industrie!O18</f>
        <v>0</v>
      </c>
      <c r="P8" s="456">
        <f>industrie!P18</f>
        <v>0</v>
      </c>
      <c r="Q8" s="454">
        <f t="shared" si="0"/>
        <v>267715.43138441822</v>
      </c>
    </row>
    <row r="9" spans="1:17" s="460" customFormat="1">
      <c r="A9" s="458" t="s">
        <v>552</v>
      </c>
      <c r="B9" s="459">
        <f>transport!B14</f>
        <v>458.5944956166789</v>
      </c>
      <c r="C9" s="459">
        <f>transport!C14</f>
        <v>0</v>
      </c>
      <c r="D9" s="459">
        <f>transport!D14</f>
        <v>1853.9757288995966</v>
      </c>
      <c r="E9" s="459">
        <f>transport!E14</f>
        <v>1120.5722192559633</v>
      </c>
      <c r="F9" s="459">
        <f>transport!F14</f>
        <v>0</v>
      </c>
      <c r="G9" s="459">
        <f>transport!G14</f>
        <v>432720.27111942502</v>
      </c>
      <c r="H9" s="459">
        <f>transport!H14</f>
        <v>120814.78844860867</v>
      </c>
      <c r="I9" s="459">
        <f>transport!I14</f>
        <v>0</v>
      </c>
      <c r="J9" s="459">
        <f>transport!J14</f>
        <v>0</v>
      </c>
      <c r="K9" s="459">
        <f>transport!K14</f>
        <v>0</v>
      </c>
      <c r="L9" s="459">
        <f>transport!L14</f>
        <v>0</v>
      </c>
      <c r="M9" s="459">
        <f>transport!M14</f>
        <v>32761.401395956869</v>
      </c>
      <c r="N9" s="459">
        <f>transport!N14</f>
        <v>0</v>
      </c>
      <c r="O9" s="459">
        <f>transport!O14</f>
        <v>0</v>
      </c>
      <c r="P9" s="459">
        <f>transport!P14</f>
        <v>0</v>
      </c>
      <c r="Q9" s="458">
        <f>SUM(B9:P9)</f>
        <v>589729.60340776283</v>
      </c>
    </row>
    <row r="10" spans="1:17">
      <c r="A10" s="454" t="s">
        <v>542</v>
      </c>
      <c r="B10" s="455">
        <f>transport!B54</f>
        <v>0</v>
      </c>
      <c r="C10" s="455">
        <f>transport!C54</f>
        <v>0</v>
      </c>
      <c r="D10" s="455">
        <f>transport!D54</f>
        <v>0</v>
      </c>
      <c r="E10" s="455">
        <f>transport!E54</f>
        <v>0</v>
      </c>
      <c r="F10" s="455">
        <f>transport!F54</f>
        <v>0</v>
      </c>
      <c r="G10" s="455">
        <f>transport!G54</f>
        <v>22228.65143808426</v>
      </c>
      <c r="H10" s="455">
        <f>transport!H54</f>
        <v>0</v>
      </c>
      <c r="I10" s="455">
        <f>transport!I54</f>
        <v>0</v>
      </c>
      <c r="J10" s="455">
        <f>transport!J54</f>
        <v>0</v>
      </c>
      <c r="K10" s="455">
        <f>transport!K54</f>
        <v>0</v>
      </c>
      <c r="L10" s="455">
        <f>transport!L54</f>
        <v>0</v>
      </c>
      <c r="M10" s="455">
        <f>transport!M54</f>
        <v>1206.2532322786296</v>
      </c>
      <c r="N10" s="455">
        <f>transport!N54</f>
        <v>0</v>
      </c>
      <c r="O10" s="455">
        <f>transport!O54</f>
        <v>0</v>
      </c>
      <c r="P10" s="456">
        <f>transport!P54</f>
        <v>0</v>
      </c>
      <c r="Q10" s="454">
        <f t="shared" si="0"/>
        <v>23434.904670362888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9679.0552902260497</v>
      </c>
      <c r="C14" s="462"/>
      <c r="D14" s="462">
        <f>'SEAP template'!E25</f>
        <v>33808.3215799389</v>
      </c>
      <c r="E14" s="462"/>
      <c r="F14" s="462"/>
      <c r="G14" s="462"/>
      <c r="H14" s="462"/>
      <c r="I14" s="462"/>
      <c r="J14" s="462"/>
      <c r="K14" s="462"/>
      <c r="L14" s="462"/>
      <c r="M14" s="462"/>
      <c r="N14" s="462"/>
      <c r="O14" s="462"/>
      <c r="P14" s="463"/>
      <c r="Q14" s="454">
        <f t="shared" si="0"/>
        <v>43487.376870164953</v>
      </c>
    </row>
    <row r="15" spans="1:17" s="466" customFormat="1">
      <c r="A15" s="464" t="s">
        <v>546</v>
      </c>
      <c r="B15" s="465">
        <f ca="1">SUM(B4:B14)</f>
        <v>759470.09110181418</v>
      </c>
      <c r="C15" s="465">
        <f t="shared" ref="C15:Q15" ca="1" si="1">SUM(C4:C14)</f>
        <v>72.604247104247108</v>
      </c>
      <c r="D15" s="465">
        <f t="shared" ca="1" si="1"/>
        <v>1060363.2476364332</v>
      </c>
      <c r="E15" s="465">
        <f t="shared" si="1"/>
        <v>32762.406320326627</v>
      </c>
      <c r="F15" s="465">
        <f t="shared" ca="1" si="1"/>
        <v>174495.67400164029</v>
      </c>
      <c r="G15" s="465">
        <f t="shared" si="1"/>
        <v>454948.92255750927</v>
      </c>
      <c r="H15" s="465">
        <f t="shared" si="1"/>
        <v>120814.78844860867</v>
      </c>
      <c r="I15" s="465">
        <f t="shared" si="1"/>
        <v>0</v>
      </c>
      <c r="J15" s="465">
        <f t="shared" si="1"/>
        <v>472.56864212267612</v>
      </c>
      <c r="K15" s="465">
        <f t="shared" si="1"/>
        <v>0</v>
      </c>
      <c r="L15" s="465">
        <f t="shared" ca="1" si="1"/>
        <v>0</v>
      </c>
      <c r="M15" s="465">
        <f t="shared" si="1"/>
        <v>33967.654628235498</v>
      </c>
      <c r="N15" s="465">
        <f t="shared" ca="1" si="1"/>
        <v>33552.064590998438</v>
      </c>
      <c r="O15" s="465">
        <f t="shared" si="1"/>
        <v>1687.8473664373528</v>
      </c>
      <c r="P15" s="465">
        <f t="shared" si="1"/>
        <v>2851.8284912801792</v>
      </c>
      <c r="Q15" s="465">
        <f t="shared" ca="1" si="1"/>
        <v>2675459.6980325109</v>
      </c>
    </row>
    <row r="17" spans="1:17">
      <c r="A17" s="467" t="s">
        <v>547</v>
      </c>
      <c r="B17" s="784">
        <f ca="1">huishoudens!B10</f>
        <v>0.21565802896208441</v>
      </c>
      <c r="C17" s="784">
        <f ca="1">huishoudens!C10</f>
        <v>0.23543503630908252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30203.745370389479</v>
      </c>
      <c r="C22" s="455">
        <f t="shared" ref="C22:C32" ca="1" si="3">C4*$C$17</f>
        <v>0</v>
      </c>
      <c r="D22" s="455">
        <f t="shared" ref="D22:D32" si="4">D4*$D$17</f>
        <v>79563.269323216635</v>
      </c>
      <c r="E22" s="455">
        <f t="shared" ref="E22:E32" si="5">E4*$E$17</f>
        <v>6851.6160805797263</v>
      </c>
      <c r="F22" s="455">
        <f t="shared" ref="F22:F32" si="6">F4*$F$17</f>
        <v>23265.71641872343</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139884.34719290928</v>
      </c>
    </row>
    <row r="23" spans="1:17">
      <c r="A23" s="454" t="s">
        <v>155</v>
      </c>
      <c r="B23" s="455">
        <f t="shared" ca="1" si="2"/>
        <v>103631.47377119296</v>
      </c>
      <c r="C23" s="455">
        <f t="shared" ca="1" si="3"/>
        <v>17.093583553182018</v>
      </c>
      <c r="D23" s="455">
        <f t="shared" ca="1" si="4"/>
        <v>103951.72032602842</v>
      </c>
      <c r="E23" s="455">
        <f t="shared" si="5"/>
        <v>127.93388692273956</v>
      </c>
      <c r="F23" s="455">
        <f t="shared" ca="1" si="6"/>
        <v>14854.694498593261</v>
      </c>
      <c r="G23" s="455">
        <f t="shared" si="7"/>
        <v>0</v>
      </c>
      <c r="H23" s="455">
        <f t="shared" si="8"/>
        <v>0</v>
      </c>
      <c r="I23" s="455">
        <f t="shared" si="9"/>
        <v>0</v>
      </c>
      <c r="J23" s="455">
        <f t="shared" si="10"/>
        <v>9.2385609312466643E-2</v>
      </c>
      <c r="K23" s="455">
        <f t="shared" si="11"/>
        <v>0</v>
      </c>
      <c r="L23" s="455">
        <f t="shared" ca="1" si="12"/>
        <v>0</v>
      </c>
      <c r="M23" s="455">
        <f t="shared" si="13"/>
        <v>0</v>
      </c>
      <c r="N23" s="455">
        <f t="shared" ca="1" si="14"/>
        <v>0</v>
      </c>
      <c r="O23" s="455">
        <f t="shared" si="15"/>
        <v>0</v>
      </c>
      <c r="P23" s="456">
        <f t="shared" si="16"/>
        <v>0</v>
      </c>
      <c r="Q23" s="454">
        <f t="shared" ref="Q23:Q31" ca="1" si="17">SUM(B23:P23)</f>
        <v>222583.00845189989</v>
      </c>
    </row>
    <row r="24" spans="1:17">
      <c r="A24" s="454" t="s">
        <v>193</v>
      </c>
      <c r="B24" s="455">
        <f t="shared" ca="1" si="2"/>
        <v>1103.5980458251806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1103.5980458251806</v>
      </c>
    </row>
    <row r="25" spans="1:17">
      <c r="A25" s="454" t="s">
        <v>111</v>
      </c>
      <c r="B25" s="455">
        <f t="shared" ca="1" si="2"/>
        <v>385.57878903693603</v>
      </c>
      <c r="C25" s="455">
        <f t="shared" ca="1" si="3"/>
        <v>0</v>
      </c>
      <c r="D25" s="455">
        <f t="shared" si="4"/>
        <v>193.38659192570057</v>
      </c>
      <c r="E25" s="455">
        <f t="shared" si="5"/>
        <v>15.135660103297855</v>
      </c>
      <c r="F25" s="455">
        <f t="shared" si="6"/>
        <v>1548.7857319347481</v>
      </c>
      <c r="G25" s="455">
        <f t="shared" si="7"/>
        <v>0</v>
      </c>
      <c r="H25" s="455">
        <f t="shared" si="8"/>
        <v>0</v>
      </c>
      <c r="I25" s="455">
        <f t="shared" si="9"/>
        <v>0</v>
      </c>
      <c r="J25" s="455">
        <f t="shared" si="10"/>
        <v>166.1453691583142</v>
      </c>
      <c r="K25" s="455">
        <f t="shared" si="11"/>
        <v>0</v>
      </c>
      <c r="L25" s="455">
        <f t="shared" si="12"/>
        <v>0</v>
      </c>
      <c r="M25" s="455">
        <f t="shared" si="13"/>
        <v>0</v>
      </c>
      <c r="N25" s="455">
        <f t="shared" si="14"/>
        <v>0</v>
      </c>
      <c r="O25" s="455">
        <f t="shared" si="15"/>
        <v>0</v>
      </c>
      <c r="P25" s="456">
        <f t="shared" si="16"/>
        <v>0</v>
      </c>
      <c r="Q25" s="454">
        <f t="shared" ca="1" si="17"/>
        <v>2309.0321421589965</v>
      </c>
    </row>
    <row r="26" spans="1:17">
      <c r="A26" s="454" t="s">
        <v>626</v>
      </c>
      <c r="B26" s="455">
        <f t="shared" ca="1" si="2"/>
        <v>26275.161355104632</v>
      </c>
      <c r="C26" s="455">
        <f t="shared" ca="1" si="3"/>
        <v>0</v>
      </c>
      <c r="D26" s="455">
        <f t="shared" si="4"/>
        <v>23281.215725003403</v>
      </c>
      <c r="E26" s="455">
        <f t="shared" si="5"/>
        <v>188.01071333727751</v>
      </c>
      <c r="F26" s="455">
        <f t="shared" si="6"/>
        <v>6921.1483091865266</v>
      </c>
      <c r="G26" s="455">
        <f t="shared" si="7"/>
        <v>0</v>
      </c>
      <c r="H26" s="455">
        <f t="shared" si="8"/>
        <v>0</v>
      </c>
      <c r="I26" s="455">
        <f t="shared" si="9"/>
        <v>0</v>
      </c>
      <c r="J26" s="455">
        <f t="shared" si="10"/>
        <v>1.0515445438006934</v>
      </c>
      <c r="K26" s="455">
        <f t="shared" si="11"/>
        <v>0</v>
      </c>
      <c r="L26" s="455">
        <f t="shared" si="12"/>
        <v>0</v>
      </c>
      <c r="M26" s="455">
        <f t="shared" si="13"/>
        <v>0</v>
      </c>
      <c r="N26" s="455">
        <f t="shared" si="14"/>
        <v>0</v>
      </c>
      <c r="O26" s="455">
        <f t="shared" si="15"/>
        <v>0</v>
      </c>
      <c r="P26" s="456">
        <f t="shared" si="16"/>
        <v>0</v>
      </c>
      <c r="Q26" s="454">
        <f t="shared" ca="1" si="17"/>
        <v>56666.587647175642</v>
      </c>
    </row>
    <row r="27" spans="1:17" s="460" customFormat="1">
      <c r="A27" s="458" t="s">
        <v>552</v>
      </c>
      <c r="B27" s="778">
        <f t="shared" ca="1" si="2"/>
        <v>98.89958501755423</v>
      </c>
      <c r="C27" s="459">
        <f t="shared" ca="1" si="3"/>
        <v>0</v>
      </c>
      <c r="D27" s="459">
        <f t="shared" si="4"/>
        <v>374.50309723771852</v>
      </c>
      <c r="E27" s="459">
        <f t="shared" si="5"/>
        <v>254.36989377110368</v>
      </c>
      <c r="F27" s="459">
        <f t="shared" si="6"/>
        <v>0</v>
      </c>
      <c r="G27" s="459">
        <f t="shared" si="7"/>
        <v>115536.31238888648</v>
      </c>
      <c r="H27" s="459">
        <f t="shared" si="8"/>
        <v>30082.882323703558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146346.9672886164</v>
      </c>
    </row>
    <row r="28" spans="1:17" ht="16.5" customHeight="1">
      <c r="A28" s="454" t="s">
        <v>542</v>
      </c>
      <c r="B28" s="455">
        <f t="shared" ca="1" si="2"/>
        <v>0</v>
      </c>
      <c r="C28" s="455">
        <f t="shared" ca="1" si="3"/>
        <v>0</v>
      </c>
      <c r="D28" s="455">
        <f t="shared" si="4"/>
        <v>0</v>
      </c>
      <c r="E28" s="455">
        <f t="shared" si="5"/>
        <v>0</v>
      </c>
      <c r="F28" s="455">
        <f t="shared" si="6"/>
        <v>0</v>
      </c>
      <c r="G28" s="455">
        <f t="shared" si="7"/>
        <v>5935.0499339684975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5935.0499339684975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2087.3659861051856</v>
      </c>
      <c r="C32" s="455">
        <f t="shared" ca="1" si="3"/>
        <v>0</v>
      </c>
      <c r="D32" s="455">
        <f t="shared" si="4"/>
        <v>6829.280959147658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8916.6469452528436</v>
      </c>
    </row>
    <row r="33" spans="1:17" s="466" customFormat="1">
      <c r="A33" s="464" t="s">
        <v>546</v>
      </c>
      <c r="B33" s="465">
        <f ca="1">SUM(B22:B32)</f>
        <v>163785.82290267193</v>
      </c>
      <c r="C33" s="465">
        <f t="shared" ref="C33:Q33" ca="1" si="19">SUM(C22:C32)</f>
        <v>17.093583553182018</v>
      </c>
      <c r="D33" s="465">
        <f t="shared" ca="1" si="19"/>
        <v>214193.37602255953</v>
      </c>
      <c r="E33" s="465">
        <f t="shared" si="19"/>
        <v>7437.0662347141442</v>
      </c>
      <c r="F33" s="465">
        <f t="shared" ca="1" si="19"/>
        <v>46590.34495843797</v>
      </c>
      <c r="G33" s="465">
        <f t="shared" si="19"/>
        <v>121471.36232285498</v>
      </c>
      <c r="H33" s="465">
        <f t="shared" si="19"/>
        <v>30082.882323703558</v>
      </c>
      <c r="I33" s="465">
        <f t="shared" si="19"/>
        <v>0</v>
      </c>
      <c r="J33" s="465">
        <f t="shared" si="19"/>
        <v>167.28929931142736</v>
      </c>
      <c r="K33" s="465">
        <f t="shared" si="19"/>
        <v>0</v>
      </c>
      <c r="L33" s="465">
        <f t="shared" ca="1" si="19"/>
        <v>0</v>
      </c>
      <c r="M33" s="465">
        <f t="shared" si="19"/>
        <v>0</v>
      </c>
      <c r="N33" s="465">
        <f t="shared" ca="1" si="19"/>
        <v>0</v>
      </c>
      <c r="O33" s="465">
        <f t="shared" si="19"/>
        <v>0</v>
      </c>
      <c r="P33" s="465">
        <f t="shared" si="19"/>
        <v>0</v>
      </c>
      <c r="Q33" s="465">
        <f t="shared" ca="1" si="19"/>
        <v>583745.23764780676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16957.088374088253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50.800000000000004</v>
      </c>
      <c r="D8" s="1026">
        <f>'SEAP template'!D76</f>
        <v>59.208415071789062</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11.960099844501391</v>
      </c>
    </row>
    <row r="9" spans="1:16">
      <c r="A9" s="1032" t="s">
        <v>761</v>
      </c>
      <c r="B9" s="1026">
        <f>'SEAP template'!B77</f>
        <v>1404</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4011.4285714285716</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18361.088374088253</v>
      </c>
      <c r="C10" s="1028">
        <f>SUM(C4:C9)</f>
        <v>50.800000000000004</v>
      </c>
      <c r="D10" s="1028">
        <f t="shared" ref="D10:H10" si="0">SUM(D8:D9)</f>
        <v>59.208415071789062</v>
      </c>
      <c r="E10" s="1028">
        <f t="shared" si="0"/>
        <v>0</v>
      </c>
      <c r="F10" s="1028">
        <f t="shared" si="0"/>
        <v>0</v>
      </c>
      <c r="G10" s="1028">
        <f t="shared" si="0"/>
        <v>0</v>
      </c>
      <c r="H10" s="1028">
        <f t="shared" si="0"/>
        <v>0</v>
      </c>
      <c r="I10" s="1028">
        <f>SUM(I8:I9)</f>
        <v>0</v>
      </c>
      <c r="J10" s="1028">
        <f>SUM(J8:J9)</f>
        <v>4011.4285714285716</v>
      </c>
      <c r="K10" s="1028">
        <f t="shared" ref="K10:L10" si="1">SUM(K8:K9)</f>
        <v>0</v>
      </c>
      <c r="L10" s="1028">
        <f t="shared" si="1"/>
        <v>0</v>
      </c>
      <c r="M10" s="1028">
        <f>SUM(M8:M9)</f>
        <v>0</v>
      </c>
      <c r="N10" s="1028">
        <f>SUM(N8:N9)</f>
        <v>0</v>
      </c>
      <c r="O10" s="1028">
        <f>SUM(O8:O9)</f>
        <v>0</v>
      </c>
      <c r="P10" s="1028">
        <f>SUM(P8:P9)</f>
        <v>11.960099844501391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0.21565802896208441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72.604247104247108</v>
      </c>
      <c r="D17" s="1027">
        <f>'SEAP template'!D87</f>
        <v>84.62170075832681</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17.093583553182018</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72.604247104247108</v>
      </c>
      <c r="D20" s="1028">
        <f t="shared" ref="D20:H20" si="2">SUM(D17:D19)</f>
        <v>84.62170075832681</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17.093583553182018</v>
      </c>
    </row>
    <row r="21" spans="1:16">
      <c r="B21" s="890"/>
    </row>
    <row r="22" spans="1:16">
      <c r="A22" s="467" t="s">
        <v>773</v>
      </c>
      <c r="B22" s="784" t="s">
        <v>771</v>
      </c>
      <c r="C22" s="784">
        <f ca="1">'EF ele_warmte'!B22</f>
        <v>0.23543503630908252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0.21565802896208441</v>
      </c>
      <c r="C17" s="504">
        <f ca="1">'EF ele_warmte'!B22</f>
        <v>0.23543503630908252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3</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4.6900000000000004</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0.21565802896208441</v>
      </c>
      <c r="C17" s="504">
        <f ca="1">'EF ele_warmte'!B22</f>
        <v>0.23543503630908252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0.21565802896208441</v>
      </c>
      <c r="C29" s="505">
        <f ca="1">'EF ele_warmte'!B22</f>
        <v>0.23543503630908252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50386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1065.95</v>
      </c>
      <c r="C14" s="332"/>
      <c r="D14" s="332"/>
      <c r="E14" s="332"/>
      <c r="F14" s="332"/>
    </row>
    <row r="15" spans="1:6">
      <c r="A15" s="1310" t="s">
        <v>183</v>
      </c>
      <c r="B15" s="1311">
        <v>3</v>
      </c>
      <c r="C15" s="332"/>
      <c r="D15" s="332"/>
      <c r="E15" s="332"/>
      <c r="F15" s="332"/>
    </row>
    <row r="16" spans="1:6">
      <c r="A16" s="1310" t="s">
        <v>6</v>
      </c>
      <c r="B16" s="1311">
        <v>91</v>
      </c>
      <c r="C16" s="332"/>
      <c r="D16" s="332"/>
      <c r="E16" s="332"/>
      <c r="F16" s="332"/>
    </row>
    <row r="17" spans="1:6">
      <c r="A17" s="1310" t="s">
        <v>7</v>
      </c>
      <c r="B17" s="1311">
        <v>116</v>
      </c>
      <c r="C17" s="332"/>
      <c r="D17" s="332"/>
      <c r="E17" s="332"/>
      <c r="F17" s="332"/>
    </row>
    <row r="18" spans="1:6">
      <c r="A18" s="1310" t="s">
        <v>8</v>
      </c>
      <c r="B18" s="1311">
        <v>136</v>
      </c>
      <c r="C18" s="332"/>
      <c r="D18" s="332"/>
      <c r="E18" s="332"/>
      <c r="F18" s="332"/>
    </row>
    <row r="19" spans="1:6">
      <c r="A19" s="1310" t="s">
        <v>9</v>
      </c>
      <c r="B19" s="1311">
        <v>131</v>
      </c>
      <c r="C19" s="332"/>
      <c r="D19" s="332"/>
      <c r="E19" s="332"/>
      <c r="F19" s="332"/>
    </row>
    <row r="20" spans="1:6">
      <c r="A20" s="1310" t="s">
        <v>10</v>
      </c>
      <c r="B20" s="1311">
        <v>128</v>
      </c>
      <c r="C20" s="332"/>
      <c r="D20" s="332"/>
      <c r="E20" s="332"/>
      <c r="F20" s="332"/>
    </row>
    <row r="21" spans="1:6">
      <c r="A21" s="1310" t="s">
        <v>11</v>
      </c>
      <c r="B21" s="1311">
        <v>10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1</v>
      </c>
      <c r="C25" s="332"/>
      <c r="D25" s="332"/>
      <c r="E25" s="332"/>
      <c r="F25" s="332"/>
    </row>
    <row r="26" spans="1:6">
      <c r="A26" s="1310" t="s">
        <v>16</v>
      </c>
      <c r="B26" s="1311">
        <v>182</v>
      </c>
      <c r="C26" s="332"/>
      <c r="D26" s="332"/>
      <c r="E26" s="332"/>
      <c r="F26" s="332"/>
    </row>
    <row r="27" spans="1:6">
      <c r="A27" s="1310" t="s">
        <v>17</v>
      </c>
      <c r="B27" s="1311">
        <v>3</v>
      </c>
      <c r="C27" s="332"/>
      <c r="D27" s="332"/>
      <c r="E27" s="332"/>
      <c r="F27" s="332"/>
    </row>
    <row r="28" spans="1:6" s="43" customFormat="1">
      <c r="A28" s="1312" t="s">
        <v>18</v>
      </c>
      <c r="B28" s="1313">
        <v>15</v>
      </c>
      <c r="C28" s="338"/>
      <c r="D28" s="338"/>
      <c r="E28" s="338"/>
      <c r="F28" s="338"/>
    </row>
    <row r="29" spans="1:6">
      <c r="A29" s="1312" t="s">
        <v>699</v>
      </c>
      <c r="B29" s="1313">
        <v>89</v>
      </c>
      <c r="C29" s="338"/>
      <c r="D29" s="338"/>
      <c r="E29" s="338"/>
      <c r="F29" s="338"/>
    </row>
    <row r="30" spans="1:6">
      <c r="A30" s="1305" t="s">
        <v>700</v>
      </c>
      <c r="B30" s="1314">
        <v>26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3</v>
      </c>
      <c r="F35" s="1311">
        <v>12581.390852410201</v>
      </c>
    </row>
    <row r="36" spans="1:6">
      <c r="A36" s="1310" t="s">
        <v>24</v>
      </c>
      <c r="B36" s="1310" t="s">
        <v>26</v>
      </c>
      <c r="C36" s="1311">
        <v>17</v>
      </c>
      <c r="D36" s="1311">
        <v>2950519.87238925</v>
      </c>
      <c r="E36" s="1311">
        <v>30</v>
      </c>
      <c r="F36" s="1311">
        <v>916047.56214854296</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30190</v>
      </c>
      <c r="D39" s="1311">
        <v>436187786.16501999</v>
      </c>
      <c r="E39" s="1311">
        <v>47080</v>
      </c>
      <c r="F39" s="1311">
        <v>127706125.75673901</v>
      </c>
    </row>
    <row r="40" spans="1:6">
      <c r="A40" s="1310" t="s">
        <v>29</v>
      </c>
      <c r="B40" s="1310" t="s">
        <v>28</v>
      </c>
      <c r="C40" s="1311">
        <v>0</v>
      </c>
      <c r="D40" s="1311">
        <v>0</v>
      </c>
      <c r="E40" s="1311">
        <v>0</v>
      </c>
      <c r="F40" s="1311">
        <v>0</v>
      </c>
    </row>
    <row r="41" spans="1:6">
      <c r="A41" s="1310" t="s">
        <v>31</v>
      </c>
      <c r="B41" s="1310" t="s">
        <v>32</v>
      </c>
      <c r="C41" s="1311">
        <v>356</v>
      </c>
      <c r="D41" s="1311">
        <v>36954426.029331602</v>
      </c>
      <c r="E41" s="1311">
        <v>700</v>
      </c>
      <c r="F41" s="1311">
        <v>40062933.842977203</v>
      </c>
    </row>
    <row r="42" spans="1:6">
      <c r="A42" s="1310" t="s">
        <v>31</v>
      </c>
      <c r="B42" s="1310" t="s">
        <v>33</v>
      </c>
      <c r="C42" s="1311">
        <v>4</v>
      </c>
      <c r="D42" s="1311">
        <v>11725252.0757649</v>
      </c>
      <c r="E42" s="1311">
        <v>10</v>
      </c>
      <c r="F42" s="1311">
        <v>9873809.8707529306</v>
      </c>
    </row>
    <row r="43" spans="1:6">
      <c r="A43" s="1310" t="s">
        <v>31</v>
      </c>
      <c r="B43" s="1310" t="s">
        <v>34</v>
      </c>
      <c r="C43" s="1311">
        <v>0</v>
      </c>
      <c r="D43" s="1311">
        <v>0</v>
      </c>
      <c r="E43" s="1311">
        <v>0</v>
      </c>
      <c r="F43" s="1311">
        <v>0</v>
      </c>
    </row>
    <row r="44" spans="1:6">
      <c r="A44" s="1310" t="s">
        <v>31</v>
      </c>
      <c r="B44" s="1310" t="s">
        <v>35</v>
      </c>
      <c r="C44" s="1311">
        <v>19</v>
      </c>
      <c r="D44" s="1311">
        <v>1217067.5682500401</v>
      </c>
      <c r="E44" s="1311">
        <v>59</v>
      </c>
      <c r="F44" s="1311">
        <v>3319747.8315443401</v>
      </c>
    </row>
    <row r="45" spans="1:6">
      <c r="A45" s="1310" t="s">
        <v>31</v>
      </c>
      <c r="B45" s="1310" t="s">
        <v>36</v>
      </c>
      <c r="C45" s="1311">
        <v>3</v>
      </c>
      <c r="D45" s="1311">
        <v>102607.406239306</v>
      </c>
      <c r="E45" s="1311">
        <v>8</v>
      </c>
      <c r="F45" s="1311">
        <v>35711.3202064207</v>
      </c>
    </row>
    <row r="46" spans="1:6">
      <c r="A46" s="1310" t="s">
        <v>31</v>
      </c>
      <c r="B46" s="1310" t="s">
        <v>37</v>
      </c>
      <c r="C46" s="1311">
        <v>0</v>
      </c>
      <c r="D46" s="1311">
        <v>0</v>
      </c>
      <c r="E46" s="1311">
        <v>0</v>
      </c>
      <c r="F46" s="1311">
        <v>0</v>
      </c>
    </row>
    <row r="47" spans="1:6">
      <c r="A47" s="1310" t="s">
        <v>31</v>
      </c>
      <c r="B47" s="1310" t="s">
        <v>38</v>
      </c>
      <c r="C47" s="1311">
        <v>28</v>
      </c>
      <c r="D47" s="1311">
        <v>1986225.90258101</v>
      </c>
      <c r="E47" s="1311">
        <v>35</v>
      </c>
      <c r="F47" s="1311">
        <v>988038.83767898194</v>
      </c>
    </row>
    <row r="48" spans="1:6">
      <c r="A48" s="1310" t="s">
        <v>31</v>
      </c>
      <c r="B48" s="1310" t="s">
        <v>28</v>
      </c>
      <c r="C48" s="1311">
        <v>0</v>
      </c>
      <c r="D48" s="1311">
        <v>0</v>
      </c>
      <c r="E48" s="1311">
        <v>0</v>
      </c>
      <c r="F48" s="1311">
        <v>0</v>
      </c>
    </row>
    <row r="49" spans="1:6">
      <c r="A49" s="1310" t="s">
        <v>31</v>
      </c>
      <c r="B49" s="1310" t="s">
        <v>39</v>
      </c>
      <c r="C49" s="1311">
        <v>11</v>
      </c>
      <c r="D49" s="1311">
        <v>2082297.1915234399</v>
      </c>
      <c r="E49" s="1311">
        <v>18</v>
      </c>
      <c r="F49" s="1311">
        <v>412098.84437886003</v>
      </c>
    </row>
    <row r="50" spans="1:6">
      <c r="A50" s="1310" t="s">
        <v>31</v>
      </c>
      <c r="B50" s="1310" t="s">
        <v>40</v>
      </c>
      <c r="C50" s="1311">
        <v>52</v>
      </c>
      <c r="D50" s="1311">
        <v>73566169.444345295</v>
      </c>
      <c r="E50" s="1311">
        <v>81</v>
      </c>
      <c r="F50" s="1311">
        <v>67144817.482520804</v>
      </c>
    </row>
    <row r="51" spans="1:6">
      <c r="A51" s="1310" t="s">
        <v>41</v>
      </c>
      <c r="B51" s="1310" t="s">
        <v>42</v>
      </c>
      <c r="C51" s="1311">
        <v>32</v>
      </c>
      <c r="D51" s="1311">
        <v>1060198.6334095399</v>
      </c>
      <c r="E51" s="1311">
        <v>133</v>
      </c>
      <c r="F51" s="1311">
        <v>1787917.6161102999</v>
      </c>
    </row>
    <row r="52" spans="1:6">
      <c r="A52" s="1310" t="s">
        <v>41</v>
      </c>
      <c r="B52" s="1310" t="s">
        <v>28</v>
      </c>
      <c r="C52" s="1311">
        <v>0</v>
      </c>
      <c r="D52" s="1311">
        <v>0</v>
      </c>
      <c r="E52" s="1311">
        <v>0</v>
      </c>
      <c r="F52" s="1311">
        <v>0</v>
      </c>
    </row>
    <row r="53" spans="1:6">
      <c r="A53" s="1310" t="s">
        <v>43</v>
      </c>
      <c r="B53" s="1310" t="s">
        <v>44</v>
      </c>
      <c r="C53" s="1311">
        <v>1369</v>
      </c>
      <c r="D53" s="1311">
        <v>33808321.579938903</v>
      </c>
      <c r="E53" s="1311">
        <v>2756</v>
      </c>
      <c r="F53" s="1311">
        <v>9679055.2902260497</v>
      </c>
    </row>
    <row r="54" spans="1:6">
      <c r="A54" s="1310" t="s">
        <v>45</v>
      </c>
      <c r="B54" s="1310" t="s">
        <v>46</v>
      </c>
      <c r="C54" s="1311">
        <v>0</v>
      </c>
      <c r="D54" s="1311">
        <v>0</v>
      </c>
      <c r="E54" s="1311">
        <v>1</v>
      </c>
      <c r="F54" s="1311">
        <v>5117352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358</v>
      </c>
      <c r="D57" s="1311">
        <v>51558749.006662197</v>
      </c>
      <c r="E57" s="1311">
        <v>550</v>
      </c>
      <c r="F57" s="1311">
        <v>26425784.8626642</v>
      </c>
    </row>
    <row r="58" spans="1:6">
      <c r="A58" s="1310" t="s">
        <v>48</v>
      </c>
      <c r="B58" s="1310" t="s">
        <v>50</v>
      </c>
      <c r="C58" s="1311">
        <v>355</v>
      </c>
      <c r="D58" s="1311">
        <v>26819842.792287</v>
      </c>
      <c r="E58" s="1311">
        <v>490</v>
      </c>
      <c r="F58" s="1311">
        <v>14381244.9801181</v>
      </c>
    </row>
    <row r="59" spans="1:6">
      <c r="A59" s="1310" t="s">
        <v>48</v>
      </c>
      <c r="B59" s="1310" t="s">
        <v>51</v>
      </c>
      <c r="C59" s="1311">
        <v>701</v>
      </c>
      <c r="D59" s="1311">
        <v>32033576.2215738</v>
      </c>
      <c r="E59" s="1311">
        <v>1232</v>
      </c>
      <c r="F59" s="1311">
        <v>44882718.7118093</v>
      </c>
    </row>
    <row r="60" spans="1:6">
      <c r="A60" s="1310" t="s">
        <v>48</v>
      </c>
      <c r="B60" s="1310" t="s">
        <v>52</v>
      </c>
      <c r="C60" s="1311">
        <v>707</v>
      </c>
      <c r="D60" s="1311">
        <v>236452611.56104201</v>
      </c>
      <c r="E60" s="1311">
        <v>805</v>
      </c>
      <c r="F60" s="1311">
        <v>270243123.15120798</v>
      </c>
    </row>
    <row r="61" spans="1:6">
      <c r="A61" s="1310" t="s">
        <v>48</v>
      </c>
      <c r="B61" s="1310" t="s">
        <v>53</v>
      </c>
      <c r="C61" s="1311">
        <v>2072</v>
      </c>
      <c r="D61" s="1311">
        <v>203683781.43348601</v>
      </c>
      <c r="E61" s="1311">
        <v>4380</v>
      </c>
      <c r="F61" s="1311">
        <v>114250111.522965</v>
      </c>
    </row>
    <row r="62" spans="1:6">
      <c r="A62" s="1310" t="s">
        <v>48</v>
      </c>
      <c r="B62" s="1310" t="s">
        <v>54</v>
      </c>
      <c r="C62" s="1311">
        <v>119</v>
      </c>
      <c r="D62" s="1311">
        <v>19502720.244480401</v>
      </c>
      <c r="E62" s="1311">
        <v>156</v>
      </c>
      <c r="F62" s="1311">
        <v>8898342.7385777608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685488.88987800805</v>
      </c>
      <c r="E65" s="1311">
        <v>0</v>
      </c>
      <c r="F65" s="1311">
        <v>0</v>
      </c>
    </row>
    <row r="66" spans="1:6">
      <c r="A66" s="1310" t="s">
        <v>55</v>
      </c>
      <c r="B66" s="1310" t="s">
        <v>57</v>
      </c>
      <c r="C66" s="1311">
        <v>0</v>
      </c>
      <c r="D66" s="1311">
        <v>0</v>
      </c>
      <c r="E66" s="1311">
        <v>63</v>
      </c>
      <c r="F66" s="1311">
        <v>3494995.1855139001</v>
      </c>
    </row>
    <row r="67" spans="1:6">
      <c r="A67" s="1312" t="s">
        <v>55</v>
      </c>
      <c r="B67" s="1312" t="s">
        <v>58</v>
      </c>
      <c r="C67" s="1311">
        <v>0</v>
      </c>
      <c r="D67" s="1311">
        <v>0</v>
      </c>
      <c r="E67" s="1311">
        <v>0</v>
      </c>
      <c r="F67" s="1311">
        <v>0</v>
      </c>
    </row>
    <row r="68" spans="1:6">
      <c r="A68" s="1305" t="s">
        <v>55</v>
      </c>
      <c r="B68" s="1305" t="s">
        <v>59</v>
      </c>
      <c r="C68" s="1314">
        <v>18</v>
      </c>
      <c r="D68" s="1314">
        <v>2744386.8455959698</v>
      </c>
      <c r="E68" s="1314">
        <v>30</v>
      </c>
      <c r="F68" s="1314">
        <v>1878733.39429521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180798950</v>
      </c>
      <c r="E73" s="453"/>
      <c r="F73" s="332"/>
    </row>
    <row r="74" spans="1:6">
      <c r="A74" s="1310" t="s">
        <v>63</v>
      </c>
      <c r="B74" s="1310" t="s">
        <v>648</v>
      </c>
      <c r="C74" s="1324" t="s">
        <v>650</v>
      </c>
      <c r="D74" s="1325">
        <v>6460627.308526515</v>
      </c>
      <c r="E74" s="453"/>
      <c r="F74" s="332"/>
    </row>
    <row r="75" spans="1:6">
      <c r="A75" s="1310" t="s">
        <v>64</v>
      </c>
      <c r="B75" s="1310" t="s">
        <v>647</v>
      </c>
      <c r="C75" s="1324" t="s">
        <v>651</v>
      </c>
      <c r="D75" s="1325">
        <v>114287333</v>
      </c>
      <c r="E75" s="453"/>
      <c r="F75" s="332"/>
    </row>
    <row r="76" spans="1:6">
      <c r="A76" s="1310" t="s">
        <v>64</v>
      </c>
      <c r="B76" s="1310" t="s">
        <v>648</v>
      </c>
      <c r="C76" s="1324" t="s">
        <v>652</v>
      </c>
      <c r="D76" s="1325">
        <v>759022.30852651503</v>
      </c>
      <c r="E76" s="453"/>
      <c r="F76" s="332"/>
    </row>
    <row r="77" spans="1:6">
      <c r="A77" s="1310" t="s">
        <v>65</v>
      </c>
      <c r="B77" s="1310" t="s">
        <v>647</v>
      </c>
      <c r="C77" s="1324" t="s">
        <v>653</v>
      </c>
      <c r="D77" s="1325">
        <v>383796837</v>
      </c>
      <c r="E77" s="453"/>
      <c r="F77" s="332"/>
    </row>
    <row r="78" spans="1:6">
      <c r="A78" s="1305" t="s">
        <v>65</v>
      </c>
      <c r="B78" s="1305" t="s">
        <v>648</v>
      </c>
      <c r="C78" s="1305" t="s">
        <v>654</v>
      </c>
      <c r="D78" s="1326">
        <v>36312031</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6500273.3829469699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12347.761945720262</v>
      </c>
      <c r="C91" s="332"/>
      <c r="D91" s="332"/>
      <c r="E91" s="332"/>
      <c r="F91" s="332"/>
    </row>
    <row r="92" spans="1:6">
      <c r="A92" s="1305" t="s">
        <v>68</v>
      </c>
      <c r="B92" s="1306">
        <v>4609.32642836799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21126</v>
      </c>
      <c r="C97" s="332"/>
      <c r="D97" s="332"/>
      <c r="E97" s="332"/>
      <c r="F97" s="332"/>
    </row>
    <row r="98" spans="1:6">
      <c r="A98" s="1310" t="s">
        <v>71</v>
      </c>
      <c r="B98" s="1311">
        <v>27</v>
      </c>
      <c r="C98" s="332"/>
      <c r="D98" s="332"/>
      <c r="E98" s="332"/>
      <c r="F98" s="332"/>
    </row>
    <row r="99" spans="1:6">
      <c r="A99" s="1310" t="s">
        <v>72</v>
      </c>
      <c r="B99" s="1311">
        <v>177</v>
      </c>
      <c r="C99" s="332"/>
      <c r="D99" s="332"/>
      <c r="E99" s="332"/>
      <c r="F99" s="332"/>
    </row>
    <row r="100" spans="1:6">
      <c r="A100" s="1310" t="s">
        <v>73</v>
      </c>
      <c r="B100" s="1311">
        <v>3087</v>
      </c>
      <c r="C100" s="332"/>
      <c r="D100" s="332"/>
      <c r="E100" s="332"/>
      <c r="F100" s="332"/>
    </row>
    <row r="101" spans="1:6">
      <c r="A101" s="1310" t="s">
        <v>74</v>
      </c>
      <c r="B101" s="1311">
        <v>75</v>
      </c>
      <c r="C101" s="332"/>
      <c r="D101" s="332"/>
      <c r="E101" s="332"/>
      <c r="F101" s="332"/>
    </row>
    <row r="102" spans="1:6">
      <c r="A102" s="1310" t="s">
        <v>75</v>
      </c>
      <c r="B102" s="1311">
        <v>1071</v>
      </c>
      <c r="C102" s="332"/>
      <c r="D102" s="332"/>
      <c r="E102" s="332"/>
      <c r="F102" s="332"/>
    </row>
    <row r="103" spans="1:6">
      <c r="A103" s="1310" t="s">
        <v>76</v>
      </c>
      <c r="B103" s="1311">
        <v>267</v>
      </c>
      <c r="C103" s="332"/>
      <c r="D103" s="332"/>
      <c r="E103" s="332"/>
      <c r="F103" s="332"/>
    </row>
    <row r="104" spans="1:6">
      <c r="A104" s="1310" t="s">
        <v>77</v>
      </c>
      <c r="B104" s="1311">
        <v>12359</v>
      </c>
      <c r="C104" s="332"/>
      <c r="D104" s="332"/>
      <c r="E104" s="332"/>
      <c r="F104" s="332"/>
    </row>
    <row r="105" spans="1:6">
      <c r="A105" s="1305" t="s">
        <v>78</v>
      </c>
      <c r="B105" s="1314">
        <v>69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3</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3</v>
      </c>
      <c r="C121" s="1311">
        <v>0</v>
      </c>
      <c r="D121" s="332"/>
      <c r="E121" s="332"/>
      <c r="F121" s="332"/>
    </row>
    <row r="122" spans="1:6">
      <c r="A122" s="1310" t="s">
        <v>86</v>
      </c>
      <c r="B122" s="1311">
        <v>1</v>
      </c>
      <c r="C122" s="1311">
        <v>0</v>
      </c>
      <c r="D122" s="332"/>
      <c r="E122" s="332"/>
      <c r="F122" s="332"/>
    </row>
    <row r="123" spans="1:6">
      <c r="A123" s="1310" t="s">
        <v>87</v>
      </c>
      <c r="B123" s="1311">
        <v>111</v>
      </c>
      <c r="C123" s="1311">
        <v>290</v>
      </c>
      <c r="D123" s="332"/>
      <c r="E123" s="332"/>
      <c r="F123" s="332"/>
    </row>
    <row r="124" spans="1:6" s="43" customFormat="1">
      <c r="A124" s="1312" t="s">
        <v>88</v>
      </c>
      <c r="B124" s="1333">
        <v>3</v>
      </c>
      <c r="C124" s="1333">
        <v>4</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537</v>
      </c>
      <c r="C129" s="332"/>
      <c r="D129" s="332"/>
      <c r="E129" s="332"/>
      <c r="F129" s="332"/>
    </row>
    <row r="130" spans="1:6">
      <c r="A130" s="1310" t="s">
        <v>294</v>
      </c>
      <c r="B130" s="1311">
        <v>8</v>
      </c>
      <c r="C130" s="332"/>
      <c r="D130" s="332"/>
      <c r="E130" s="332"/>
      <c r="F130" s="332"/>
    </row>
    <row r="131" spans="1:6">
      <c r="A131" s="1310" t="s">
        <v>295</v>
      </c>
      <c r="B131" s="1311">
        <v>18</v>
      </c>
      <c r="C131" s="332"/>
      <c r="D131" s="332"/>
      <c r="E131" s="332"/>
      <c r="F131" s="332"/>
    </row>
    <row r="132" spans="1:6">
      <c r="A132" s="1305" t="s">
        <v>296</v>
      </c>
      <c r="B132" s="1306">
        <v>47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759470.09110181418</v>
      </c>
      <c r="C3" s="43" t="s">
        <v>169</v>
      </c>
      <c r="D3" s="43"/>
      <c r="E3" s="154"/>
      <c r="F3" s="43"/>
      <c r="G3" s="43"/>
      <c r="H3" s="43"/>
      <c r="I3" s="43"/>
      <c r="J3" s="43"/>
      <c r="K3" s="96"/>
    </row>
    <row r="4" spans="1:11">
      <c r="A4" s="360" t="s">
        <v>170</v>
      </c>
      <c r="B4" s="49">
        <f>IF(ISERROR('SEAP template'!B78+'SEAP template'!C78),0,'SEAP template'!B78+'SEAP template'!C78)</f>
        <v>18411.888374088252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11.960099844501391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0.21565802896208441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17.093583553182018</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72.604247104247108</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0.23543503630908252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5117.3519999999999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5117.3519999999999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0.21565802896208441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1103.5980458251806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127706.125756739</v>
      </c>
      <c r="C5" s="17">
        <f>IF(ISERROR('Eigen informatie GS &amp; warmtenet'!B59),0,'Eigen informatie GS &amp; warmtenet'!B59)</f>
        <v>0</v>
      </c>
      <c r="D5" s="30">
        <f>(SUM(HH_hh_gas_kWh,HH_rest_gas_kWh)/1000)*0.903</f>
        <v>393877.57090701303</v>
      </c>
      <c r="E5" s="17">
        <f>B46*B57</f>
        <v>30183.330751452537</v>
      </c>
      <c r="F5" s="17">
        <f>B51*B62</f>
        <v>87137.514676866776</v>
      </c>
      <c r="G5" s="18"/>
      <c r="H5" s="17"/>
      <c r="I5" s="17"/>
      <c r="J5" s="17">
        <f>B50*B61+C50*C61</f>
        <v>0</v>
      </c>
      <c r="K5" s="17"/>
      <c r="L5" s="17"/>
      <c r="M5" s="17"/>
      <c r="N5" s="17">
        <f>B48*B59+C48*C59</f>
        <v>23972.095641235021</v>
      </c>
      <c r="O5" s="17">
        <f>B69*B70*B71</f>
        <v>1648.6692803106234</v>
      </c>
      <c r="P5" s="17">
        <f>B77*B78*B79/1000-B77*B78*B79/1000/B80</f>
        <v>1695.9674485372886</v>
      </c>
    </row>
    <row r="6" spans="1:16">
      <c r="A6" s="16" t="s">
        <v>612</v>
      </c>
      <c r="B6" s="786">
        <f>kWh_PV_kleiner_dan_10kW</f>
        <v>12347.761945720262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140053.88770245927</v>
      </c>
      <c r="C8" s="21">
        <f>C5</f>
        <v>0</v>
      </c>
      <c r="D8" s="21">
        <f>D5</f>
        <v>393877.57090701303</v>
      </c>
      <c r="E8" s="21">
        <f>E5</f>
        <v>30183.330751452537</v>
      </c>
      <c r="F8" s="21">
        <f>F5</f>
        <v>87137.514676866776</v>
      </c>
      <c r="G8" s="21"/>
      <c r="H8" s="21"/>
      <c r="I8" s="21"/>
      <c r="J8" s="21">
        <f>J5</f>
        <v>0</v>
      </c>
      <c r="K8" s="21"/>
      <c r="L8" s="21">
        <f>L5</f>
        <v>0</v>
      </c>
      <c r="M8" s="21">
        <f>M5</f>
        <v>0</v>
      </c>
      <c r="N8" s="21">
        <f>N5</f>
        <v>23972.095641235021</v>
      </c>
      <c r="O8" s="21">
        <f>O5</f>
        <v>1648.6692803106234</v>
      </c>
      <c r="P8" s="21">
        <f>P5</f>
        <v>1695.9674485372886</v>
      </c>
    </row>
    <row r="9" spans="1:16">
      <c r="B9" s="19"/>
      <c r="C9" s="19"/>
      <c r="D9" s="258"/>
      <c r="E9" s="19"/>
      <c r="F9" s="19"/>
      <c r="G9" s="19"/>
      <c r="H9" s="19"/>
      <c r="I9" s="19"/>
      <c r="J9" s="19"/>
      <c r="K9" s="19"/>
      <c r="L9" s="19"/>
      <c r="M9" s="19"/>
      <c r="N9" s="19"/>
      <c r="O9" s="19"/>
      <c r="P9" s="19"/>
    </row>
    <row r="10" spans="1:16">
      <c r="A10" s="24" t="s">
        <v>213</v>
      </c>
      <c r="B10" s="25">
        <f ca="1">'EF ele_warmte'!B12</f>
        <v>0.21565802896208441</v>
      </c>
      <c r="C10" s="25">
        <f ca="1">'EF ele_warmte'!B22</f>
        <v>0.23543503630908252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30203.745370389479</v>
      </c>
      <c r="C12" s="23">
        <f ca="1">C10*C8</f>
        <v>0</v>
      </c>
      <c r="D12" s="23">
        <f>D8*D10</f>
        <v>79563.269323216635</v>
      </c>
      <c r="E12" s="23">
        <f>E10*E8</f>
        <v>6851.6160805797263</v>
      </c>
      <c r="F12" s="23">
        <f>F10*F8</f>
        <v>23265.71641872343</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21126</v>
      </c>
      <c r="C18" s="166" t="s">
        <v>110</v>
      </c>
      <c r="D18" s="228"/>
      <c r="E18" s="15"/>
    </row>
    <row r="19" spans="1:7">
      <c r="A19" s="171" t="s">
        <v>71</v>
      </c>
      <c r="B19" s="37">
        <f>aantalw2001_ander</f>
        <v>27</v>
      </c>
      <c r="C19" s="166" t="s">
        <v>110</v>
      </c>
      <c r="D19" s="229"/>
      <c r="E19" s="15"/>
    </row>
    <row r="20" spans="1:7">
      <c r="A20" s="171" t="s">
        <v>72</v>
      </c>
      <c r="B20" s="37">
        <f>aantalw2001_propaan</f>
        <v>177</v>
      </c>
      <c r="C20" s="167">
        <f>IF(ISERROR(B20/SUM($B$20,$B$21,$B$22)*100),0,B20/SUM($B$20,$B$21,$B$22)*100)</f>
        <v>5.3009883198562449</v>
      </c>
      <c r="D20" s="229"/>
      <c r="E20" s="15"/>
    </row>
    <row r="21" spans="1:7">
      <c r="A21" s="171" t="s">
        <v>73</v>
      </c>
      <c r="B21" s="37">
        <f>aantalw2001_elektriciteit</f>
        <v>3087</v>
      </c>
      <c r="C21" s="167">
        <f>IF(ISERROR(B21/SUM($B$20,$B$21,$B$22)*100),0,B21/SUM($B$20,$B$21,$B$22)*100)</f>
        <v>92.452830188679243</v>
      </c>
      <c r="D21" s="229"/>
      <c r="E21" s="15"/>
    </row>
    <row r="22" spans="1:7">
      <c r="A22" s="171" t="s">
        <v>74</v>
      </c>
      <c r="B22" s="37">
        <f>aantalw2001_hout</f>
        <v>75</v>
      </c>
      <c r="C22" s="167">
        <f>IF(ISERROR(B22/SUM($B$20,$B$21,$B$22)*100),0,B22/SUM($B$20,$B$21,$B$22)*100)</f>
        <v>2.2461814914645104</v>
      </c>
      <c r="D22" s="229"/>
      <c r="E22" s="15"/>
    </row>
    <row r="23" spans="1:7">
      <c r="A23" s="171" t="s">
        <v>75</v>
      </c>
      <c r="B23" s="37">
        <f>aantalw2001_niet_gespec</f>
        <v>1071</v>
      </c>
      <c r="C23" s="166" t="s">
        <v>110</v>
      </c>
      <c r="D23" s="228"/>
      <c r="E23" s="15"/>
    </row>
    <row r="24" spans="1:7">
      <c r="A24" s="171" t="s">
        <v>76</v>
      </c>
      <c r="B24" s="37">
        <f>aantalw2001_steenkool</f>
        <v>267</v>
      </c>
      <c r="C24" s="166" t="s">
        <v>110</v>
      </c>
      <c r="D24" s="229"/>
      <c r="E24" s="15"/>
    </row>
    <row r="25" spans="1:7">
      <c r="A25" s="171" t="s">
        <v>77</v>
      </c>
      <c r="B25" s="37">
        <f>aantalw2001_stookolie</f>
        <v>12359</v>
      </c>
      <c r="C25" s="166" t="s">
        <v>110</v>
      </c>
      <c r="D25" s="228"/>
      <c r="E25" s="52"/>
    </row>
    <row r="26" spans="1:7">
      <c r="A26" s="171" t="s">
        <v>78</v>
      </c>
      <c r="B26" s="37">
        <f>aantalw2001_WP</f>
        <v>69</v>
      </c>
      <c r="C26" s="166" t="s">
        <v>110</v>
      </c>
      <c r="D26" s="228"/>
      <c r="E26" s="15"/>
    </row>
    <row r="27" spans="1:7" s="15" customFormat="1">
      <c r="A27" s="171"/>
      <c r="B27" s="29"/>
      <c r="C27" s="36"/>
      <c r="D27" s="228"/>
    </row>
    <row r="28" spans="1:7" s="15" customFormat="1">
      <c r="A28" s="230" t="s">
        <v>838</v>
      </c>
      <c r="B28" s="37">
        <f>aantalHuishoudens</f>
        <v>50386</v>
      </c>
      <c r="C28" s="36"/>
      <c r="D28" s="228"/>
    </row>
    <row r="29" spans="1:7" s="15" customFormat="1">
      <c r="A29" s="230" t="s">
        <v>839</v>
      </c>
      <c r="B29" s="37">
        <f>SUM(HH_hh_gas_aantal,HH_rest_gas_aantal)</f>
        <v>30190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30190</v>
      </c>
      <c r="C32" s="167">
        <f>IF(ISERROR(B32/SUM($B$32,$B$34,$B$35,$B$36,$B$38,$B$39)*100),0,B32/SUM($B$32,$B$34,$B$35,$B$36,$B$38,$B$39)*100)</f>
        <v>60.109507217521141</v>
      </c>
      <c r="D32" s="233"/>
      <c r="G32" s="15"/>
    </row>
    <row r="33" spans="1:7">
      <c r="A33" s="171" t="s">
        <v>71</v>
      </c>
      <c r="B33" s="34" t="s">
        <v>110</v>
      </c>
      <c r="C33" s="167"/>
      <c r="D33" s="233"/>
      <c r="G33" s="15"/>
    </row>
    <row r="34" spans="1:7">
      <c r="A34" s="171" t="s">
        <v>72</v>
      </c>
      <c r="B34" s="33">
        <f>IF((($B$28-$B$32-$B$39-$B$77-$B$38)*C20/100)&lt;0,0,($B$28-$B$32-$B$39-$B$77-$B$38)*C20/100)</f>
        <v>839.33728661275848</v>
      </c>
      <c r="C34" s="167">
        <f>IF(ISERROR(B34/SUM($B$32,$B$34,$B$35,$B$36,$B$38,$B$39)*100),0,B34/SUM($B$32,$B$34,$B$35,$B$36,$B$38,$B$39)*100)</f>
        <v>1.6711543785221672</v>
      </c>
      <c r="D34" s="233"/>
      <c r="G34" s="15"/>
    </row>
    <row r="35" spans="1:7">
      <c r="A35" s="171" t="s">
        <v>73</v>
      </c>
      <c r="B35" s="33">
        <f>IF((($B$28-$B$32-$B$39-$B$77-$B$38)*C21/100)&lt;0,0,($B$28-$B$32-$B$39-$B$77-$B$38)*C21/100)</f>
        <v>14638.611320754719</v>
      </c>
      <c r="C35" s="167">
        <f>IF(ISERROR(B35/SUM($B$32,$B$34,$B$35,$B$36,$B$38,$B$39)*100),0,B35/SUM($B$32,$B$34,$B$35,$B$36,$B$38,$B$39)*100)</f>
        <v>29.146065347445926</v>
      </c>
      <c r="D35" s="233"/>
      <c r="G35" s="15"/>
    </row>
    <row r="36" spans="1:7">
      <c r="A36" s="171" t="s">
        <v>74</v>
      </c>
      <c r="B36" s="33">
        <f>IF((($B$28-$B$32-$B$39-$B$77-$B$38)*C22/100)&lt;0,0,($B$28-$B$32-$B$39-$B$77-$B$38)*C22/100)</f>
        <v>355.65139263252473</v>
      </c>
      <c r="C36" s="167">
        <f>IF(ISERROR(B36/SUM($B$32,$B$34,$B$35,$B$36,$B$38,$B$39)*100),0,B36/SUM($B$32,$B$34,$B$35,$B$36,$B$38,$B$39)*100)</f>
        <v>0.70811626208566392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4201.3999999999996</v>
      </c>
      <c r="C39" s="167">
        <f>IF(ISERROR(B39/SUM($B$32,$B$34,$B$35,$B$36,$B$38,$B$39)*100),0,B39/SUM($B$32,$B$34,$B$35,$B$36,$B$38,$B$39)*100)</f>
        <v>8.3651567944250846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30190</v>
      </c>
      <c r="C44" s="34" t="s">
        <v>110</v>
      </c>
      <c r="D44" s="174"/>
    </row>
    <row r="45" spans="1:7">
      <c r="A45" s="171" t="s">
        <v>71</v>
      </c>
      <c r="B45" s="33" t="str">
        <f t="shared" si="0"/>
        <v>-</v>
      </c>
      <c r="C45" s="34" t="s">
        <v>110</v>
      </c>
      <c r="D45" s="174"/>
    </row>
    <row r="46" spans="1:7">
      <c r="A46" s="171" t="s">
        <v>72</v>
      </c>
      <c r="B46" s="33">
        <f t="shared" si="0"/>
        <v>839.33728661275848</v>
      </c>
      <c r="C46" s="34" t="s">
        <v>110</v>
      </c>
      <c r="D46" s="174"/>
    </row>
    <row r="47" spans="1:7">
      <c r="A47" s="171" t="s">
        <v>73</v>
      </c>
      <c r="B47" s="33">
        <f t="shared" si="0"/>
        <v>14638.611320754719</v>
      </c>
      <c r="C47" s="34" t="s">
        <v>110</v>
      </c>
      <c r="D47" s="174"/>
    </row>
    <row r="48" spans="1:7">
      <c r="A48" s="171" t="s">
        <v>74</v>
      </c>
      <c r="B48" s="33">
        <f t="shared" si="0"/>
        <v>355.65139263252473</v>
      </c>
      <c r="C48" s="33">
        <f>B48*10</f>
        <v>3556.5139263252472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4201.3999999999996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831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161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479081.32596734236</v>
      </c>
      <c r="C5" s="17">
        <f>IF(ISERROR('Eigen informatie GS &amp; warmtenet'!B60),0,'Eigen informatie GS &amp; warmtenet'!B60)</f>
        <v>0</v>
      </c>
      <c r="D5" s="30">
        <f>SUM(D6:D12)</f>
        <v>514756.3069773569</v>
      </c>
      <c r="E5" s="17">
        <f>SUM(E6:E12)</f>
        <v>563.58540494598924</v>
      </c>
      <c r="F5" s="17">
        <f>SUM(F6:F12)</f>
        <v>55635.55991982494</v>
      </c>
      <c r="G5" s="18"/>
      <c r="H5" s="17"/>
      <c r="I5" s="17"/>
      <c r="J5" s="17">
        <f>SUM(J6:J12)</f>
        <v>0.26097629749284362</v>
      </c>
      <c r="K5" s="17"/>
      <c r="L5" s="17"/>
      <c r="M5" s="17"/>
      <c r="N5" s="17">
        <f>SUM(N6:N12)</f>
        <v>9719.7826323747886</v>
      </c>
      <c r="O5" s="17">
        <f>B38*B39*B40</f>
        <v>39.178086126729234</v>
      </c>
      <c r="P5" s="17">
        <f>B46*B47*B48/1000-B46*B47*B48/1000/B49</f>
        <v>1155.8610427428903</v>
      </c>
      <c r="R5" s="32"/>
    </row>
    <row r="6" spans="1:18">
      <c r="A6" s="32" t="s">
        <v>53</v>
      </c>
      <c r="B6" s="37">
        <f>B26</f>
        <v>114250.111522965</v>
      </c>
      <c r="C6" s="33"/>
      <c r="D6" s="37">
        <f>IF(ISERROR(TER_kantoor_gas_kWh/1000),0,TER_kantoor_gas_kWh/1000)*0.903</f>
        <v>183926.45463443786</v>
      </c>
      <c r="E6" s="33">
        <f>$C$26*'E Balans VL '!I12/100/3.6*1000000</f>
        <v>27.371611039276644</v>
      </c>
      <c r="F6" s="33">
        <f>$C$26*('E Balans VL '!L12+'E Balans VL '!N12)/100/3.6*1000000</f>
        <v>10834.203885381994</v>
      </c>
      <c r="G6" s="34"/>
      <c r="H6" s="33"/>
      <c r="I6" s="33"/>
      <c r="J6" s="33">
        <f>$C$26*('E Balans VL '!D12+'E Balans VL '!E12)/100/3.6*1000000</f>
        <v>0</v>
      </c>
      <c r="K6" s="33"/>
      <c r="L6" s="33"/>
      <c r="M6" s="33"/>
      <c r="N6" s="33">
        <f>$C$26*'E Balans VL '!Y12/100/3.6*1000000</f>
        <v>58.033147215649784</v>
      </c>
      <c r="O6" s="33"/>
      <c r="P6" s="33"/>
      <c r="R6" s="32"/>
    </row>
    <row r="7" spans="1:18">
      <c r="A7" s="32" t="s">
        <v>52</v>
      </c>
      <c r="B7" s="37">
        <f t="shared" ref="B7:B12" si="0">B27</f>
        <v>270243.12315120798</v>
      </c>
      <c r="C7" s="33"/>
      <c r="D7" s="37">
        <f>IF(ISERROR(TER_horeca_gas_kWh/1000),0,TER_horeca_gas_kWh/1000)*0.903</f>
        <v>213516.70823962096</v>
      </c>
      <c r="E7" s="33">
        <f>$C$27*'E Balans VL '!I9/100/3.6*1000000</f>
        <v>0</v>
      </c>
      <c r="F7" s="33">
        <f>$C$27*('E Balans VL '!L9+'E Balans VL '!N9)/100/3.6*1000000</f>
        <v>22159.300840781503</v>
      </c>
      <c r="G7" s="34"/>
      <c r="H7" s="33"/>
      <c r="I7" s="33"/>
      <c r="J7" s="33">
        <f>$C$27*('E Balans VL '!D9+'E Balans VL '!E9)/100/3.6*1000000</f>
        <v>0</v>
      </c>
      <c r="K7" s="33"/>
      <c r="L7" s="33"/>
      <c r="M7" s="33"/>
      <c r="N7" s="33">
        <f>$C$27*'E Balans VL '!Y9/100/3.6*1000000</f>
        <v>82.840374818307708</v>
      </c>
      <c r="O7" s="33"/>
      <c r="P7" s="33"/>
      <c r="R7" s="32"/>
    </row>
    <row r="8" spans="1:18">
      <c r="A8" s="6" t="s">
        <v>51</v>
      </c>
      <c r="B8" s="37">
        <f t="shared" si="0"/>
        <v>44882.718711809299</v>
      </c>
      <c r="C8" s="33"/>
      <c r="D8" s="37">
        <f>IF(ISERROR(TER_handel_gas_kWh/1000),0,TER_handel_gas_kWh/1000)*0.903</f>
        <v>28926.319328081143</v>
      </c>
      <c r="E8" s="33">
        <f>$C$28*'E Balans VL '!I13/100/3.6*1000000</f>
        <v>157.73822548285608</v>
      </c>
      <c r="F8" s="33">
        <f>$C$28*('E Balans VL '!L13+'E Balans VL '!N13)/100/3.6*1000000</f>
        <v>4106.6881602900212</v>
      </c>
      <c r="G8" s="34"/>
      <c r="H8" s="33"/>
      <c r="I8" s="33"/>
      <c r="J8" s="33">
        <f>$C$28*('E Balans VL '!D13+'E Balans VL '!E13)/100/3.6*1000000</f>
        <v>0</v>
      </c>
      <c r="K8" s="33"/>
      <c r="L8" s="33"/>
      <c r="M8" s="33"/>
      <c r="N8" s="33">
        <f>$C$28*'E Balans VL '!Y13/100/3.6*1000000</f>
        <v>16.254588444062158</v>
      </c>
      <c r="O8" s="33"/>
      <c r="P8" s="33"/>
      <c r="R8" s="32"/>
    </row>
    <row r="9" spans="1:18">
      <c r="A9" s="32" t="s">
        <v>50</v>
      </c>
      <c r="B9" s="37">
        <f t="shared" si="0"/>
        <v>14381.244980118099</v>
      </c>
      <c r="C9" s="33"/>
      <c r="D9" s="37">
        <f>IF(ISERROR(TER_gezond_gas_kWh/1000),0,TER_gezond_gas_kWh/1000)*0.903</f>
        <v>24218.318041435163</v>
      </c>
      <c r="E9" s="33">
        <f>$C$29*'E Balans VL '!I10/100/3.6*1000000</f>
        <v>0</v>
      </c>
      <c r="F9" s="33">
        <f>$C$29*('E Balans VL '!L10+'E Balans VL '!N10)/100/3.6*1000000</f>
        <v>1762.8765525047108</v>
      </c>
      <c r="G9" s="34"/>
      <c r="H9" s="33"/>
      <c r="I9" s="33"/>
      <c r="J9" s="33">
        <f>$C$29*('E Balans VL '!D10+'E Balans VL '!E10)/100/3.6*1000000</f>
        <v>0</v>
      </c>
      <c r="K9" s="33"/>
      <c r="L9" s="33"/>
      <c r="M9" s="33"/>
      <c r="N9" s="33">
        <f>$C$29*'E Balans VL '!Y10/100/3.6*1000000</f>
        <v>106.05166008826856</v>
      </c>
      <c r="O9" s="33"/>
      <c r="P9" s="33"/>
      <c r="R9" s="32"/>
    </row>
    <row r="10" spans="1:18">
      <c r="A10" s="32" t="s">
        <v>49</v>
      </c>
      <c r="B10" s="37">
        <f t="shared" si="0"/>
        <v>26425.784862664201</v>
      </c>
      <c r="C10" s="33"/>
      <c r="D10" s="37">
        <f>IF(ISERROR(TER_ander_gas_kWh/1000),0,TER_ander_gas_kWh/1000)*0.903</f>
        <v>46557.550353015962</v>
      </c>
      <c r="E10" s="33">
        <f>$C$30*'E Balans VL '!I14/100/3.6*1000000</f>
        <v>378.47556842385654</v>
      </c>
      <c r="F10" s="33">
        <f>$C$30*('E Balans VL '!L14+'E Balans VL '!N14)/100/3.6*1000000</f>
        <v>15732.168249588511</v>
      </c>
      <c r="G10" s="34"/>
      <c r="H10" s="33"/>
      <c r="I10" s="33"/>
      <c r="J10" s="33">
        <f>$C$30*('E Balans VL '!D14+'E Balans VL '!E14)/100/3.6*1000000</f>
        <v>0.26097629749284362</v>
      </c>
      <c r="K10" s="33"/>
      <c r="L10" s="33"/>
      <c r="M10" s="33"/>
      <c r="N10" s="33">
        <f>$C$30*'E Balans VL '!Y14/100/3.6*1000000</f>
        <v>9431.5461504641935</v>
      </c>
      <c r="O10" s="33"/>
      <c r="P10" s="33"/>
      <c r="R10" s="32"/>
    </row>
    <row r="11" spans="1:18">
      <c r="A11" s="32" t="s">
        <v>54</v>
      </c>
      <c r="B11" s="37">
        <f t="shared" si="0"/>
        <v>8898.3427385777613</v>
      </c>
      <c r="C11" s="33"/>
      <c r="D11" s="37">
        <f>IF(ISERROR(TER_onderwijs_gas_kWh/1000),0,TER_onderwijs_gas_kWh/1000)*0.903</f>
        <v>17610.956380765805</v>
      </c>
      <c r="E11" s="33">
        <f>$C$31*'E Balans VL '!I11/100/3.6*1000000</f>
        <v>0</v>
      </c>
      <c r="F11" s="33">
        <f>$C$31*('E Balans VL '!L11+'E Balans VL '!N11)/100/3.6*1000000</f>
        <v>1040.3222312782034</v>
      </c>
      <c r="G11" s="34"/>
      <c r="H11" s="33"/>
      <c r="I11" s="33"/>
      <c r="J11" s="33">
        <f>$C$31*('E Balans VL '!D11+'E Balans VL '!E11)/100/3.6*1000000</f>
        <v>0</v>
      </c>
      <c r="K11" s="33"/>
      <c r="L11" s="33"/>
      <c r="M11" s="33"/>
      <c r="N11" s="33">
        <f>$C$31*'E Balans VL '!Y11/100/3.6*1000000</f>
        <v>25.056711344306443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1454.8</v>
      </c>
      <c r="C13" s="247">
        <f ca="1">'lokale energieproductie'!O39+'lokale energieproductie'!O32</f>
        <v>72.604247104247108</v>
      </c>
      <c r="D13" s="310">
        <f ca="1">('lokale energieproductie'!P32+'lokale energieproductie'!P39)*(-1)</f>
        <v>-143.83011583011586</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-4011.4285714285716</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480536.12596734235</v>
      </c>
      <c r="C16" s="21">
        <f t="shared" ca="1" si="1"/>
        <v>72.604247104247108</v>
      </c>
      <c r="D16" s="21">
        <f t="shared" ca="1" si="1"/>
        <v>514612.47686152678</v>
      </c>
      <c r="E16" s="21">
        <f t="shared" si="1"/>
        <v>563.58540494598924</v>
      </c>
      <c r="F16" s="21">
        <f t="shared" ca="1" si="1"/>
        <v>55635.55991982494</v>
      </c>
      <c r="G16" s="21">
        <f t="shared" si="1"/>
        <v>0</v>
      </c>
      <c r="H16" s="21">
        <f t="shared" si="1"/>
        <v>0</v>
      </c>
      <c r="I16" s="21">
        <f t="shared" si="1"/>
        <v>0</v>
      </c>
      <c r="J16" s="21">
        <f t="shared" si="1"/>
        <v>0.26097629749284362</v>
      </c>
      <c r="K16" s="21">
        <f t="shared" si="1"/>
        <v>0</v>
      </c>
      <c r="L16" s="21">
        <f t="shared" ca="1" si="1"/>
        <v>0</v>
      </c>
      <c r="M16" s="21">
        <f t="shared" si="1"/>
        <v>0</v>
      </c>
      <c r="N16" s="21">
        <f t="shared" ca="1" si="1"/>
        <v>5708.354060946217</v>
      </c>
      <c r="O16" s="21">
        <f>O5</f>
        <v>39.178086126729234</v>
      </c>
      <c r="P16" s="21">
        <f>P5</f>
        <v>1155.8610427428903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0.21565802896208441</v>
      </c>
      <c r="C18" s="25">
        <f ca="1">'EF ele_warmte'!B22</f>
        <v>0.23543503630908252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103631.47377119296</v>
      </c>
      <c r="C20" s="23">
        <f t="shared" ref="C20:P20" ca="1" si="2">C16*C18</f>
        <v>17.093583553182018</v>
      </c>
      <c r="D20" s="23">
        <f t="shared" ca="1" si="2"/>
        <v>103951.72032602842</v>
      </c>
      <c r="E20" s="23">
        <f t="shared" si="2"/>
        <v>127.93388692273956</v>
      </c>
      <c r="F20" s="23">
        <f t="shared" ca="1" si="2"/>
        <v>14854.694498593261</v>
      </c>
      <c r="G20" s="23">
        <f t="shared" si="2"/>
        <v>0</v>
      </c>
      <c r="H20" s="23">
        <f t="shared" si="2"/>
        <v>0</v>
      </c>
      <c r="I20" s="23">
        <f t="shared" si="2"/>
        <v>0</v>
      </c>
      <c r="J20" s="23">
        <f t="shared" si="2"/>
        <v>9.2385609312466643E-2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114250.111522965</v>
      </c>
      <c r="C26" s="39">
        <f>IF(ISERROR(B26*3.6/1000000/'E Balans VL '!Z12*100),0,B26*3.6/1000000/'E Balans VL '!Z12*100)</f>
        <v>3.2221556945610663</v>
      </c>
      <c r="D26" s="237" t="s">
        <v>702</v>
      </c>
      <c r="F26" s="6"/>
    </row>
    <row r="27" spans="1:18">
      <c r="A27" s="231" t="s">
        <v>52</v>
      </c>
      <c r="B27" s="33">
        <f>IF(ISERROR(TER_horeca_ele_kWh/1000),0,TER_horeca_ele_kWh/1000)</f>
        <v>270243.12315120798</v>
      </c>
      <c r="C27" s="39">
        <f>IF(ISERROR(B27*3.6/1000000/'E Balans VL '!Z9*100),0,B27*3.6/1000000/'E Balans VL '!Z9*100)</f>
        <v>20.035207732120448</v>
      </c>
      <c r="D27" s="237" t="s">
        <v>702</v>
      </c>
      <c r="F27" s="6"/>
    </row>
    <row r="28" spans="1:18">
      <c r="A28" s="171" t="s">
        <v>51</v>
      </c>
      <c r="B28" s="33">
        <f>IF(ISERROR(TER_handel_ele_kWh/1000),0,TER_handel_ele_kWh/1000)</f>
        <v>44882.718711809299</v>
      </c>
      <c r="C28" s="39">
        <f>IF(ISERROR(B28*3.6/1000000/'E Balans VL '!Z13*100),0,B28*3.6/1000000/'E Balans VL '!Z13*100)</f>
        <v>1.3445795399578673</v>
      </c>
      <c r="D28" s="237" t="s">
        <v>702</v>
      </c>
      <c r="F28" s="6"/>
    </row>
    <row r="29" spans="1:18">
      <c r="A29" s="231" t="s">
        <v>50</v>
      </c>
      <c r="B29" s="33">
        <f>IF(ISERROR(TER_gezond_ele_kWh/1000),0,TER_gezond_ele_kWh/1000)</f>
        <v>14381.244980118099</v>
      </c>
      <c r="C29" s="39">
        <f>IF(ISERROR(B29*3.6/1000000/'E Balans VL '!Z10*100),0,B29*3.6/1000000/'E Balans VL '!Z10*100)</f>
        <v>1.4220231403358945</v>
      </c>
      <c r="D29" s="237" t="s">
        <v>702</v>
      </c>
      <c r="F29" s="6"/>
    </row>
    <row r="30" spans="1:18">
      <c r="A30" s="231" t="s">
        <v>49</v>
      </c>
      <c r="B30" s="33">
        <f>IF(ISERROR(TER_ander_ele_kWh/1000),0,TER_ander_ele_kWh/1000)</f>
        <v>26425.784862664201</v>
      </c>
      <c r="C30" s="39">
        <f>IF(ISERROR(B30*3.6/1000000/'E Balans VL '!Z14*100),0,B30*3.6/1000000/'E Balans VL '!Z14*100)</f>
        <v>1.0688449044075508</v>
      </c>
      <c r="D30" s="237" t="s">
        <v>702</v>
      </c>
      <c r="F30" s="6"/>
    </row>
    <row r="31" spans="1:18">
      <c r="A31" s="231" t="s">
        <v>54</v>
      </c>
      <c r="B31" s="33">
        <f>IF(ISERROR(TER_onderwijs_ele_kWh/1000),0,TER_onderwijs_ele_kWh/1000)</f>
        <v>8898.3427385777613</v>
      </c>
      <c r="C31" s="39">
        <f>IF(ISERROR(B31*3.6/1000000/'E Balans VL '!Z11*100),0,B31*3.6/1000000/'E Balans VL '!Z11*100)</f>
        <v>2.4447639160683283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8</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121837.15803005952</v>
      </c>
      <c r="C5" s="17">
        <f>IF(ISERROR('Eigen informatie GS &amp; warmtenet'!B61),0,'Eigen informatie GS &amp; warmtenet'!B61)</f>
        <v>0</v>
      </c>
      <c r="D5" s="30">
        <f>SUM(D6:D15)</f>
        <v>115253.54319308615</v>
      </c>
      <c r="E5" s="17">
        <f>SUM(E6:E15)</f>
        <v>828.24102791752205</v>
      </c>
      <c r="F5" s="17">
        <f>SUM(F6:F15)</f>
        <v>25921.903779724817</v>
      </c>
      <c r="G5" s="18"/>
      <c r="H5" s="17"/>
      <c r="I5" s="17"/>
      <c r="J5" s="17">
        <f>SUM(J6:J15)</f>
        <v>2.9704648129963092</v>
      </c>
      <c r="K5" s="17"/>
      <c r="L5" s="17"/>
      <c r="M5" s="17"/>
      <c r="N5" s="17">
        <f>SUM(N6:N15)</f>
        <v>3871.6148888172011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3319.74783154434</v>
      </c>
      <c r="C8" s="33"/>
      <c r="D8" s="37">
        <f>IF( ISERROR(IND_metaal_Gas_kWH/1000),0,IND_metaal_Gas_kWH/1000)*0.903</f>
        <v>1099.0120141297862</v>
      </c>
      <c r="E8" s="33">
        <f>C30*'E Balans VL '!I18/100/3.6*1000000</f>
        <v>16.738747794010067</v>
      </c>
      <c r="F8" s="33">
        <f>C30*'E Balans VL '!L18/100/3.6*1000000+C30*'E Balans VL '!N18/100/3.6*1000000</f>
        <v>226.81195559322583</v>
      </c>
      <c r="G8" s="34"/>
      <c r="H8" s="33"/>
      <c r="I8" s="33"/>
      <c r="J8" s="40">
        <f>C30*'E Balans VL '!D18/100/3.6*1000000+C30*'E Balans VL '!E18/100/3.6*1000000</f>
        <v>2.9432396308021245</v>
      </c>
      <c r="K8" s="33"/>
      <c r="L8" s="33"/>
      <c r="M8" s="33"/>
      <c r="N8" s="33">
        <f>C30*'E Balans VL '!Y18/100/3.6*1000000</f>
        <v>44.119468382358384</v>
      </c>
      <c r="O8" s="33"/>
      <c r="P8" s="33"/>
      <c r="R8" s="32"/>
    </row>
    <row r="9" spans="1:18">
      <c r="A9" s="6" t="s">
        <v>32</v>
      </c>
      <c r="B9" s="37">
        <f t="shared" si="0"/>
        <v>40062.933842977203</v>
      </c>
      <c r="C9" s="33"/>
      <c r="D9" s="37">
        <f>IF( ISERROR(IND_andere_gas_kWh/1000),0,IND_andere_gas_kWh/1000)*0.903</f>
        <v>33369.846704486437</v>
      </c>
      <c r="E9" s="33">
        <f>C31*'E Balans VL '!I19/100/3.6*1000000</f>
        <v>126.2878360792775</v>
      </c>
      <c r="F9" s="33">
        <f>C31*'E Balans VL '!L19/100/3.6*1000000+C31*'E Balans VL '!N19/100/3.6*1000000</f>
        <v>24524.843103298081</v>
      </c>
      <c r="G9" s="34"/>
      <c r="H9" s="33"/>
      <c r="I9" s="33"/>
      <c r="J9" s="40">
        <f>C31*'E Balans VL '!D19/100/3.6*1000000+C31*'E Balans VL '!E19/100/3.6*1000000</f>
        <v>0</v>
      </c>
      <c r="K9" s="33"/>
      <c r="L9" s="33"/>
      <c r="M9" s="33"/>
      <c r="N9" s="33">
        <f>C31*'E Balans VL '!Y19/100/3.6*1000000</f>
        <v>1679.8932143234601</v>
      </c>
      <c r="O9" s="33"/>
      <c r="P9" s="33"/>
      <c r="R9" s="32"/>
    </row>
    <row r="10" spans="1:18">
      <c r="A10" s="6" t="s">
        <v>40</v>
      </c>
      <c r="B10" s="37">
        <f t="shared" si="0"/>
        <v>67144.817482520797</v>
      </c>
      <c r="C10" s="33"/>
      <c r="D10" s="37">
        <f>IF( ISERROR(IND_voed_gas_kWh/1000),0,IND_voed_gas_kWh/1000)*0.903</f>
        <v>66430.251008243809</v>
      </c>
      <c r="E10" s="33">
        <f>C32*'E Balans VL '!I20/100/3.6*1000000</f>
        <v>107.00998190134868</v>
      </c>
      <c r="F10" s="33">
        <f>C32*'E Balans VL '!L20/100/3.6*1000000+C32*'E Balans VL '!N20/100/3.6*1000000</f>
        <v>1090.940170839739</v>
      </c>
      <c r="G10" s="34"/>
      <c r="H10" s="33"/>
      <c r="I10" s="33"/>
      <c r="J10" s="40">
        <f>C32*'E Balans VL '!D20/100/3.6*1000000+C32*'E Balans VL '!E20/100/3.6*1000000</f>
        <v>0</v>
      </c>
      <c r="K10" s="33"/>
      <c r="L10" s="33"/>
      <c r="M10" s="33"/>
      <c r="N10" s="33">
        <f>C32*'E Balans VL '!Y20/100/3.6*1000000</f>
        <v>2120.7686822891069</v>
      </c>
      <c r="O10" s="33"/>
      <c r="P10" s="33"/>
      <c r="R10" s="32"/>
    </row>
    <row r="11" spans="1:18">
      <c r="A11" s="6" t="s">
        <v>39</v>
      </c>
      <c r="B11" s="37">
        <f t="shared" si="0"/>
        <v>412.09884437886001</v>
      </c>
      <c r="C11" s="33"/>
      <c r="D11" s="37">
        <f>IF( ISERROR(IND_textiel_gas_kWh/1000),0,IND_textiel_gas_kWh/1000)*0.903</f>
        <v>1880.3143639456662</v>
      </c>
      <c r="E11" s="33">
        <f>C33*'E Balans VL '!I21/100/3.6*1000000</f>
        <v>0.5978801209310094</v>
      </c>
      <c r="F11" s="33">
        <f>C33*'E Balans VL '!L21/100/3.6*1000000+C33*'E Balans VL '!N21/100/3.6*1000000</f>
        <v>8.0650391650741149</v>
      </c>
      <c r="G11" s="34"/>
      <c r="H11" s="33"/>
      <c r="I11" s="33"/>
      <c r="J11" s="40">
        <f>C33*'E Balans VL '!D21/100/3.6*1000000+C33*'E Balans VL '!E21/100/3.6*1000000</f>
        <v>0</v>
      </c>
      <c r="K11" s="33"/>
      <c r="L11" s="33"/>
      <c r="M11" s="33"/>
      <c r="N11" s="33">
        <f>C33*'E Balans VL '!Y21/100/3.6*1000000</f>
        <v>20.076520422069031</v>
      </c>
      <c r="O11" s="33"/>
      <c r="P11" s="33"/>
      <c r="R11" s="32"/>
    </row>
    <row r="12" spans="1:18">
      <c r="A12" s="6" t="s">
        <v>36</v>
      </c>
      <c r="B12" s="37">
        <f t="shared" si="0"/>
        <v>35.711320206420702</v>
      </c>
      <c r="C12" s="33"/>
      <c r="D12" s="37">
        <f>IF( ISERROR(IND_min_gas_kWh/1000),0,IND_min_gas_kWh/1000)*0.903</f>
        <v>92.654487834093317</v>
      </c>
      <c r="E12" s="33">
        <f>C34*'E Balans VL '!I22/100/3.6*1000000</f>
        <v>0.15453255259613952</v>
      </c>
      <c r="F12" s="33">
        <f>C34*'E Balans VL '!L22/100/3.6*1000000+C34*'E Balans VL '!N22/100/3.6*1000000</f>
        <v>1.3635022885828265</v>
      </c>
      <c r="G12" s="34"/>
      <c r="H12" s="33"/>
      <c r="I12" s="33"/>
      <c r="J12" s="40">
        <f>C34*'E Balans VL '!D22/100/3.6*1000000+C34*'E Balans VL '!E22/100/3.6*1000000</f>
        <v>0</v>
      </c>
      <c r="K12" s="33"/>
      <c r="L12" s="33"/>
      <c r="M12" s="33"/>
      <c r="N12" s="33">
        <f>C34*'E Balans VL '!Y22/100/3.6*1000000</f>
        <v>6.0915467788030284</v>
      </c>
      <c r="O12" s="33"/>
      <c r="P12" s="33"/>
      <c r="R12" s="32"/>
    </row>
    <row r="13" spans="1:18">
      <c r="A13" s="6" t="s">
        <v>38</v>
      </c>
      <c r="B13" s="37">
        <f t="shared" si="0"/>
        <v>988.03883767898196</v>
      </c>
      <c r="C13" s="33"/>
      <c r="D13" s="37">
        <f>IF( ISERROR(IND_papier_gas_kWh/1000),0,IND_papier_gas_kWh/1000)*0.903</f>
        <v>1793.5619900306519</v>
      </c>
      <c r="E13" s="33">
        <f>C35*'E Balans VL '!I23/100/3.6*1000000</f>
        <v>0</v>
      </c>
      <c r="F13" s="33">
        <f>C35*'E Balans VL '!L23/100/3.6*1000000+C35*'E Balans VL '!N23/100/3.6*1000000</f>
        <v>4.2806436710146008E-2</v>
      </c>
      <c r="G13" s="34"/>
      <c r="H13" s="33"/>
      <c r="I13" s="33"/>
      <c r="J13" s="40">
        <f>C35*'E Balans VL '!D23/100/3.6*1000000+C35*'E Balans VL '!E23/100/3.6*1000000</f>
        <v>2.7225182194184506E-2</v>
      </c>
      <c r="K13" s="33"/>
      <c r="L13" s="33"/>
      <c r="M13" s="33"/>
      <c r="N13" s="33">
        <f>C35*'E Balans VL '!Y23/100/3.6*1000000</f>
        <v>0</v>
      </c>
      <c r="O13" s="33"/>
      <c r="P13" s="33"/>
      <c r="R13" s="32"/>
    </row>
    <row r="14" spans="1:18">
      <c r="A14" s="6" t="s">
        <v>33</v>
      </c>
      <c r="B14" s="37">
        <f t="shared" si="0"/>
        <v>9873.8098707529298</v>
      </c>
      <c r="C14" s="33"/>
      <c r="D14" s="37">
        <f>IF( ISERROR(IND_chemie_gas_kWh/1000),0,IND_chemie_gas_kWh/1000)*0.903</f>
        <v>10587.902624415705</v>
      </c>
      <c r="E14" s="33">
        <f>C36*'E Balans VL '!I24/100/3.6*1000000</f>
        <v>577.4520494693586</v>
      </c>
      <c r="F14" s="33">
        <f>C36*'E Balans VL '!L24/100/3.6*1000000+C36*'E Balans VL '!N24/100/3.6*1000000</f>
        <v>69.837202103404664</v>
      </c>
      <c r="G14" s="34"/>
      <c r="H14" s="33"/>
      <c r="I14" s="33"/>
      <c r="J14" s="40">
        <f>C36*'E Balans VL '!D24/100/3.6*1000000+C36*'E Balans VL '!E24/100/3.6*1000000</f>
        <v>0</v>
      </c>
      <c r="K14" s="33"/>
      <c r="L14" s="33"/>
      <c r="M14" s="33"/>
      <c r="N14" s="33">
        <f>C36*'E Balans VL '!Y24/100/3.6*1000000</f>
        <v>0.66545662140339579</v>
      </c>
      <c r="O14" s="33"/>
      <c r="P14" s="33"/>
      <c r="R14" s="32"/>
    </row>
    <row r="15" spans="1:18">
      <c r="A15" s="6" t="s">
        <v>269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121837.15803005952</v>
      </c>
      <c r="C18" s="21">
        <f>C5+C16</f>
        <v>0</v>
      </c>
      <c r="D18" s="21">
        <f>MAX((D5+D16),0)</f>
        <v>115253.54319308615</v>
      </c>
      <c r="E18" s="21">
        <f>MAX((E5+E16),0)</f>
        <v>828.24102791752205</v>
      </c>
      <c r="F18" s="21">
        <f>MAX((F5+F16),0)</f>
        <v>25921.903779724817</v>
      </c>
      <c r="G18" s="21"/>
      <c r="H18" s="21"/>
      <c r="I18" s="21"/>
      <c r="J18" s="21">
        <f>MAX((J5+J16),0)</f>
        <v>2.9704648129963092</v>
      </c>
      <c r="K18" s="21"/>
      <c r="L18" s="21">
        <f>MAX((L5+L16),0)</f>
        <v>0</v>
      </c>
      <c r="M18" s="21"/>
      <c r="N18" s="21">
        <f>MAX((N5+N16),0)</f>
        <v>3871.6148888172011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0.21565802896208441</v>
      </c>
      <c r="C20" s="25">
        <f ca="1">'EF ele_warmte'!B22</f>
        <v>0.23543503630908252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26275.161355104632</v>
      </c>
      <c r="C22" s="23">
        <f ca="1">C18*C20</f>
        <v>0</v>
      </c>
      <c r="D22" s="23">
        <f>D18*D20</f>
        <v>23281.215725003403</v>
      </c>
      <c r="E22" s="23">
        <f>E18*E20</f>
        <v>188.01071333727751</v>
      </c>
      <c r="F22" s="23">
        <f>F18*F20</f>
        <v>6921.1483091865266</v>
      </c>
      <c r="G22" s="23"/>
      <c r="H22" s="23"/>
      <c r="I22" s="23"/>
      <c r="J22" s="23">
        <f>J18*J20</f>
        <v>1.0515445438006934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3319.74783154434</v>
      </c>
      <c r="C30" s="39">
        <f>IF(ISERROR(B30*3.6/1000000/'E Balans VL '!Z18*100),0,B30*3.6/1000000/'E Balans VL '!Z18*100)</f>
        <v>0.16478480048036728</v>
      </c>
      <c r="D30" s="237" t="s">
        <v>702</v>
      </c>
    </row>
    <row r="31" spans="1:18">
      <c r="A31" s="6" t="s">
        <v>32</v>
      </c>
      <c r="B31" s="37">
        <f>IF( ISERROR(IND_ander_ele_kWh/1000),0,IND_ander_ele_kWh/1000)</f>
        <v>40062.933842977203</v>
      </c>
      <c r="C31" s="39">
        <f>IF(ISERROR(B31*3.6/1000000/'E Balans VL '!Z19*100),0,B31*3.6/1000000/'E Balans VL '!Z19*100)</f>
        <v>1.3519187220248261</v>
      </c>
      <c r="D31" s="237" t="s">
        <v>702</v>
      </c>
    </row>
    <row r="32" spans="1:18">
      <c r="A32" s="171" t="s">
        <v>40</v>
      </c>
      <c r="B32" s="37">
        <f>IF( ISERROR(IND_voed_ele_kWh/1000),0,IND_voed_ele_kWh/1000)</f>
        <v>67144.817482520797</v>
      </c>
      <c r="C32" s="39">
        <f>IF(ISERROR(B32*3.6/1000000/'E Balans VL '!Z20*100),0,B32*3.6/1000000/'E Balans VL '!Z20*100)</f>
        <v>1.5768499154781914</v>
      </c>
      <c r="D32" s="237" t="s">
        <v>702</v>
      </c>
    </row>
    <row r="33" spans="1:5">
      <c r="A33" s="171" t="s">
        <v>39</v>
      </c>
      <c r="B33" s="37">
        <f>IF( ISERROR(IND_textiel_ele_kWh/1000),0,IND_textiel_ele_kWh/1000)</f>
        <v>412.09884437886001</v>
      </c>
      <c r="C33" s="39">
        <f>IF(ISERROR(B33*3.6/1000000/'E Balans VL '!Z21*100),0,B33*3.6/1000000/'E Balans VL '!Z21*100)</f>
        <v>4.5227325811129093E-2</v>
      </c>
      <c r="D33" s="237" t="s">
        <v>702</v>
      </c>
    </row>
    <row r="34" spans="1:5">
      <c r="A34" s="171" t="s">
        <v>36</v>
      </c>
      <c r="B34" s="37">
        <f>IF( ISERROR(IND_min_ele_kWh/1000),0,IND_min_ele_kWh/1000)</f>
        <v>35.711320206420702</v>
      </c>
      <c r="C34" s="39">
        <f>IF(ISERROR(B34*3.6/1000000/'E Balans VL '!Z22*100),0,B34*3.6/1000000/'E Balans VL '!Z22*100)</f>
        <v>5.0663920864699799E-3</v>
      </c>
      <c r="D34" s="237" t="s">
        <v>702</v>
      </c>
    </row>
    <row r="35" spans="1:5">
      <c r="A35" s="171" t="s">
        <v>38</v>
      </c>
      <c r="B35" s="37">
        <f>IF( ISERROR(IND_papier_ele_kWh/1000),0,IND_papier_ele_kWh/1000)</f>
        <v>988.03883767898196</v>
      </c>
      <c r="C35" s="39">
        <f>IF(ISERROR(B35*3.6/1000000/'E Balans VL '!Z22*100),0,B35*3.6/1000000/'E Balans VL '!Z22*100)</f>
        <v>0.14017381937735746</v>
      </c>
      <c r="D35" s="237" t="s">
        <v>702</v>
      </c>
    </row>
    <row r="36" spans="1:5">
      <c r="A36" s="171" t="s">
        <v>33</v>
      </c>
      <c r="B36" s="37">
        <f>IF( ISERROR(IND_chemie_ele_kWh/1000),0,IND_chemie_ele_kWh/1000)</f>
        <v>9873.8098707529298</v>
      </c>
      <c r="C36" s="39">
        <f>IF(ISERROR(B36*3.6/1000000/'E Balans VL '!Z24*100),0,B36*3.6/1000000/'E Balans VL '!Z24*100)</f>
        <v>9.01634865281222E-2</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1787.9176161103001</v>
      </c>
      <c r="C5" s="17">
        <f>'Eigen informatie GS &amp; warmtenet'!B62</f>
        <v>0</v>
      </c>
      <c r="D5" s="30">
        <f>IF(ISERROR(SUM(LB_lb_gas_kWh,LB_rest_gas_kWh)/1000),0,SUM(LB_lb_gas_kWh,LB_rest_gas_kWh)/1000)*0.903</f>
        <v>957.35936596881459</v>
      </c>
      <c r="E5" s="17">
        <f>B17*'E Balans VL '!I25/3.6*1000000/100</f>
        <v>66.676916754616101</v>
      </c>
      <c r="F5" s="17">
        <f>B17*('E Balans VL '!L25/3.6*1000000+'E Balans VL '!N25/3.6*1000000)/100</f>
        <v>5800.6956252237751</v>
      </c>
      <c r="G5" s="18"/>
      <c r="H5" s="17"/>
      <c r="I5" s="17"/>
      <c r="J5" s="17">
        <f>('E Balans VL '!D25+'E Balans VL '!E25)/3.6*1000000*landbouw!B17/100</f>
        <v>469.33720101218699</v>
      </c>
      <c r="K5" s="17"/>
      <c r="L5" s="17">
        <f>L6*(-1)</f>
        <v>0</v>
      </c>
      <c r="M5" s="17"/>
      <c r="N5" s="17">
        <f>N6*(-1)</f>
        <v>0</v>
      </c>
      <c r="O5" s="17"/>
      <c r="P5" s="17"/>
      <c r="R5" s="32"/>
    </row>
    <row r="6" spans="1:18">
      <c r="A6" s="16" t="s">
        <v>479</v>
      </c>
      <c r="B6" s="17" t="s">
        <v>210</v>
      </c>
      <c r="C6" s="17">
        <f>'lokale energieproductie'!O40+'lokale energieproductie'!O33</f>
        <v>0</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1787.9176161103001</v>
      </c>
      <c r="C8" s="21">
        <f>C5+C6</f>
        <v>0</v>
      </c>
      <c r="D8" s="21">
        <f>MAX((D5+D6),0)</f>
        <v>957.35936596881459</v>
      </c>
      <c r="E8" s="21">
        <f>MAX((E5+E6),0)</f>
        <v>66.676916754616101</v>
      </c>
      <c r="F8" s="21">
        <f>MAX((F5+F6),0)</f>
        <v>5800.6956252237751</v>
      </c>
      <c r="G8" s="21"/>
      <c r="H8" s="21"/>
      <c r="I8" s="21"/>
      <c r="J8" s="21">
        <f>MAX((J5+J6),0)</f>
        <v>469.33720101218699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0.21565802896208441</v>
      </c>
      <c r="C10" s="31">
        <f ca="1">'EF ele_warmte'!B22</f>
        <v>0.23543503630908252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385.57878903693603</v>
      </c>
      <c r="C12" s="23">
        <f ca="1">C8*C10</f>
        <v>0</v>
      </c>
      <c r="D12" s="23">
        <f>D8*D10</f>
        <v>193.38659192570057</v>
      </c>
      <c r="E12" s="23">
        <f>E8*E10</f>
        <v>15.135660103297855</v>
      </c>
      <c r="F12" s="23">
        <f>F8*F10</f>
        <v>1548.7857319347481</v>
      </c>
      <c r="G12" s="23"/>
      <c r="H12" s="23"/>
      <c r="I12" s="23"/>
      <c r="J12" s="23">
        <f>J8*J10</f>
        <v>166.1453691583142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0.24556581896891488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45.259799126151705</v>
      </c>
      <c r="C26" s="247">
        <f>B26*'GWP N2O_CH4'!B5</f>
        <v>950.45578164918584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5.4010771212727269</v>
      </c>
      <c r="C27" s="247">
        <f>B27*'GWP N2O_CH4'!B5</f>
        <v>113.42261954672726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0.55231979008621157</v>
      </c>
      <c r="C28" s="247">
        <f>B28*'GWP N2O_CH4'!B4</f>
        <v>171.21913492672559</v>
      </c>
      <c r="D28" s="50"/>
    </row>
    <row r="29" spans="1:4">
      <c r="A29" s="41" t="s">
        <v>276</v>
      </c>
      <c r="B29" s="247">
        <f>B34*'ha_N2O bodem landbouw'!B4</f>
        <v>6.9198167976807801</v>
      </c>
      <c r="C29" s="247">
        <f>B29*'GWP N2O_CH4'!B4</f>
        <v>2145.1432072810417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1.5770460098864416E-3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1.650940184220044E-3</v>
      </c>
      <c r="C5" s="440" t="s">
        <v>210</v>
      </c>
      <c r="D5" s="425">
        <f>SUM(D6:D11)</f>
        <v>6.6743126240385474E-3</v>
      </c>
      <c r="E5" s="425">
        <f>SUM(E6:E11)</f>
        <v>4.0340599893214681E-3</v>
      </c>
      <c r="F5" s="438" t="s">
        <v>210</v>
      </c>
      <c r="G5" s="425">
        <f>SUM(G6:G11)</f>
        <v>1.5577929760299301</v>
      </c>
      <c r="H5" s="425">
        <f>SUM(H6:H11)</f>
        <v>0.43493323841499121</v>
      </c>
      <c r="I5" s="440" t="s">
        <v>210</v>
      </c>
      <c r="J5" s="440" t="s">
        <v>210</v>
      </c>
      <c r="K5" s="440" t="s">
        <v>210</v>
      </c>
      <c r="L5" s="440" t="s">
        <v>210</v>
      </c>
      <c r="M5" s="425">
        <f>SUM(M6:M11)</f>
        <v>0.11794104502544474</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4.3967546552017752E-4</v>
      </c>
      <c r="C6" s="426"/>
      <c r="D6" s="893">
        <f>vkm_GW_PW*SUMIFS(TableVerdeelsleutelVkm[CNG],TableVerdeelsleutelVkm[Voertuigtype],"Lichte voertuigen")*SUMIFS(TableECFTransport[EnergieConsumptieFactor (PJ per km)],TableECFTransport[Index],CONCATENATE($A6,"_CNG_CNG"))</f>
        <v>1.5879736057524501E-3</v>
      </c>
      <c r="E6" s="893">
        <f>vkm_GW_PW*SUMIFS(TableVerdeelsleutelVkm[LPG],TableVerdeelsleutelVkm[Voertuigtype],"Lichte voertuigen")*SUMIFS(TableECFTransport[EnergieConsumptieFactor (PJ per km)],TableECFTransport[Index],CONCATENATE($A6,"_LPG_LPG"))</f>
        <v>8.6302289354303272E-4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0.26856740709112326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0.10164198007348117</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2.2186589137839774E-2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6.1717108845679783E-2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6.4972952041926653E-7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3.4747698979226784E-3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2.7792935932335086E-4</v>
      </c>
      <c r="C8" s="426"/>
      <c r="D8" s="428">
        <f>vkm_NGW_PW*SUMIFS(TableVerdeelsleutelVkm[CNG],TableVerdeelsleutelVkm[Voertuigtype],"Lichte voertuigen")*SUMIFS(TableECFTransport[EnergieConsumptieFactor (PJ per km)],TableECFTransport[Index],CONCATENATE($A8,"_CNG_CNG"))</f>
        <v>1.7014997084614455E-3</v>
      </c>
      <c r="E8" s="428">
        <f>vkm_NGW_PW*SUMIFS(TableVerdeelsleutelVkm[LPG],TableVerdeelsleutelVkm[Voertuigtype],"Lichte voertuigen")*SUMIFS(TableECFTransport[EnergieConsumptieFactor (PJ per km)],TableECFTransport[Index],CONCATENATE($A8,"_LPG_LPG"))</f>
        <v>8.7873242438838003E-4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0.25448112698271236</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0.10725042044521962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2.1783411389695109E-2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8.7400680765662639E-3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1.3364254960930029E-7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4.9208241676075971E-4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9.3333535937651561E-4</v>
      </c>
      <c r="C10" s="426"/>
      <c r="D10" s="428">
        <f>vkm_SW_PW*SUMIFS(TableVerdeelsleutelVkm[CNG],TableVerdeelsleutelVkm[Voertuigtype],"Lichte voertuigen")*SUMIFS(TableECFTransport[EnergieConsumptieFactor (PJ per km)],TableECFTransport[Index],CONCATENATE($A10,"_CNG_CNG"))</f>
        <v>3.3848393098246518E-3</v>
      </c>
      <c r="E10" s="428">
        <f>vkm_SW_PW*SUMIFS(TableVerdeelsleutelVkm[LPG],TableVerdeelsleutelVkm[Voertuigtype],"Lichte voertuigen")*SUMIFS(TableECFTransport[EnergieConsumptieFactor (PJ per km)],TableECFTransport[Index],CONCATENATE($A10,"_LPG_LPG"))</f>
        <v>2.2923046713900553E-3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0.63391600378261337</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0.2260363712633861</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5.1403758431779092E-2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0.33037126125123506</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3.6832608342726988E-6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1.8600433751447321E-2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458.5944956166789</v>
      </c>
      <c r="C14" s="21"/>
      <c r="D14" s="21">
        <f t="shared" ref="D14:M14" si="0">((D5)*10^9/3600)+D12</f>
        <v>1853.9757288995966</v>
      </c>
      <c r="E14" s="21">
        <f t="shared" si="0"/>
        <v>1120.5722192559633</v>
      </c>
      <c r="F14" s="21"/>
      <c r="G14" s="21">
        <f t="shared" si="0"/>
        <v>432720.27111942502</v>
      </c>
      <c r="H14" s="21">
        <f t="shared" si="0"/>
        <v>120814.78844860867</v>
      </c>
      <c r="I14" s="21"/>
      <c r="J14" s="21"/>
      <c r="K14" s="21"/>
      <c r="L14" s="21"/>
      <c r="M14" s="21">
        <f t="shared" si="0"/>
        <v>32761.401395956869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0.21565802896208441</v>
      </c>
      <c r="C16" s="56">
        <f ca="1">'EF ele_warmte'!B22</f>
        <v>0.23543503630908252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98.89958501755423</v>
      </c>
      <c r="C18" s="23"/>
      <c r="D18" s="23">
        <f t="shared" ref="D18:M18" si="1">D14*D16</f>
        <v>374.50309723771852</v>
      </c>
      <c r="E18" s="23">
        <f t="shared" si="1"/>
        <v>254.36989377110368</v>
      </c>
      <c r="F18" s="23"/>
      <c r="G18" s="23">
        <f t="shared" si="1"/>
        <v>115536.31238888648</v>
      </c>
      <c r="H18" s="23">
        <f t="shared" si="1"/>
        <v>30082.882323703558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8.0023145177103336E-2</v>
      </c>
      <c r="H50" s="321">
        <f t="shared" si="2"/>
        <v>0</v>
      </c>
      <c r="I50" s="321">
        <f t="shared" si="2"/>
        <v>0</v>
      </c>
      <c r="J50" s="321">
        <f t="shared" si="2"/>
        <v>0</v>
      </c>
      <c r="K50" s="321">
        <f t="shared" si="2"/>
        <v>0</v>
      </c>
      <c r="L50" s="321">
        <f t="shared" si="2"/>
        <v>0</v>
      </c>
      <c r="M50" s="321">
        <f t="shared" si="2"/>
        <v>4.3425116362030662E-3</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8.0023145177103336E-2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4.3425116362030662E-3</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22228.65143808426</v>
      </c>
      <c r="H54" s="21">
        <f t="shared" si="3"/>
        <v>0</v>
      </c>
      <c r="I54" s="21">
        <f t="shared" si="3"/>
        <v>0</v>
      </c>
      <c r="J54" s="21">
        <f t="shared" si="3"/>
        <v>0</v>
      </c>
      <c r="K54" s="21">
        <f t="shared" si="3"/>
        <v>0</v>
      </c>
      <c r="L54" s="21">
        <f t="shared" si="3"/>
        <v>0</v>
      </c>
      <c r="M54" s="21">
        <f t="shared" si="3"/>
        <v>1206.2532322786296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0.21565802896208441</v>
      </c>
      <c r="C56" s="56">
        <f ca="1">'EF ele_warmte'!B22</f>
        <v>0.23543503630908252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5935.0499339684975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16957.088374088253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50.800000000000004</v>
      </c>
      <c r="C8" s="551">
        <f>B49</f>
        <v>59.208415071789062</v>
      </c>
      <c r="D8" s="552"/>
      <c r="E8" s="552">
        <f>E49</f>
        <v>0</v>
      </c>
      <c r="F8" s="553"/>
      <c r="G8" s="554"/>
      <c r="H8" s="552">
        <f>I49</f>
        <v>0</v>
      </c>
      <c r="I8" s="552">
        <f>G49+F49</f>
        <v>0</v>
      </c>
      <c r="J8" s="552">
        <f>H49+D49+C49</f>
        <v>0</v>
      </c>
      <c r="K8" s="552"/>
      <c r="L8" s="552"/>
      <c r="M8" s="552"/>
      <c r="N8" s="555"/>
      <c r="O8" s="556">
        <f>C8*$C$12+D8*$D$12+E8*$E$12+F8*$F$12+G8*$G$12+H8*$H$12+I8*$I$12+J8*$J$12</f>
        <v>11.960099844501391</v>
      </c>
      <c r="P8" s="1256"/>
      <c r="Q8" s="1257"/>
      <c r="S8" s="546"/>
      <c r="T8" s="1244"/>
      <c r="U8" s="1244"/>
    </row>
    <row r="9" spans="1:21" s="537" customFormat="1" ht="17.45" customHeight="1" thickBot="1">
      <c r="A9" s="557" t="s">
        <v>247</v>
      </c>
      <c r="B9" s="558">
        <f>N37+'Eigen informatie GS &amp; warmtenet'!B12</f>
        <v>1404</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18411.888374088252</v>
      </c>
      <c r="C10" s="566">
        <f t="shared" ref="C10:L10" si="0">SUM(C8:C9)</f>
        <v>59.208415071789062</v>
      </c>
      <c r="D10" s="566">
        <f t="shared" si="0"/>
        <v>0</v>
      </c>
      <c r="E10" s="566">
        <f t="shared" si="0"/>
        <v>0</v>
      </c>
      <c r="F10" s="566">
        <f t="shared" si="0"/>
        <v>0</v>
      </c>
      <c r="G10" s="566">
        <f t="shared" si="0"/>
        <v>0</v>
      </c>
      <c r="H10" s="566">
        <f t="shared" si="0"/>
        <v>0</v>
      </c>
      <c r="I10" s="566">
        <f t="shared" si="0"/>
        <v>0</v>
      </c>
      <c r="J10" s="566">
        <f t="shared" si="0"/>
        <v>4011.4285714285716</v>
      </c>
      <c r="K10" s="566">
        <f t="shared" si="0"/>
        <v>0</v>
      </c>
      <c r="L10" s="566">
        <f t="shared" si="0"/>
        <v>0</v>
      </c>
      <c r="M10" s="969"/>
      <c r="N10" s="969"/>
      <c r="O10" s="567">
        <f>SUM(O4:O9)</f>
        <v>11.960099844501391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72.604247104247108</v>
      </c>
      <c r="C17" s="582">
        <f>B50</f>
        <v>84.62170075832681</v>
      </c>
      <c r="D17" s="583"/>
      <c r="E17" s="583">
        <f>E50</f>
        <v>0</v>
      </c>
      <c r="F17" s="584"/>
      <c r="G17" s="585"/>
      <c r="H17" s="582">
        <f>I50</f>
        <v>0</v>
      </c>
      <c r="I17" s="583">
        <f>G50+F50</f>
        <v>0</v>
      </c>
      <c r="J17" s="583">
        <f>H50+D50+C50</f>
        <v>0</v>
      </c>
      <c r="K17" s="583"/>
      <c r="L17" s="583"/>
      <c r="M17" s="583"/>
      <c r="N17" s="970"/>
      <c r="O17" s="586">
        <f>C17*$C$22+E17*$E$22+H17*$H$22+I17*$I$22+J17*$J$22+D17*$D$22+F17*$F$22+G17*$G$22+K17*$K$22+L17*$L$22</f>
        <v>17.093583553182018</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72.604247104247108</v>
      </c>
      <c r="C20" s="565">
        <f>SUM(C17:C19)</f>
        <v>84.62170075832681</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17.093583553182018</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51">
      <c r="A28" s="595"/>
      <c r="B28" s="794">
        <v>24062</v>
      </c>
      <c r="C28" s="794">
        <v>3001</v>
      </c>
      <c r="D28" s="643" t="s">
        <v>865</v>
      </c>
      <c r="E28" s="642" t="s">
        <v>866</v>
      </c>
      <c r="F28" s="642" t="s">
        <v>867</v>
      </c>
      <c r="G28" s="642" t="s">
        <v>868</v>
      </c>
      <c r="H28" s="642" t="s">
        <v>869</v>
      </c>
      <c r="I28" s="642" t="s">
        <v>866</v>
      </c>
      <c r="J28" s="793">
        <v>40940</v>
      </c>
      <c r="K28" s="793">
        <v>41244</v>
      </c>
      <c r="L28" s="642" t="s">
        <v>870</v>
      </c>
      <c r="M28" s="642">
        <v>9.4</v>
      </c>
      <c r="N28" s="642">
        <v>42.300000000000004</v>
      </c>
      <c r="O28" s="642">
        <v>60.428571428571438</v>
      </c>
      <c r="P28" s="642">
        <v>120.85714285714288</v>
      </c>
      <c r="Q28" s="642">
        <v>0</v>
      </c>
      <c r="R28" s="642">
        <v>0</v>
      </c>
      <c r="S28" s="642">
        <v>0</v>
      </c>
      <c r="T28" s="642">
        <v>0</v>
      </c>
      <c r="U28" s="642">
        <v>0</v>
      </c>
      <c r="V28" s="642">
        <v>0</v>
      </c>
      <c r="W28" s="642">
        <v>0</v>
      </c>
      <c r="X28" s="642">
        <v>1500</v>
      </c>
      <c r="Y28" s="642" t="s">
        <v>50</v>
      </c>
      <c r="Z28" s="644" t="s">
        <v>155</v>
      </c>
    </row>
    <row r="29" spans="1:26" s="596" customFormat="1" ht="51">
      <c r="A29" s="595"/>
      <c r="B29" s="794">
        <v>24062</v>
      </c>
      <c r="C29" s="794">
        <v>3000</v>
      </c>
      <c r="D29" s="643"/>
      <c r="E29" s="642"/>
      <c r="F29" s="642" t="s">
        <v>871</v>
      </c>
      <c r="G29" s="642" t="s">
        <v>872</v>
      </c>
      <c r="H29" s="642" t="s">
        <v>872</v>
      </c>
      <c r="I29" s="642" t="s">
        <v>873</v>
      </c>
      <c r="J29" s="793">
        <v>42311</v>
      </c>
      <c r="K29" s="793">
        <v>42311</v>
      </c>
      <c r="L29" s="642" t="s">
        <v>870</v>
      </c>
      <c r="M29" s="642">
        <v>1.7</v>
      </c>
      <c r="N29" s="642">
        <v>8.5</v>
      </c>
      <c r="O29" s="642">
        <v>12.175675675675675</v>
      </c>
      <c r="P29" s="642">
        <v>22.972972972972972</v>
      </c>
      <c r="Q29" s="642">
        <v>0</v>
      </c>
      <c r="R29" s="642">
        <v>0</v>
      </c>
      <c r="S29" s="642">
        <v>0</v>
      </c>
      <c r="T29" s="642">
        <v>0</v>
      </c>
      <c r="U29" s="642">
        <v>0</v>
      </c>
      <c r="V29" s="642">
        <v>0</v>
      </c>
      <c r="W29" s="642">
        <v>0</v>
      </c>
      <c r="X29" s="642">
        <v>1500</v>
      </c>
      <c r="Y29" s="642" t="s">
        <v>50</v>
      </c>
      <c r="Z29" s="644" t="s">
        <v>155</v>
      </c>
    </row>
    <row r="30" spans="1:26" s="576" customFormat="1">
      <c r="A30" s="598" t="s">
        <v>279</v>
      </c>
      <c r="B30" s="599"/>
      <c r="C30" s="599"/>
      <c r="D30" s="599"/>
      <c r="E30" s="599"/>
      <c r="F30" s="599"/>
      <c r="G30" s="599"/>
      <c r="H30" s="599"/>
      <c r="I30" s="599"/>
      <c r="J30" s="599"/>
      <c r="K30" s="599"/>
      <c r="L30" s="600"/>
      <c r="M30" s="600">
        <f>SUM(M28:M29)</f>
        <v>11.1</v>
      </c>
      <c r="N30" s="600">
        <f>SUM(N28:N29)</f>
        <v>50.800000000000004</v>
      </c>
      <c r="O30" s="600">
        <f>SUM(O28:O29)</f>
        <v>72.604247104247108</v>
      </c>
      <c r="P30" s="600">
        <f>SUM(P28:P29)</f>
        <v>143.83011583011586</v>
      </c>
      <c r="Q30" s="600">
        <f>SUM(Q28:Q29)</f>
        <v>0</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11.1</v>
      </c>
      <c r="N32" s="600">
        <f ca="1">SUMIF($Z$28:AD29,"tertiair",N28:N29)</f>
        <v>50.800000000000004</v>
      </c>
      <c r="O32" s="600">
        <f ca="1">SUMIF($Z$28:AE29,"tertiair",O28:O29)</f>
        <v>72.604247104247108</v>
      </c>
      <c r="P32" s="600">
        <f ca="1">SUMIF($Z$28:AF29,"tertiair",P28:P29)</f>
        <v>143.83011583011586</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0</v>
      </c>
      <c r="N33" s="605">
        <f>SUMIF($Z$28:$Z$29,"landbouw",N28:N29)</f>
        <v>0</v>
      </c>
      <c r="O33" s="605">
        <f>SUMIF($Z$28:$Z$29,"landbouw",O28:O29)</f>
        <v>0</v>
      </c>
      <c r="P33" s="605">
        <f>SUMIF($Z$28:$Z$29,"landbouw",P28:P29)</f>
        <v>0</v>
      </c>
      <c r="Q33" s="605">
        <f>SUMIF($Z$28:$Z$29,"landbouw",Q28:Q29)</f>
        <v>0</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63.75">
      <c r="A36" s="597"/>
      <c r="B36" s="794">
        <v>24062</v>
      </c>
      <c r="C36" s="794">
        <v>3010</v>
      </c>
      <c r="D36" s="645" t="s">
        <v>874</v>
      </c>
      <c r="E36" s="645" t="s">
        <v>875</v>
      </c>
      <c r="F36" s="645" t="s">
        <v>876</v>
      </c>
      <c r="G36" s="645" t="s">
        <v>877</v>
      </c>
      <c r="H36" s="645" t="s">
        <v>878</v>
      </c>
      <c r="I36" s="645" t="s">
        <v>879</v>
      </c>
      <c r="J36" s="793">
        <v>36898</v>
      </c>
      <c r="K36" s="793">
        <v>37316</v>
      </c>
      <c r="L36" s="645" t="s">
        <v>880</v>
      </c>
      <c r="M36" s="645">
        <v>312</v>
      </c>
      <c r="N36" s="645">
        <v>1404</v>
      </c>
      <c r="O36" s="645">
        <v>0</v>
      </c>
      <c r="P36" s="645">
        <v>0</v>
      </c>
      <c r="Q36" s="645">
        <v>4011.4285714285716</v>
      </c>
      <c r="R36" s="645">
        <v>0</v>
      </c>
      <c r="S36" s="645">
        <v>0</v>
      </c>
      <c r="T36" s="645">
        <v>0</v>
      </c>
      <c r="U36" s="645">
        <v>0</v>
      </c>
      <c r="V36" s="645">
        <v>0</v>
      </c>
      <c r="W36" s="645">
        <v>0</v>
      </c>
      <c r="X36" s="645">
        <v>1600</v>
      </c>
      <c r="Y36" s="645" t="s">
        <v>49</v>
      </c>
      <c r="Z36" s="646" t="s">
        <v>155</v>
      </c>
    </row>
    <row r="37" spans="1:27" s="576" customFormat="1">
      <c r="A37" s="598" t="s">
        <v>279</v>
      </c>
      <c r="B37" s="599"/>
      <c r="C37" s="599"/>
      <c r="D37" s="599"/>
      <c r="E37" s="599"/>
      <c r="F37" s="599"/>
      <c r="G37" s="599"/>
      <c r="H37" s="599"/>
      <c r="I37" s="599"/>
      <c r="J37" s="599"/>
      <c r="K37" s="599"/>
      <c r="L37" s="600"/>
      <c r="M37" s="600">
        <f>SUM(M36:M36)</f>
        <v>312</v>
      </c>
      <c r="N37" s="600">
        <f>SUM(N36:N36)</f>
        <v>1404</v>
      </c>
      <c r="O37" s="600">
        <f>SUM(O36:O36)</f>
        <v>0</v>
      </c>
      <c r="P37" s="600">
        <f>SUM(P36:P36)</f>
        <v>0</v>
      </c>
      <c r="Q37" s="600">
        <f>SUM(Q36:Q36)</f>
        <v>4011.4285714285716</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312</v>
      </c>
      <c r="N39" s="600">
        <f>SUMIF($Z$36:$Z$37,"tertiair",N36:N37)</f>
        <v>1404</v>
      </c>
      <c r="O39" s="600">
        <f>SUMIF($Z$36:$Z$37,"tertiair",O36:O37)</f>
        <v>0</v>
      </c>
      <c r="P39" s="600">
        <f>SUMIF($Z$36:$Z$37,"tertiair",P36:P37)</f>
        <v>0</v>
      </c>
      <c r="Q39" s="600">
        <f>SUMIF($Z$36:$Z$37,"tertiair",Q36:Q37)</f>
        <v>4011.4285714285716</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0.58834480018271873</v>
      </c>
      <c r="C46" s="625">
        <f>IF(ISERROR(N30/(O30+N30)),0,N30/(N30+O30))</f>
        <v>0.41165519981728133</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59.208415071789062</v>
      </c>
      <c r="C49" s="634">
        <f t="shared" si="2"/>
        <v>0</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84.62170075832681</v>
      </c>
      <c r="C50" s="637">
        <f t="shared" si="3"/>
        <v>0</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2020-06-20T15:20:57Z</dcterms:modified>
</cp:coreProperties>
</file>