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I9" i="18"/>
  <c r="I77" i="14" s="1"/>
  <c r="I9" i="59" s="1"/>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B15" i="48"/>
  <c r="E16" i="14"/>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17" i="49"/>
  <c r="C56" i="22"/>
  <c r="C58" i="22" s="1"/>
  <c r="D49" i="14" s="1"/>
  <c r="D52" i="14" s="1"/>
  <c r="C10" i="17"/>
  <c r="C12" i="17" s="1"/>
  <c r="D54" i="14" s="1"/>
  <c r="D56" i="14" s="1"/>
  <c r="C10" i="13"/>
  <c r="C12" i="13" s="1"/>
  <c r="D41" i="14" s="1"/>
  <c r="D46" i="14" s="1"/>
  <c r="D61" i="14" s="1"/>
  <c r="D63" i="14" s="1"/>
  <c r="C29" i="20"/>
  <c r="C22" i="59"/>
  <c r="C18" i="15"/>
  <c r="C20" i="15" s="1"/>
  <c r="D40" i="14" s="1"/>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<sst xmlns="http://schemas.openxmlformats.org/spreadsheetml/2006/main" count="2375" uniqueCount="872">
  <si>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</si>
  <si>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</si>
  <si>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</si>
  <si>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</si>
  <si>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</si>
  <si>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</si>
  <si>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</si>
  <si>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</si>
  <si>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</si>
  <si>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</si>
  <si>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</si>
  <si>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</si>
  <si>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</si>
  <si>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</si>
  <si>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</si>
  <si>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</si>
  <si>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</si>
  <si>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</si>
  <si>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</si>
  <si>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</si>
  <si>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</si>
  <si>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</si>
  <si>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</si>
  <si>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</si>
  <si>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</si>
  <si>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</si>
  <si>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</si>
  <si>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</si>
  <si>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</si>
  <si>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</si>
  <si>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</si>
  <si>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</si>
  <si>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</si>
  <si>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</si>
  <si>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</si>
  <si>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</si>
  <si>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</si>
  <si>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</si>
  <si>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</si>
  <si>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</si>
  <si>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</si>
  <si>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</si>
  <si>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</si>
  <si>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</si>
  <si>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</si>
  <si>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</si>
  <si>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</si>
  <si>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</si>
  <si>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</si>
  <si>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</si>
  <si>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</si>
  <si>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</si>
  <si>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</si>
  <si>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</si>
  <si>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</si>
  <si>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</si>
  <si>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</si>
  <si>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</si>
  <si>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</si>
  <si>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</si>
  <si>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</si>
  <si>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</si>
  <si>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</si>
  <si>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</si>
  <si>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</si>
  <si>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</si>
  <si>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</si>
  <si>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</si>
  <si>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</si>
  <si>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</si>
  <si>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</si>
  <si>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</si>
  <si>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</si>
  <si>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</si>
  <si>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</si>
  <si>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</si>
  <si>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</si>
  <si>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</si>
  <si>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</si>
  <si>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</si>
  <si>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</si>
  <si>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</si>
  <si>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</si>
  <si>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</si>
  <si>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</si>
  <si>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</si>
  <si>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</si>
  <si>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</si>
  <si>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</si>
  <si>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</si>
  <si>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</si>
  <si>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</si>
  <si>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</si>
  <si>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</si>
  <si>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</si>
  <si>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</si>
  <si>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</si>
  <si>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</si>
  <si>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</si>
  <si>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</si>
  <si>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</si>
  <si>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</si>
  <si>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</si>
  <si>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</si>
  <si>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</si>
  <si>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</si>
  <si>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</si>
  <si>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</si>
  <si>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</si>
  <si>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</si>
  <si>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</si>
  <si>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</si>
  <si>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</si>
  <si>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</si>
  <si>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</si>
  <si>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</si>
  <si>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</si>
  <si>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</si>
  <si>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</si>
  <si>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</si>
  <si>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</si>
  <si>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</si>
  <si>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</si>
  <si>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</si>
  <si>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</si>
  <si>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</si>
  <si>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</si>
  <si>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</si>
  <si>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</si>
  <si>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</si>
  <si>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</si>
  <si>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</si>
  <si>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</si>
  <si>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</si>
  <si>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</si>
  <si>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</si>
  <si>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</si>
  <si>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</si>
  <si>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</si>
  <si>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</si>
  <si>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</si>
  <si>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</si>
  <si>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</si>
  <si>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</si>
  <si>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</si>
  <si>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</si>
  <si>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</si>
  <si>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</si>
  <si>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</si>
  <si>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</si>
  <si>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</si>
  <si>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</si>
  <si>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</si>
  <si>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</si>
  <si>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</si>
  <si>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</si>
  <si>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</si>
  <si>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</si>
  <si>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</si>
  <si>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</si>
  <si>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</si>
  <si>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</si>
  <si>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</si>
  <si>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</si>
  <si>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</si>
  <si>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</si>
  <si>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</si>
  <si>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</si>
  <si>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</si>
  <si>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</si>
  <si>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</si>
  <si>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</si>
  <si>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</si>
  <si>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</si>
  <si>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</si>
  <si>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</si>
  <si>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</si>
  <si>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</si>
  <si>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</si>
  <si>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</si>
  <si>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</si>
  <si>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</si>
  <si>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</si>
  <si>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</si>
  <si>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</si>
  <si>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</si>
  <si>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</si>
  <si>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</si>
  <si>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</si>
  <si>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</si>
  <si>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</si>
  <si>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</si>
  <si>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</si>
  <si>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</si>
  <si>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</si>
  <si>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</si>
  <si>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</si>
  <si>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</si>
  <si>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</si>
  <si>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</si>
  <si>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</si>
  <si>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</si>
  <si>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</si>
  <si>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</si>
  <si>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</si>
  <si>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</si>
  <si>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</si>
  <si>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</si>
  <si>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</si>
  <si>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</si>
  <si>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</si>
  <si>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</si>
  <si>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</si>
  <si>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</si>
  <si>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</si>
  <si>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</si>
  <si>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</si>
  <si>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</si>
  <si>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</si>
  <si>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</si>
  <si>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</si>
  <si>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</si>
  <si>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</si>
  <si>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</si>
  <si>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</si>
  <si>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</si>
  <si>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</si>
  <si>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</si>
  <si>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</si>
  <si>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</si>
  <si>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</si>
  <si>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</si>
  <si>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</si>
  <si>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</si>
  <si>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</si>
  <si>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</si>
  <si>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</si>
  <si>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</si>
  <si>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</si>
  <si>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</si>
  <si>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</si>
  <si>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</si>
  <si>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</si>
  <si>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</si>
  <si>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</si>
  <si>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</si>
  <si>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</si>
  <si>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</si>
  <si>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</si>
  <si>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</si>
  <si>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</si>
  <si>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</si>
  <si>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</si>
  <si>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</si>
  <si>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</si>
  <si>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</si>
  <si>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</si>
  <si>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</si>
  <si>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</si>
  <si>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</si>
  <si>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</si>
  <si>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</si>
  <si>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</si>
  <si>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</si>
  <si>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</si>
  <si>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</si>
  <si>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</si>
  <si>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</si>
  <si>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</si>
  <si>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</si>
  <si>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</si>
  <si>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</si>
  <si>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</si>
  <si>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</si>
  <si>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</si>
  <si>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</si>
  <si>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</si>
  <si>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</si>
  <si>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</si>
  <si>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</si>
  <si>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</si>
  <si>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</si>
  <si>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</si>
  <si>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</si>
  <si>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</si>
  <si>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</si>
  <si>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</si>
  <si>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</si>
  <si>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</si>
  <si>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</si>
  <si>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</si>
  <si>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</si>
  <si>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</si>
  <si>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</si>
  <si>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</si>
  <si>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</si>
  <si>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</si>
  <si>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</si>
  <si>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</si>
  <si>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</si>
  <si>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</si>
  <si>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</si>
  <si>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</si>
  <si>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</si>
  <si>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</si>
  <si>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</si>
  <si>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</si>
  <si>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</si>
  <si>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</si>
  <si>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</si>
  <si>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</si>
  <si>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</si>
  <si>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</si>
  <si>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</si>
  <si>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</si>
  <si>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</si>
  <si>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</si>
  <si>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</si>
  <si>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</si>
  <si>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</si>
  <si>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</si>
  <si>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</si>
  <si>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</si>
  <si>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</si>
  <si>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</si>
  <si>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</si>
  <si>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</si>
  <si>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</si>
  <si>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</si>
  <si>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</si>
  <si>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</si>
  <si>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</si>
  <si>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</si>
  <si>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</si>
  <si>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</si>
  <si>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</si>
  <si>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</si>
  <si>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</si>
  <si>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</si>
  <si>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</si>
  <si>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</si>
  <si>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</si>
  <si>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</si>
  <si>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</si>
  <si>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</si>
  <si>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</si>
  <si>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</si>
  <si>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</si>
  <si>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</si>
  <si>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</si>
  <si>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</si>
  <si>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</si>
  <si>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</si>
  <si>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</si>
  <si>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</si>
  <si>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</si>
  <si>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</si>
  <si>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</si>
  <si>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</si>
  <si>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</si>
  <si>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</si>
  <si>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</si>
  <si>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</si>
  <si>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</si>
  <si>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</si>
  <si>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</si>
  <si>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</si>
  <si>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</si>
  <si>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</si>
  <si>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</si>
  <si>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</si>
  <si>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</si>
  <si>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</si>
  <si>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</si>
  <si>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</si>
  <si>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</si>
  <si>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</si>
  <si>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</si>
  <si>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</si>
  <si>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</si>
  <si>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</si>
  <si>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</si>
  <si>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</si>
  <si>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</si>
  <si>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</si>
  <si>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</si>
  <si>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</si>
  <si>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</si>
  <si>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</si>
  <si>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</si>
  <si>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</si>
  <si>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</si>
  <si>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</si>
  <si>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</si>
  <si>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</si>
  <si>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</si>
  <si>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</si>
  <si>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</si>
  <si>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</si>
  <si>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</si>
  <si>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</si>
  <si>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</si>
  <si>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</si>
  <si>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</si>
  <si>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</si>
  <si>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</si>
  <si>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</si>
  <si>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</si>
  <si>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</si>
  <si>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</si>
  <si>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</si>
  <si>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</si>
  <si>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</si>
  <si>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</si>
  <si>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</si>
  <si>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</si>
  <si>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</si>
  <si>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</si>
  <si>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</si>
  <si>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</si>
  <si>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</si>
  <si>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</si>
  <si>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</si>
  <si>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</si>
  <si>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</si>
  <si>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</si>
  <si>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</si>
  <si>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</si>
  <si>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</si>
  <si>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</si>
  <si>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</si>
  <si>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</si>
  <si>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</si>
  <si>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</si>
  <si>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</si>
  <si>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</si>
  <si>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</si>
  <si>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</si>
  <si>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</si>
  <si>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</si>
  <si>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</si>
  <si>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</si>
  <si>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</si>
  <si>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</si>
  <si>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</si>
  <si>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</si>
  <si>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</si>
  <si>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</si>
  <si>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</si>
  <si>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</si>
  <si>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</si>
  <si>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</si>
  <si>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</si>
  <si>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</si>
  <si>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</si>
  <si>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</si>
  <si>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</si>
  <si>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</si>
  <si>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</si>
  <si>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</si>
  <si>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</si>
  <si>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</si>
  <si>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</si>
  <si>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</si>
  <si>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</si>
  <si>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</si>
  <si>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</si>
  <si>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</si>
  <si>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</si>
  <si>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</si>
  <si>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</si>
  <si>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</si>
  <si>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</si>
  <si>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</si>
  <si>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</si>
  <si>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</si>
  <si>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</si>
  <si>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</si>
  <si>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</si>
  <si>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</si>
  <si>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</si>
  <si>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</si>
  <si>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</si>
  <si>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</si>
  <si>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</si>
  <si>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</si>
  <si>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</si>
  <si>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</si>
  <si>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</si>
  <si>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</si>
  <si>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</si>
  <si>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</si>
  <si>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</si>
  <si>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</si>
  <si>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</si>
  <si>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</si>
  <si>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</si>
  <si>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</si>
  <si>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</si>
  <si>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</si>
  <si>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</si>
  <si>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</si>
  <si>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</si>
  <si>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</si>
  <si>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</si>
  <si>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</si>
  <si>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</si>
  <si>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</si>
  <si>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</si>
  <si>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</si>
  <si>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</si>
  <si>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</si>
  <si>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</si>
  <si>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</si>
  <si>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</si>
  <si>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</si>
  <si>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</si>
  <si>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</si>
  <si>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</si>
  <si>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</si>
  <si>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</si>
  <si>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</si>
  <si>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</si>
  <si>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</si>
  <si>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</si>
  <si>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</si>
  <si>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</si>
  <si>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</si>
  <si>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</si>
  <si>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</si>
  <si>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</si>
  <si>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</si>
  <si>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</si>
  <si>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</si>
  <si>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</si>
  <si>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</si>
  <si>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</si>
  <si>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</si>
  <si>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</si>
  <si>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</si>
  <si>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</si>
  <si>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</si>
  <si>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</si>
  <si>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</si>
  <si>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</si>
  <si>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</si>
  <si>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</si>
  <si>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</si>
  <si>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</si>
  <si>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</si>
  <si>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</si>
  <si>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</si>
  <si>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</si>
  <si>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</si>
  <si>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</si>
  <si>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</si>
  <si>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</si>
  <si>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</si>
  <si>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</si>
  <si>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</si>
  <si>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</si>
  <si>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</si>
  <si>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</si>
  <si>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</si>
  <si>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</si>
  <si>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</si>
  <si>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</si>
  <si>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</si>
  <si>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</si>
  <si>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</si>
  <si>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</si>
  <si>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</si>
  <si>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</si>
  <si>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</si>
  <si>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</si>
  <si>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</si>
  <si>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</si>
  <si>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</si>
  <si>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</si>
  <si>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</si>
  <si>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</si>
  <si>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</si>
  <si>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</si>
  <si>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</si>
  <si>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</si>
  <si>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</si>
  <si>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</si>
  <si>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</si>
  <si>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</si>
  <si>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</si>
  <si>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</si>
  <si>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</si>
  <si>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</si>
  <si>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</si>
  <si>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</si>
  <si>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</si>
  <si>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</si>
  <si>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</si>
  <si>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</si>
  <si>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</si>
  <si>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</si>
  <si>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</si>
  <si>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</si>
  <si>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</si>
  <si>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</si>
  <si>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</si>
  <si>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</si>
  <si>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</si>
  <si>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</si>
  <si>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</si>
  <si>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</si>
  <si>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</si>
  <si>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</si>
  <si>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</si>
  <si>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</si>
  <si>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</si>
  <si>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</si>
  <si>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</si>
  <si>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</si>
  <si>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</si>
  <si>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</si>
  <si>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</si>
  <si>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</si>
  <si>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</si>
  <si>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</si>
  <si>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</si>
  <si>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</si>
  <si>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</si>
  <si>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</si>
  <si>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</si>
  <si>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</si>
  <si>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</si>
  <si>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</si>
  <si>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</si>
  <si>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</si>
  <si>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</si>
  <si>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</si>
  <si>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</si>
  <si>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</si>
  <si>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</si>
  <si>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</si>
  <si>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</si>
  <si>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</si>
  <si>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</si>
  <si>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</si>
  <si>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</si>
  <si>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</si>
  <si>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</si>
  <si>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</si>
  <si>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</si>
  <si>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</si>
  <si>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</si>
  <si>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</si>
  <si>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</si>
  <si>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</si>
  <si>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</si>
  <si>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</si>
  <si>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</si>
  <si>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</si>
  <si>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</si>
  <si>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</si>
  <si>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</si>
  <si>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</si>
  <si>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</si>
  <si>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</si>
  <si>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</si>
  <si>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</si>
  <si>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</si>
  <si>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</si>
  <si>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</si>
  <si>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</si>
  <si>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</si>
  <si>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</si>
  <si>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</si>
  <si>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</si>
  <si>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</si>
  <si>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</si>
  <si>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</si>
  <si>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</si>
  <si>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</si>
  <si>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</si>
  <si>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</si>
  <si>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</si>
  <si>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</si>
  <si>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</si>
  <si>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</si>
  <si>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</si>
  <si>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</si>
  <si>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</si>
  <si>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</si>
  <si>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</si>
  <si>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</si>
  <si>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</si>
  <si>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</si>
  <si>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</si>
  <si>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</si>
  <si>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</si>
  <si>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</si>
  <si>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</si>
  <si>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</si>
  <si>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</si>
  <si>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</si>
  <si>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</si>
  <si>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</si>
  <si>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</si>
  <si>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</si>
  <si>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</si>
  <si>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</si>
  <si>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</si>
  <si>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</si>
  <si>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</si>
  <si>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</si>
  <si>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</si>
  <si>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</si>
  <si>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</si>
  <si>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</si>
  <si>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</si>
  <si>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</si>
  <si>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</si>
  <si>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</si>
  <si>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</si>
  <si>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</si>
  <si>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</si>
  <si>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</si>
  <si>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</si>
  <si>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</si>
  <si>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</si>
  <si>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</si>
  <si>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</si>
  <si>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</si>
  <si>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</si>
  <si>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</si>
  <si>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</si>
  <si>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</si>
  <si>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</si>
  <si>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</si>
  <si>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</si>
  <si>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</si>
  <si>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</si>
  <si>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</si>
  <si>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</si>
  <si>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</si>
  <si>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</si>
  <si>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</si>
  <si>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</si>
  <si>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</si>
  <si>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</si>
  <si>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</si>
  <si>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</si>
  <si>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</si>
  <si>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</si>
  <si>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</si>
  <si>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</si>
  <si>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</si>
  <si>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</si>
  <si>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</si>
  <si>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</si>
  <si>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</si>
  <si>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</si>
  <si>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</si>
  <si>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</si>
  <si>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</si>
  <si>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</si>
  <si>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</si>
  <si>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</si>
  <si>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</si>
  <si>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</si>
  <si>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</si>
  <si>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</si>
  <si>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</si>
  <si>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</si>
  <si>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</si>
  <si>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</si>
  <si>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</si>
  <si>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</si>
  <si>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</si>
  <si>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</si>
  <si>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</si>
  <si>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</si>
  <si>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</si>
  <si>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</si>
  <si>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</si>
  <si>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</si>
  <si>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</si>
  <si>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</si>
  <si>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</si>
  <si>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</si>
  <si>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</si>
  <si>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</si>
  <si>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</si>
  <si>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</si>
  <si>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</si>
  <si>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</si>
  <si>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</si>
  <si>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</si>
  <si>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</si>
  <si>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</si>
  <si>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</si>
  <si>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</si>
  <si>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</si>
  <si>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</si>
  <si>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</si>
  <si>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</si>
  <si>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</si>
  <si>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</si>
  <si>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</si>
  <si>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</si>
  <si>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</si>
  <si>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</si>
  <si>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</si>
  <si>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</si>
  <si>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</si>
  <si>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</si>
  <si>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</si>
  <si>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</si>
  <si>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</si>
  <si>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</si>
  <si>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</si>
  <si>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</si>
  <si>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</si>
  <si>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</si>
  <si>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</si>
  <si>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</si>
  <si>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</si>
  <si>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</si>
  <si>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</si>
  <si>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</si>
  <si>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</si>
  <si>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</si>
  <si>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</si>
  <si>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</si>
  <si>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</si>
  <si>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</si>
  <si>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</si>
  <si>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</si>
  <si>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</si>
  <si>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</si>
  <si>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</si>
  <si>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</si>
  <si>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</si>
  <si>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</si>
  <si>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</si>
  <si>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</si>
  <si>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</si>
  <si>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</si>
  <si>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</si>
  <si>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</si>
  <si>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</si>
  <si>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</si>
  <si>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</si>
  <si>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</si>
  <si>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</si>
  <si>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</si>
  <si>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</si>
  <si>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</si>
  <si>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</si>
  <si>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</si>
  <si>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</si>
  <si>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</si>
  <si>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</si>
  <si>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</si>
  <si>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</si>
  <si>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24041</t>
  </si>
  <si>
    <t>HOEGAARDEN</t>
  </si>
  <si>
    <t>referentietaak LNE (2017); Jaarverslag De Lijn</t>
  </si>
  <si>
    <t>Helmke Drive Center</t>
  </si>
  <si>
    <t>Bleyveldstraat 9, 3320 Hoegaarden</t>
  </si>
  <si>
    <t>WKK-0002 Interbrew Hoegaarden</t>
  </si>
  <si>
    <t>interne verbrandingsmotor</t>
  </si>
  <si>
    <t>WKK interne verbrandinsgmotor (gas)</t>
  </si>
  <si>
    <t>Altenaken 7, 3320 Hoegaarden</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</si>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</sst>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56100.699640502695</c:v>
                </c:pt>
                <c:pt idx="1">
                  <c:v>12741.733990735944</c:v>
                </c:pt>
                <c:pt idx="2">
                  <c:v>268.51799999999997</c:v>
                </c:pt>
                <c:pt idx="3">
                  <c:v>3055.0104142595633</c:v>
                </c:pt>
                <c:pt idx="4">
                  <c:v>42581.13413847451</c:v>
                </c:pt>
                <c:pt idx="5">
                  <c:v>132194.00800992217</c:v>
                </c:pt>
                <c:pt idx="6">
                  <c:v>401.11319409266548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56100.699640502695</c:v>
                </c:pt>
                <c:pt idx="1">
                  <c:v>12741.733990735944</c:v>
                </c:pt>
                <c:pt idx="2">
                  <c:v>268.51799999999997</c:v>
                </c:pt>
                <c:pt idx="3">
                  <c:v>3055.0104142595633</c:v>
                </c:pt>
                <c:pt idx="4">
                  <c:v>42581.13413847451</c:v>
                </c:pt>
                <c:pt idx="5">
                  <c:v>132194.00800992217</c:v>
                </c:pt>
                <c:pt idx="6">
                  <c:v>401.11319409266548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10279.509925620156</c:v>
                </c:pt>
                <c:pt idx="1">
                  <c:v>2561.5396568623682</c:v>
                </c:pt>
                <c:pt idx="2">
                  <c:v>53.571881561606205</c:v>
                </c:pt>
                <c:pt idx="3">
                  <c:v>774.05815370506934</c:v>
                </c:pt>
                <c:pt idx="4">
                  <c:v>8493.9043712088423</c:v>
                </c:pt>
                <c:pt idx="5">
                  <c:v>32898.868994417018</c:v>
                </c:pt>
                <c:pt idx="6">
                  <c:v>101.58466055653486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10279.509925620156</c:v>
                </c:pt>
                <c:pt idx="1">
                  <c:v>2561.5396568623682</c:v>
                </c:pt>
                <c:pt idx="2">
                  <c:v>53.571881561606205</c:v>
                </c:pt>
                <c:pt idx="3">
                  <c:v>774.05815370506934</c:v>
                </c:pt>
                <c:pt idx="4">
                  <c:v>8493.9043712088423</c:v>
                </c:pt>
                <c:pt idx="5">
                  <c:v>32898.868994417018</c:v>
                </c:pt>
                <c:pt idx="6">
                  <c:v>101.58466055653486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24041</v>
      </c>
      <c r="B6" s="392"/>
      <c r="C6" s="393"/>
    </row>
    <row r="7" spans="1:7" s="390" customFormat="1" ht="15.75" customHeight="1">
      <c r="A7" s="394" t="str">
        <f>txtMunicipality</f>
        <v>HOEGAARDEN</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4748.8883468936674</v>
      </c>
      <c r="D10" s="689">
        <f ca="1">tertiair!C16</f>
        <v>0</v>
      </c>
      <c r="E10" s="689">
        <f ca="1">tertiair!D16</f>
        <v>7396.6677124928301</v>
      </c>
      <c r="F10" s="689">
        <f>tertiair!E16</f>
        <v>11.811494091280117</v>
      </c>
      <c r="G10" s="689">
        <f ca="1">tertiair!F16</f>
        <v>639.90167953723096</v>
      </c>
      <c r="H10" s="689">
        <f>tertiair!G16</f>
        <v>0</v>
      </c>
      <c r="I10" s="689">
        <f>tertiair!H16</f>
        <v>0</v>
      </c>
      <c r="J10" s="689">
        <f>tertiair!I16</f>
        <v>0</v>
      </c>
      <c r="K10" s="689">
        <f>tertiair!J16</f>
        <v>4.3685656767478639E-3</v>
      </c>
      <c r="L10" s="689">
        <f>tertiair!K16</f>
        <v>0</v>
      </c>
      <c r="M10" s="689">
        <f ca="1">tertiair!L16</f>
        <v>0</v>
      </c>
      <c r="N10" s="689">
        <f>tertiair!M16</f>
        <v>0</v>
      </c>
      <c r="O10" s="689">
        <f ca="1">tertiair!N16</f>
        <v>160.43925084876312</v>
      </c>
      <c r="P10" s="689">
        <f>tertiair!O16</f>
        <v>0</v>
      </c>
      <c r="Q10" s="690">
        <f>tertiair!P16</f>
        <v>52.539138306495019</v>
      </c>
      <c r="R10" s="692">
        <f ca="1">SUM(C10:Q10)</f>
        <v>13010.251990735944</v>
      </c>
      <c r="S10" s="67"/>
    </row>
    <row r="11" spans="1:19" s="451" customFormat="1">
      <c r="A11" s="811" t="s">
        <v>224</v>
      </c>
      <c r="B11" s="816"/>
      <c r="C11" s="689">
        <f>huishoudens!B8</f>
        <v>11556.473523253931</v>
      </c>
      <c r="D11" s="689">
        <f>huishoudens!C8</f>
        <v>0</v>
      </c>
      <c r="E11" s="689">
        <f>huishoudens!D8</f>
        <v>29204.866444836782</v>
      </c>
      <c r="F11" s="689">
        <f>huishoudens!E8</f>
        <v>2221.6824239109988</v>
      </c>
      <c r="G11" s="689">
        <f>huishoudens!F8</f>
        <v>5616.4228529765132</v>
      </c>
      <c r="H11" s="689">
        <f>huishoudens!G8</f>
        <v>0</v>
      </c>
      <c r="I11" s="689">
        <f>huishoudens!H8</f>
        <v>0</v>
      </c>
      <c r="J11" s="689">
        <f>huishoudens!I8</f>
        <v>0</v>
      </c>
      <c r="K11" s="689">
        <f>huishoudens!J8</f>
        <v>199.41887923841765</v>
      </c>
      <c r="L11" s="689">
        <f>huishoudens!K8</f>
        <v>0</v>
      </c>
      <c r="M11" s="689">
        <f>huishoudens!L8</f>
        <v>0</v>
      </c>
      <c r="N11" s="689">
        <f>huishoudens!M8</f>
        <v>0</v>
      </c>
      <c r="O11" s="689">
        <f>huishoudens!N8</f>
        <v>6858.7019574276001</v>
      </c>
      <c r="P11" s="689">
        <f>huishoudens!O8</f>
        <v>158.71665755096254</v>
      </c>
      <c r="Q11" s="690">
        <f>huishoudens!P8</f>
        <v>284.41690130749561</v>
      </c>
      <c r="R11" s="692">
        <f>SUM(C11:Q11)</f>
        <v>56100.699640502695</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13471.061067470408</v>
      </c>
      <c r="D13" s="689">
        <f>industrie!C18</f>
        <v>1060.7142857142858</v>
      </c>
      <c r="E13" s="689">
        <f>industrie!D18</f>
        <v>25874.358092409158</v>
      </c>
      <c r="F13" s="689">
        <f>industrie!E18</f>
        <v>26.457131535440986</v>
      </c>
      <c r="G13" s="689">
        <f>industrie!F18</f>
        <v>2148.3941535753097</v>
      </c>
      <c r="H13" s="689">
        <f>industrie!G18</f>
        <v>0</v>
      </c>
      <c r="I13" s="689">
        <f>industrie!H18</f>
        <v>0</v>
      </c>
      <c r="J13" s="689">
        <f>industrie!I18</f>
        <v>0</v>
      </c>
      <c r="K13" s="689">
        <f>industrie!J18</f>
        <v>0.14940776991331323</v>
      </c>
      <c r="L13" s="689">
        <f>industrie!K18</f>
        <v>0</v>
      </c>
      <c r="M13" s="689">
        <f>industrie!L18</f>
        <v>0</v>
      </c>
      <c r="N13" s="689">
        <f>industrie!M18</f>
        <v>0</v>
      </c>
      <c r="O13" s="689">
        <f>industrie!N18</f>
        <v>0</v>
      </c>
      <c r="P13" s="689">
        <f>industrie!O18</f>
        <v>0</v>
      </c>
      <c r="Q13" s="690">
        <f>industrie!P18</f>
        <v>0</v>
      </c>
      <c r="R13" s="692">
        <f>SUM(C13:Q13)</f>
        <v>42581.13413847451</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29776.422937618008</v>
      </c>
      <c r="D16" s="725">
        <f t="shared" ref="D16:R16" ca="1" si="0">SUM(D9:D15)</f>
        <v>1060.7142857142858</v>
      </c>
      <c r="E16" s="725">
        <f t="shared" ca="1" si="0"/>
        <v>62475.892249738768</v>
      </c>
      <c r="F16" s="725">
        <f t="shared" si="0"/>
        <v>2259.9510495377199</v>
      </c>
      <c r="G16" s="725">
        <f t="shared" ca="1" si="0"/>
        <v>8404.7186860890542</v>
      </c>
      <c r="H16" s="725">
        <f t="shared" si="0"/>
        <v>0</v>
      </c>
      <c r="I16" s="725">
        <f t="shared" si="0"/>
        <v>0</v>
      </c>
      <c r="J16" s="725">
        <f t="shared" si="0"/>
        <v>0</v>
      </c>
      <c r="K16" s="725">
        <f t="shared" si="0"/>
        <v>199.57265557400771</v>
      </c>
      <c r="L16" s="725">
        <f t="shared" si="0"/>
        <v>0</v>
      </c>
      <c r="M16" s="725">
        <f t="shared" ca="1" si="0"/>
        <v>0</v>
      </c>
      <c r="N16" s="725">
        <f t="shared" si="0"/>
        <v>0</v>
      </c>
      <c r="O16" s="725">
        <f t="shared" ca="1" si="0"/>
        <v>7019.1412082763636</v>
      </c>
      <c r="P16" s="725">
        <f t="shared" si="0"/>
        <v>158.71665755096254</v>
      </c>
      <c r="Q16" s="725">
        <f t="shared" si="0"/>
        <v>336.95603961399064</v>
      </c>
      <c r="R16" s="725">
        <f t="shared" ca="1" si="0"/>
        <v>111692.08576971316</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380.46689347016797</v>
      </c>
      <c r="I19" s="689">
        <f>transport!H54</f>
        <v>0</v>
      </c>
      <c r="J19" s="689">
        <f>transport!I54</f>
        <v>0</v>
      </c>
      <c r="K19" s="689">
        <f>transport!J54</f>
        <v>0</v>
      </c>
      <c r="L19" s="689">
        <f>transport!K54</f>
        <v>0</v>
      </c>
      <c r="M19" s="689">
        <f>transport!L54</f>
        <v>0</v>
      </c>
      <c r="N19" s="689">
        <f>transport!M54</f>
        <v>20.646300622497503</v>
      </c>
      <c r="O19" s="689">
        <f>transport!N54</f>
        <v>0</v>
      </c>
      <c r="P19" s="689">
        <f>transport!O54</f>
        <v>0</v>
      </c>
      <c r="Q19" s="690">
        <f>transport!P54</f>
        <v>0</v>
      </c>
      <c r="R19" s="692">
        <f>SUM(C19:Q19)</f>
        <v>401.11319409266548</v>
      </c>
      <c r="S19" s="67"/>
    </row>
    <row r="20" spans="1:19" s="451" customFormat="1">
      <c r="A20" s="811" t="s">
        <v>306</v>
      </c>
      <c r="B20" s="816"/>
      <c r="C20" s="689">
        <f>transport!B14</f>
        <v>90.490399369453385</v>
      </c>
      <c r="D20" s="689">
        <f>transport!C14</f>
        <v>0</v>
      </c>
      <c r="E20" s="689">
        <f>transport!D14</f>
        <v>345.68249122990477</v>
      </c>
      <c r="F20" s="689">
        <f>transport!E14</f>
        <v>223.40365684289992</v>
      </c>
      <c r="G20" s="689">
        <f>transport!F14</f>
        <v>0</v>
      </c>
      <c r="H20" s="689">
        <f>transport!G14</f>
        <v>101392.68301174529</v>
      </c>
      <c r="I20" s="689">
        <f>transport!H14</f>
        <v>22845.094161073695</v>
      </c>
      <c r="J20" s="689">
        <f>transport!I14</f>
        <v>0</v>
      </c>
      <c r="K20" s="689">
        <f>transport!J14</f>
        <v>0</v>
      </c>
      <c r="L20" s="689">
        <f>transport!K14</f>
        <v>0</v>
      </c>
      <c r="M20" s="689">
        <f>transport!L14</f>
        <v>0</v>
      </c>
      <c r="N20" s="689">
        <f>transport!M14</f>
        <v>7296.6542896609426</v>
      </c>
      <c r="O20" s="689">
        <f>transport!N14</f>
        <v>0</v>
      </c>
      <c r="P20" s="689">
        <f>transport!O14</f>
        <v>0</v>
      </c>
      <c r="Q20" s="690">
        <f>transport!P14</f>
        <v>0</v>
      </c>
      <c r="R20" s="692">
        <f>SUM(C20:Q20)</f>
        <v>132194.00800992217</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90.490399369453385</v>
      </c>
      <c r="D22" s="814">
        <f t="shared" ref="D22:R22" si="1">SUM(D18:D21)</f>
        <v>0</v>
      </c>
      <c r="E22" s="814">
        <f t="shared" si="1"/>
        <v>345.68249122990477</v>
      </c>
      <c r="F22" s="814">
        <f t="shared" si="1"/>
        <v>223.40365684289992</v>
      </c>
      <c r="G22" s="814">
        <f t="shared" si="1"/>
        <v>0</v>
      </c>
      <c r="H22" s="814">
        <f t="shared" si="1"/>
        <v>101773.14990521545</v>
      </c>
      <c r="I22" s="814">
        <f t="shared" si="1"/>
        <v>22845.094161073695</v>
      </c>
      <c r="J22" s="814">
        <f t="shared" si="1"/>
        <v>0</v>
      </c>
      <c r="K22" s="814">
        <f t="shared" si="1"/>
        <v>0</v>
      </c>
      <c r="L22" s="814">
        <f t="shared" si="1"/>
        <v>0</v>
      </c>
      <c r="M22" s="814">
        <f t="shared" si="1"/>
        <v>0</v>
      </c>
      <c r="N22" s="814">
        <f t="shared" si="1"/>
        <v>7317.3005902834402</v>
      </c>
      <c r="O22" s="814">
        <f t="shared" si="1"/>
        <v>0</v>
      </c>
      <c r="P22" s="814">
        <f t="shared" si="1"/>
        <v>0</v>
      </c>
      <c r="Q22" s="814">
        <f t="shared" si="1"/>
        <v>0</v>
      </c>
      <c r="R22" s="814">
        <f t="shared" si="1"/>
        <v>132595.12120401484</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629.72967363165901</v>
      </c>
      <c r="D24" s="689">
        <f>+landbouw!C8</f>
        <v>0</v>
      </c>
      <c r="E24" s="689">
        <f>+landbouw!D8</f>
        <v>193.40264826179978</v>
      </c>
      <c r="F24" s="689">
        <f>+landbouw!E8</f>
        <v>23.484545735388821</v>
      </c>
      <c r="G24" s="689">
        <f>+landbouw!F8</f>
        <v>2043.0863983854872</v>
      </c>
      <c r="H24" s="689">
        <f>+landbouw!G8</f>
        <v>0</v>
      </c>
      <c r="I24" s="689">
        <f>+landbouw!H8</f>
        <v>0</v>
      </c>
      <c r="J24" s="689">
        <f>+landbouw!I8</f>
        <v>0</v>
      </c>
      <c r="K24" s="689">
        <f>+landbouw!J8</f>
        <v>165.30714824522846</v>
      </c>
      <c r="L24" s="689">
        <f>+landbouw!K8</f>
        <v>0</v>
      </c>
      <c r="M24" s="689">
        <f>+landbouw!L8</f>
        <v>0</v>
      </c>
      <c r="N24" s="689">
        <f>+landbouw!M8</f>
        <v>0</v>
      </c>
      <c r="O24" s="689">
        <f>+landbouw!N8</f>
        <v>0</v>
      </c>
      <c r="P24" s="689">
        <f>+landbouw!O8</f>
        <v>0</v>
      </c>
      <c r="Q24" s="690">
        <f>+landbouw!P8</f>
        <v>0</v>
      </c>
      <c r="R24" s="692">
        <f>SUM(C24:Q24)</f>
        <v>3055.0104142595633</v>
      </c>
      <c r="S24" s="67"/>
    </row>
    <row r="25" spans="1:19" s="451" customFormat="1" ht="15" thickBot="1">
      <c r="A25" s="833" t="s">
        <v>714</v>
      </c>
      <c r="B25" s="947"/>
      <c r="C25" s="948">
        <f>IF(Onbekend_ele_kWh="---",0,Onbekend_ele_kWh)/1000+IF(REST_rest_ele_kWh="---",0,REST_rest_ele_kWh)/1000</f>
        <v>242.50902576380901</v>
      </c>
      <c r="D25" s="948"/>
      <c r="E25" s="948">
        <f>IF(onbekend_gas_kWh="---",0,onbekend_gas_kWh)/1000+IF(REST_rest_gas_kWh="---",0,REST_rest_gas_kWh)/1000</f>
        <v>718.39105867354397</v>
      </c>
      <c r="F25" s="948"/>
      <c r="G25" s="948"/>
      <c r="H25" s="948"/>
      <c r="I25" s="948"/>
      <c r="J25" s="948"/>
      <c r="K25" s="948"/>
      <c r="L25" s="948"/>
      <c r="M25" s="948"/>
      <c r="N25" s="948"/>
      <c r="O25" s="948"/>
      <c r="P25" s="948"/>
      <c r="Q25" s="949"/>
      <c r="R25" s="692">
        <f>SUM(C25:Q25)</f>
        <v>960.90008443735292</v>
      </c>
      <c r="S25" s="67"/>
    </row>
    <row r="26" spans="1:19" s="451" customFormat="1" ht="15.75" thickBot="1">
      <c r="A26" s="697" t="s">
        <v>715</v>
      </c>
      <c r="B26" s="819"/>
      <c r="C26" s="814">
        <f>SUM(C24:C25)</f>
        <v>872.23869939546807</v>
      </c>
      <c r="D26" s="814">
        <f t="shared" ref="D26:R26" si="2">SUM(D24:D25)</f>
        <v>0</v>
      </c>
      <c r="E26" s="814">
        <f t="shared" si="2"/>
        <v>911.79370693534372</v>
      </c>
      <c r="F26" s="814">
        <f t="shared" si="2"/>
        <v>23.484545735388821</v>
      </c>
      <c r="G26" s="814">
        <f t="shared" si="2"/>
        <v>2043.0863983854872</v>
      </c>
      <c r="H26" s="814">
        <f t="shared" si="2"/>
        <v>0</v>
      </c>
      <c r="I26" s="814">
        <f t="shared" si="2"/>
        <v>0</v>
      </c>
      <c r="J26" s="814">
        <f t="shared" si="2"/>
        <v>0</v>
      </c>
      <c r="K26" s="814">
        <f t="shared" si="2"/>
        <v>165.30714824522846</v>
      </c>
      <c r="L26" s="814">
        <f t="shared" si="2"/>
        <v>0</v>
      </c>
      <c r="M26" s="814">
        <f t="shared" si="2"/>
        <v>0</v>
      </c>
      <c r="N26" s="814">
        <f t="shared" si="2"/>
        <v>0</v>
      </c>
      <c r="O26" s="814">
        <f t="shared" si="2"/>
        <v>0</v>
      </c>
      <c r="P26" s="814">
        <f t="shared" si="2"/>
        <v>0</v>
      </c>
      <c r="Q26" s="814">
        <f t="shared" si="2"/>
        <v>0</v>
      </c>
      <c r="R26" s="814">
        <f t="shared" si="2"/>
        <v>4015.910498696916</v>
      </c>
      <c r="S26" s="67"/>
    </row>
    <row r="27" spans="1:19" s="451" customFormat="1" ht="17.25" thickTop="1" thickBot="1">
      <c r="A27" s="698" t="s">
        <v>115</v>
      </c>
      <c r="B27" s="806"/>
      <c r="C27" s="699">
        <f ca="1">C22+C16+C26</f>
        <v>30739.15203638293</v>
      </c>
      <c r="D27" s="699">
        <f t="shared" ref="D27:R27" ca="1" si="3">D22+D16+D26</f>
        <v>1060.7142857142858</v>
      </c>
      <c r="E27" s="699">
        <f t="shared" ca="1" si="3"/>
        <v>63733.368447904017</v>
      </c>
      <c r="F27" s="699">
        <f t="shared" si="3"/>
        <v>2506.839252116009</v>
      </c>
      <c r="G27" s="699">
        <f t="shared" ca="1" si="3"/>
        <v>10447.805084474541</v>
      </c>
      <c r="H27" s="699">
        <f t="shared" si="3"/>
        <v>101773.14990521545</v>
      </c>
      <c r="I27" s="699">
        <f t="shared" si="3"/>
        <v>22845.094161073695</v>
      </c>
      <c r="J27" s="699">
        <f t="shared" si="3"/>
        <v>0</v>
      </c>
      <c r="K27" s="699">
        <f t="shared" si="3"/>
        <v>364.87980381923614</v>
      </c>
      <c r="L27" s="699">
        <f t="shared" si="3"/>
        <v>0</v>
      </c>
      <c r="M27" s="699">
        <f t="shared" ca="1" si="3"/>
        <v>0</v>
      </c>
      <c r="N27" s="699">
        <f t="shared" si="3"/>
        <v>7317.3005902834402</v>
      </c>
      <c r="O27" s="699">
        <f t="shared" ca="1" si="3"/>
        <v>7019.1412082763636</v>
      </c>
      <c r="P27" s="699">
        <f t="shared" si="3"/>
        <v>158.71665755096254</v>
      </c>
      <c r="Q27" s="699">
        <f t="shared" si="3"/>
        <v>336.95603961399064</v>
      </c>
      <c r="R27" s="699">
        <f t="shared" ca="1" si="3"/>
        <v>248303.1174724249</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947.44815643301172</v>
      </c>
      <c r="D40" s="689">
        <f ca="1">tertiair!C20</f>
        <v>0</v>
      </c>
      <c r="E40" s="689">
        <f ca="1">tertiair!D20</f>
        <v>1494.1268779235518</v>
      </c>
      <c r="F40" s="689">
        <f>tertiair!E20</f>
        <v>2.6812091587205868</v>
      </c>
      <c r="G40" s="689">
        <f ca="1">tertiair!F20</f>
        <v>170.85374843644067</v>
      </c>
      <c r="H40" s="689">
        <f>tertiair!G20</f>
        <v>0</v>
      </c>
      <c r="I40" s="689">
        <f>tertiair!H20</f>
        <v>0</v>
      </c>
      <c r="J40" s="689">
        <f>tertiair!I20</f>
        <v>0</v>
      </c>
      <c r="K40" s="689">
        <f>tertiair!J20</f>
        <v>1.5464722495687438E-3</v>
      </c>
      <c r="L40" s="689">
        <f>tertiair!K20</f>
        <v>0</v>
      </c>
      <c r="M40" s="689">
        <f ca="1">tertiair!L20</f>
        <v>0</v>
      </c>
      <c r="N40" s="689">
        <f>tertiair!M20</f>
        <v>0</v>
      </c>
      <c r="O40" s="689">
        <f ca="1">tertiair!N20</f>
        <v>0</v>
      </c>
      <c r="P40" s="689">
        <f>tertiair!O20</f>
        <v>0</v>
      </c>
      <c r="Q40" s="772">
        <f>tertiair!P20</f>
        <v>0</v>
      </c>
      <c r="R40" s="852">
        <f t="shared" ca="1" si="4"/>
        <v>2615.1115384239743</v>
      </c>
    </row>
    <row r="41" spans="1:18">
      <c r="A41" s="824" t="s">
        <v>224</v>
      </c>
      <c r="B41" s="831"/>
      <c r="C41" s="689">
        <f ca="1">huishoudens!B12</f>
        <v>2305.6258085402005</v>
      </c>
      <c r="D41" s="689">
        <f ca="1">huishoudens!C12</f>
        <v>0</v>
      </c>
      <c r="E41" s="689">
        <f>huishoudens!D12</f>
        <v>5899.3830218570301</v>
      </c>
      <c r="F41" s="689">
        <f>huishoudens!E12</f>
        <v>504.32191022779671</v>
      </c>
      <c r="G41" s="689">
        <f>huishoudens!F12</f>
        <v>1499.5849017447292</v>
      </c>
      <c r="H41" s="689">
        <f>huishoudens!G12</f>
        <v>0</v>
      </c>
      <c r="I41" s="689">
        <f>huishoudens!H12</f>
        <v>0</v>
      </c>
      <c r="J41" s="689">
        <f>huishoudens!I12</f>
        <v>0</v>
      </c>
      <c r="K41" s="689">
        <f>huishoudens!J12</f>
        <v>70.59428325039984</v>
      </c>
      <c r="L41" s="689">
        <f>huishoudens!K12</f>
        <v>0</v>
      </c>
      <c r="M41" s="689">
        <f>huishoudens!L12</f>
        <v>0</v>
      </c>
      <c r="N41" s="689">
        <f>huishoudens!M12</f>
        <v>0</v>
      </c>
      <c r="O41" s="689">
        <f>huishoudens!N12</f>
        <v>0</v>
      </c>
      <c r="P41" s="689">
        <f>huishoudens!O12</f>
        <v>0</v>
      </c>
      <c r="Q41" s="772">
        <f>huishoudens!P12</f>
        <v>0</v>
      </c>
      <c r="R41" s="852">
        <f t="shared" ca="1" si="4"/>
        <v>10279.509925620156</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2687.6041383284887</v>
      </c>
      <c r="D43" s="689">
        <f ca="1">industrie!C22</f>
        <v>0</v>
      </c>
      <c r="E43" s="689">
        <f>industrie!D22</f>
        <v>5226.6203346666507</v>
      </c>
      <c r="F43" s="689">
        <f>industrie!E22</f>
        <v>6.0057688585451041</v>
      </c>
      <c r="G43" s="689">
        <f>industrie!F22</f>
        <v>573.62123900460767</v>
      </c>
      <c r="H43" s="689">
        <f>industrie!G22</f>
        <v>0</v>
      </c>
      <c r="I43" s="689">
        <f>industrie!H22</f>
        <v>0</v>
      </c>
      <c r="J43" s="689">
        <f>industrie!I22</f>
        <v>0</v>
      </c>
      <c r="K43" s="689">
        <f>industrie!J22</f>
        <v>5.2890350549312883E-2</v>
      </c>
      <c r="L43" s="689">
        <f>industrie!K22</f>
        <v>0</v>
      </c>
      <c r="M43" s="689">
        <f>industrie!L22</f>
        <v>0</v>
      </c>
      <c r="N43" s="689">
        <f>industrie!M22</f>
        <v>0</v>
      </c>
      <c r="O43" s="689">
        <f>industrie!N22</f>
        <v>0</v>
      </c>
      <c r="P43" s="689">
        <f>industrie!O22</f>
        <v>0</v>
      </c>
      <c r="Q43" s="772">
        <f>industrie!P22</f>
        <v>0</v>
      </c>
      <c r="R43" s="851">
        <f t="shared" ca="1" si="4"/>
        <v>8493.9043712088423</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5940.6781033017014</v>
      </c>
      <c r="D46" s="725">
        <f t="shared" ref="D46:Q46" ca="1" si="5">SUM(D39:D45)</f>
        <v>0</v>
      </c>
      <c r="E46" s="725">
        <f t="shared" ca="1" si="5"/>
        <v>12620.130234447231</v>
      </c>
      <c r="F46" s="725">
        <f t="shared" si="5"/>
        <v>513.00888824506239</v>
      </c>
      <c r="G46" s="725">
        <f t="shared" ca="1" si="5"/>
        <v>2244.0598891857776</v>
      </c>
      <c r="H46" s="725">
        <f t="shared" si="5"/>
        <v>0</v>
      </c>
      <c r="I46" s="725">
        <f t="shared" si="5"/>
        <v>0</v>
      </c>
      <c r="J46" s="725">
        <f t="shared" si="5"/>
        <v>0</v>
      </c>
      <c r="K46" s="725">
        <f t="shared" si="5"/>
        <v>70.648720073198731</v>
      </c>
      <c r="L46" s="725">
        <f t="shared" si="5"/>
        <v>0</v>
      </c>
      <c r="M46" s="725">
        <f t="shared" ca="1" si="5"/>
        <v>0</v>
      </c>
      <c r="N46" s="725">
        <f t="shared" si="5"/>
        <v>0</v>
      </c>
      <c r="O46" s="725">
        <f t="shared" ca="1" si="5"/>
        <v>0</v>
      </c>
      <c r="P46" s="725">
        <f t="shared" si="5"/>
        <v>0</v>
      </c>
      <c r="Q46" s="725">
        <f t="shared" si="5"/>
        <v>0</v>
      </c>
      <c r="R46" s="725">
        <f ca="1">SUM(R39:R45)</f>
        <v>21388.525835252971</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101.58466055653486</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101.58466055653486</v>
      </c>
    </row>
    <row r="50" spans="1:18">
      <c r="A50" s="827" t="s">
        <v>306</v>
      </c>
      <c r="B50" s="837"/>
      <c r="C50" s="695">
        <f ca="1">transport!B18</f>
        <v>18.053690841890681</v>
      </c>
      <c r="D50" s="695">
        <f>transport!C18</f>
        <v>0</v>
      </c>
      <c r="E50" s="695">
        <f>transport!D18</f>
        <v>69.827863228440762</v>
      </c>
      <c r="F50" s="695">
        <f>transport!E18</f>
        <v>50.712630103338284</v>
      </c>
      <c r="G50" s="695">
        <f>transport!F18</f>
        <v>0</v>
      </c>
      <c r="H50" s="695">
        <f>transport!G18</f>
        <v>27071.846364135996</v>
      </c>
      <c r="I50" s="695">
        <f>transport!H18</f>
        <v>5688.4284461073503</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32898.868994417018</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18.053690841890681</v>
      </c>
      <c r="D52" s="725">
        <f t="shared" ref="D52:Q52" ca="1" si="6">SUM(D48:D51)</f>
        <v>0</v>
      </c>
      <c r="E52" s="725">
        <f t="shared" si="6"/>
        <v>69.827863228440762</v>
      </c>
      <c r="F52" s="725">
        <f t="shared" si="6"/>
        <v>50.712630103338284</v>
      </c>
      <c r="G52" s="725">
        <f t="shared" si="6"/>
        <v>0</v>
      </c>
      <c r="H52" s="725">
        <f t="shared" si="6"/>
        <v>27173.431024692531</v>
      </c>
      <c r="I52" s="725">
        <f t="shared" si="6"/>
        <v>5688.4284461073503</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33000.453654973557</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125.63702802651655</v>
      </c>
      <c r="D54" s="695">
        <f ca="1">+landbouw!C12</f>
        <v>0</v>
      </c>
      <c r="E54" s="695">
        <f>+landbouw!D12</f>
        <v>39.067334948883556</v>
      </c>
      <c r="F54" s="695">
        <f>+landbouw!E12</f>
        <v>5.3309918819332625</v>
      </c>
      <c r="G54" s="695">
        <f>+landbouw!F12</f>
        <v>545.50406836892512</v>
      </c>
      <c r="H54" s="695">
        <f>+landbouw!G12</f>
        <v>0</v>
      </c>
      <c r="I54" s="695">
        <f>+landbouw!H12</f>
        <v>0</v>
      </c>
      <c r="J54" s="695">
        <f>+landbouw!I12</f>
        <v>0</v>
      </c>
      <c r="K54" s="695">
        <f>+landbouw!J12</f>
        <v>58.518730478810873</v>
      </c>
      <c r="L54" s="695">
        <f>+landbouw!K12</f>
        <v>0</v>
      </c>
      <c r="M54" s="695">
        <f>+landbouw!L12</f>
        <v>0</v>
      </c>
      <c r="N54" s="695">
        <f>+landbouw!M12</f>
        <v>0</v>
      </c>
      <c r="O54" s="695">
        <f>+landbouw!N12</f>
        <v>0</v>
      </c>
      <c r="P54" s="695">
        <f>+landbouw!O12</f>
        <v>0</v>
      </c>
      <c r="Q54" s="696">
        <f>+landbouw!P12</f>
        <v>0</v>
      </c>
      <c r="R54" s="724">
        <f ca="1">SUM(C54:Q54)</f>
        <v>774.05815370506934</v>
      </c>
    </row>
    <row r="55" spans="1:18" ht="15" thickBot="1">
      <c r="A55" s="827" t="s">
        <v>714</v>
      </c>
      <c r="B55" s="837"/>
      <c r="C55" s="695">
        <f ca="1">C25*'EF ele_warmte'!B12</f>
        <v>48.382845119654121</v>
      </c>
      <c r="D55" s="695"/>
      <c r="E55" s="695">
        <f>E25*EF_CO2_aardgas</f>
        <v>145.1149938520559</v>
      </c>
      <c r="F55" s="695"/>
      <c r="G55" s="695"/>
      <c r="H55" s="695"/>
      <c r="I55" s="695"/>
      <c r="J55" s="695"/>
      <c r="K55" s="695"/>
      <c r="L55" s="695"/>
      <c r="M55" s="695"/>
      <c r="N55" s="695"/>
      <c r="O55" s="695"/>
      <c r="P55" s="695"/>
      <c r="Q55" s="696"/>
      <c r="R55" s="724">
        <f ca="1">SUM(C55:Q55)</f>
        <v>193.49783897171002</v>
      </c>
    </row>
    <row r="56" spans="1:18" ht="15.75" thickBot="1">
      <c r="A56" s="825" t="s">
        <v>715</v>
      </c>
      <c r="B56" s="838"/>
      <c r="C56" s="725">
        <f ca="1">SUM(C54:C55)</f>
        <v>174.01987314617065</v>
      </c>
      <c r="D56" s="725">
        <f t="shared" ref="D56:Q56" ca="1" si="7">SUM(D54:D55)</f>
        <v>0</v>
      </c>
      <c r="E56" s="725">
        <f t="shared" si="7"/>
        <v>184.18232880093944</v>
      </c>
      <c r="F56" s="725">
        <f t="shared" si="7"/>
        <v>5.3309918819332625</v>
      </c>
      <c r="G56" s="725">
        <f t="shared" si="7"/>
        <v>545.50406836892512</v>
      </c>
      <c r="H56" s="725">
        <f t="shared" si="7"/>
        <v>0</v>
      </c>
      <c r="I56" s="725">
        <f t="shared" si="7"/>
        <v>0</v>
      </c>
      <c r="J56" s="725">
        <f t="shared" si="7"/>
        <v>0</v>
      </c>
      <c r="K56" s="725">
        <f t="shared" si="7"/>
        <v>58.518730478810873</v>
      </c>
      <c r="L56" s="725">
        <f t="shared" si="7"/>
        <v>0</v>
      </c>
      <c r="M56" s="725">
        <f t="shared" si="7"/>
        <v>0</v>
      </c>
      <c r="N56" s="725">
        <f t="shared" si="7"/>
        <v>0</v>
      </c>
      <c r="O56" s="725">
        <f t="shared" si="7"/>
        <v>0</v>
      </c>
      <c r="P56" s="725">
        <f t="shared" si="7"/>
        <v>0</v>
      </c>
      <c r="Q56" s="726">
        <f t="shared" si="7"/>
        <v>0</v>
      </c>
      <c r="R56" s="727">
        <f ca="1">SUM(R54:R55)</f>
        <v>967.5559926767794</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6132.7516672897627</v>
      </c>
      <c r="D61" s="733">
        <f t="shared" ref="D61:Q61" ca="1" si="8">D46+D52+D56</f>
        <v>0</v>
      </c>
      <c r="E61" s="733">
        <f t="shared" ca="1" si="8"/>
        <v>12874.140426476612</v>
      </c>
      <c r="F61" s="733">
        <f t="shared" si="8"/>
        <v>569.05251023033395</v>
      </c>
      <c r="G61" s="733">
        <f t="shared" ca="1" si="8"/>
        <v>2789.5639575547029</v>
      </c>
      <c r="H61" s="733">
        <f t="shared" si="8"/>
        <v>27173.431024692531</v>
      </c>
      <c r="I61" s="733">
        <f t="shared" si="8"/>
        <v>5688.4284461073503</v>
      </c>
      <c r="J61" s="733">
        <f t="shared" si="8"/>
        <v>0</v>
      </c>
      <c r="K61" s="733">
        <f t="shared" si="8"/>
        <v>129.1674505520096</v>
      </c>
      <c r="L61" s="733">
        <f t="shared" si="8"/>
        <v>0</v>
      </c>
      <c r="M61" s="733">
        <f t="shared" ca="1" si="8"/>
        <v>0</v>
      </c>
      <c r="N61" s="733">
        <f t="shared" si="8"/>
        <v>0</v>
      </c>
      <c r="O61" s="733">
        <f t="shared" ca="1" si="8"/>
        <v>0</v>
      </c>
      <c r="P61" s="733">
        <f t="shared" si="8"/>
        <v>0</v>
      </c>
      <c r="Q61" s="733">
        <f t="shared" si="8"/>
        <v>0</v>
      </c>
      <c r="R61" s="733">
        <f ca="1">R46+R52+R56</f>
        <v>55356.535482903309</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0.19950946142011414</v>
      </c>
      <c r="D63" s="779">
        <f t="shared" ca="1" si="9"/>
        <v>0</v>
      </c>
      <c r="E63" s="973">
        <f t="shared" ca="1" si="9"/>
        <v>0.20200000000000001</v>
      </c>
      <c r="F63" s="779">
        <f t="shared" si="9"/>
        <v>0.22699999999999995</v>
      </c>
      <c r="G63" s="779">
        <f t="shared" ca="1" si="9"/>
        <v>0.26700000000000002</v>
      </c>
      <c r="H63" s="779">
        <f t="shared" si="9"/>
        <v>0.26700000000000007</v>
      </c>
      <c r="I63" s="779">
        <f t="shared" si="9"/>
        <v>0.249</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57.9835012818873</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2188.6609908034739</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742.5</v>
      </c>
      <c r="C76" s="746">
        <f>'lokale energieproductie'!B8*IFERROR(SUM(D76:H76)/SUM(D76:O76),0)</f>
        <v>0</v>
      </c>
      <c r="D76" s="956">
        <f>'lokale energieproductie'!C8</f>
        <v>0</v>
      </c>
      <c r="E76" s="957">
        <f>'lokale energieproductie'!D8</f>
        <v>0</v>
      </c>
      <c r="F76" s="957">
        <f>'lokale energieproductie'!E8</f>
        <v>0</v>
      </c>
      <c r="G76" s="957">
        <f>'lokale energieproductie'!F8</f>
        <v>0</v>
      </c>
      <c r="H76" s="957">
        <f>'lokale energieproductie'!G8</f>
        <v>0</v>
      </c>
      <c r="I76" s="957">
        <f>'lokale energieproductie'!I8</f>
        <v>0</v>
      </c>
      <c r="J76" s="957">
        <f>'lokale energieproductie'!J8</f>
        <v>873.52941176470586</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0</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2989.144492085361</v>
      </c>
      <c r="C78" s="751">
        <f>SUM(C72:C77)</f>
        <v>0</v>
      </c>
      <c r="D78" s="752">
        <f t="shared" ref="D78:H78" si="10">SUM(D76:D77)</f>
        <v>0</v>
      </c>
      <c r="E78" s="752">
        <f t="shared" si="10"/>
        <v>0</v>
      </c>
      <c r="F78" s="752">
        <f t="shared" si="10"/>
        <v>0</v>
      </c>
      <c r="G78" s="752">
        <f t="shared" si="10"/>
        <v>0</v>
      </c>
      <c r="H78" s="752">
        <f t="shared" si="10"/>
        <v>0</v>
      </c>
      <c r="I78" s="752">
        <f>SUM(I76:I77)</f>
        <v>0</v>
      </c>
      <c r="J78" s="752">
        <f>SUM(J76:J77)</f>
        <v>873.52941176470586</v>
      </c>
      <c r="K78" s="752">
        <f t="shared" ref="K78:L78" si="11">SUM(K76:K77)</f>
        <v>0</v>
      </c>
      <c r="L78" s="752">
        <f t="shared" si="11"/>
        <v>0</v>
      </c>
      <c r="M78" s="752">
        <f>SUM(M76:M77)</f>
        <v>0</v>
      </c>
      <c r="N78" s="752">
        <f>SUM(N76:N77)</f>
        <v>0</v>
      </c>
      <c r="O78" s="862">
        <f>SUM(O76:O77)</f>
        <v>0</v>
      </c>
      <c r="P78" s="753">
        <v>0</v>
      </c>
      <c r="Q78" s="753">
        <f>SUM(Q76:Q77)</f>
        <v>0</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1060.7142857142858</v>
      </c>
      <c r="C87" s="764">
        <f>'lokale energieproductie'!B17*IFERROR(SUM(D87:H87)/SUM(D87:O87),0)</f>
        <v>0</v>
      </c>
      <c r="D87" s="775">
        <f>'lokale energieproductie'!C17</f>
        <v>0</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1247.8991596638657</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0</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1060.7142857142858</v>
      </c>
      <c r="C90" s="751">
        <f>SUM(C87:C89)</f>
        <v>0</v>
      </c>
      <c r="D90" s="751">
        <f t="shared" ref="D90:H90" si="12">SUM(D87:D89)</f>
        <v>0</v>
      </c>
      <c r="E90" s="751">
        <f t="shared" si="12"/>
        <v>0</v>
      </c>
      <c r="F90" s="751">
        <f t="shared" si="12"/>
        <v>0</v>
      </c>
      <c r="G90" s="751">
        <f t="shared" si="12"/>
        <v>0</v>
      </c>
      <c r="H90" s="751">
        <f t="shared" si="12"/>
        <v>0</v>
      </c>
      <c r="I90" s="751">
        <f>SUM(I87:I89)</f>
        <v>0</v>
      </c>
      <c r="J90" s="751">
        <f>SUM(J87:J89)</f>
        <v>1247.8991596638657</v>
      </c>
      <c r="K90" s="751">
        <f t="shared" ref="K90:L90" si="13">SUM(K87:K89)</f>
        <v>0</v>
      </c>
      <c r="L90" s="751">
        <f t="shared" si="13"/>
        <v>0</v>
      </c>
      <c r="M90" s="751">
        <f>SUM(M87:M89)</f>
        <v>0</v>
      </c>
      <c r="N90" s="751">
        <f>SUM(N87:N89)</f>
        <v>0</v>
      </c>
      <c r="O90" s="751">
        <f>SUM(O87:O89)</f>
        <v>0</v>
      </c>
      <c r="P90" s="751">
        <v>0</v>
      </c>
      <c r="Q90" s="751">
        <f>SUM(Q87:Q89)</f>
        <v>0</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11556.473523253931</v>
      </c>
      <c r="C4" s="455">
        <f>huishoudens!C8</f>
        <v>0</v>
      </c>
      <c r="D4" s="455">
        <f>huishoudens!D8</f>
        <v>29204.866444836782</v>
      </c>
      <c r="E4" s="455">
        <f>huishoudens!E8</f>
        <v>2221.6824239109988</v>
      </c>
      <c r="F4" s="455">
        <f>huishoudens!F8</f>
        <v>5616.4228529765132</v>
      </c>
      <c r="G4" s="455">
        <f>huishoudens!G8</f>
        <v>0</v>
      </c>
      <c r="H4" s="455">
        <f>huishoudens!H8</f>
        <v>0</v>
      </c>
      <c r="I4" s="455">
        <f>huishoudens!I8</f>
        <v>0</v>
      </c>
      <c r="J4" s="455">
        <f>huishoudens!J8</f>
        <v>199.41887923841765</v>
      </c>
      <c r="K4" s="455">
        <f>huishoudens!K8</f>
        <v>0</v>
      </c>
      <c r="L4" s="455">
        <f>huishoudens!L8</f>
        <v>0</v>
      </c>
      <c r="M4" s="455">
        <f>huishoudens!M8</f>
        <v>0</v>
      </c>
      <c r="N4" s="455">
        <f>huishoudens!N8</f>
        <v>6858.7019574276001</v>
      </c>
      <c r="O4" s="455">
        <f>huishoudens!O8</f>
        <v>158.71665755096254</v>
      </c>
      <c r="P4" s="456">
        <f>huishoudens!P8</f>
        <v>284.41690130749561</v>
      </c>
      <c r="Q4" s="457">
        <f>SUM(B4:P4)</f>
        <v>56100.699640502695</v>
      </c>
    </row>
    <row r="5" spans="1:17">
      <c r="A5" s="454" t="s">
        <v>155</v>
      </c>
      <c r="B5" s="455">
        <f ca="1">tertiair!B16</f>
        <v>4480.3703468936674</v>
      </c>
      <c r="C5" s="455">
        <f ca="1">tertiair!C16</f>
        <v>0</v>
      </c>
      <c r="D5" s="455">
        <f ca="1">tertiair!D16</f>
        <v>7396.6677124928301</v>
      </c>
      <c r="E5" s="455">
        <f>tertiair!E16</f>
        <v>11.811494091280117</v>
      </c>
      <c r="F5" s="455">
        <f ca="1">tertiair!F16</f>
        <v>639.90167953723096</v>
      </c>
      <c r="G5" s="455">
        <f>tertiair!G16</f>
        <v>0</v>
      </c>
      <c r="H5" s="455">
        <f>tertiair!H16</f>
        <v>0</v>
      </c>
      <c r="I5" s="455">
        <f>tertiair!I16</f>
        <v>0</v>
      </c>
      <c r="J5" s="455">
        <f>tertiair!J16</f>
        <v>4.3685656767478639E-3</v>
      </c>
      <c r="K5" s="455">
        <f>tertiair!K16</f>
        <v>0</v>
      </c>
      <c r="L5" s="455">
        <f ca="1">tertiair!L16</f>
        <v>0</v>
      </c>
      <c r="M5" s="455">
        <f>tertiair!M16</f>
        <v>0</v>
      </c>
      <c r="N5" s="455">
        <f ca="1">tertiair!N16</f>
        <v>160.43925084876312</v>
      </c>
      <c r="O5" s="455">
        <f>tertiair!O16</f>
        <v>0</v>
      </c>
      <c r="P5" s="456">
        <f>tertiair!P16</f>
        <v>52.539138306495019</v>
      </c>
      <c r="Q5" s="454">
        <f t="shared" ref="Q5:Q14" ca="1" si="0">SUM(B5:P5)</f>
        <v>12741.733990735944</v>
      </c>
    </row>
    <row r="6" spans="1:17">
      <c r="A6" s="454" t="s">
        <v>193</v>
      </c>
      <c r="B6" s="455">
        <f>'openbare verlichting'!B8</f>
        <v>268.51799999999997</v>
      </c>
      <c r="C6" s="455"/>
      <c r="D6" s="455"/>
      <c r="E6" s="455"/>
      <c r="F6" s="455"/>
      <c r="G6" s="455"/>
      <c r="H6" s="455"/>
      <c r="I6" s="455"/>
      <c r="J6" s="455"/>
      <c r="K6" s="455"/>
      <c r="L6" s="455"/>
      <c r="M6" s="455"/>
      <c r="N6" s="455"/>
      <c r="O6" s="455"/>
      <c r="P6" s="456"/>
      <c r="Q6" s="454">
        <f t="shared" si="0"/>
        <v>268.51799999999997</v>
      </c>
    </row>
    <row r="7" spans="1:17">
      <c r="A7" s="454" t="s">
        <v>111</v>
      </c>
      <c r="B7" s="455">
        <f>landbouw!B8</f>
        <v>629.72967363165901</v>
      </c>
      <c r="C7" s="455">
        <f>landbouw!C8</f>
        <v>0</v>
      </c>
      <c r="D7" s="455">
        <f>landbouw!D8</f>
        <v>193.40264826179978</v>
      </c>
      <c r="E7" s="455">
        <f>landbouw!E8</f>
        <v>23.484545735388821</v>
      </c>
      <c r="F7" s="455">
        <f>landbouw!F8</f>
        <v>2043.0863983854872</v>
      </c>
      <c r="G7" s="455">
        <f>landbouw!G8</f>
        <v>0</v>
      </c>
      <c r="H7" s="455">
        <f>landbouw!H8</f>
        <v>0</v>
      </c>
      <c r="I7" s="455">
        <f>landbouw!I8</f>
        <v>0</v>
      </c>
      <c r="J7" s="455">
        <f>landbouw!J8</f>
        <v>165.30714824522846</v>
      </c>
      <c r="K7" s="455">
        <f>landbouw!K8</f>
        <v>0</v>
      </c>
      <c r="L7" s="455">
        <f>landbouw!L8</f>
        <v>0</v>
      </c>
      <c r="M7" s="455">
        <f>landbouw!M8</f>
        <v>0</v>
      </c>
      <c r="N7" s="455">
        <f>landbouw!N8</f>
        <v>0</v>
      </c>
      <c r="O7" s="455">
        <f>landbouw!O8</f>
        <v>0</v>
      </c>
      <c r="P7" s="456">
        <f>landbouw!P8</f>
        <v>0</v>
      </c>
      <c r="Q7" s="454">
        <f t="shared" si="0"/>
        <v>3055.0104142595633</v>
      </c>
    </row>
    <row r="8" spans="1:17">
      <c r="A8" s="454" t="s">
        <v>626</v>
      </c>
      <c r="B8" s="455">
        <f>industrie!B18</f>
        <v>13471.061067470408</v>
      </c>
      <c r="C8" s="455">
        <f>industrie!C18</f>
        <v>1060.7142857142858</v>
      </c>
      <c r="D8" s="455">
        <f>industrie!D18</f>
        <v>25874.358092409158</v>
      </c>
      <c r="E8" s="455">
        <f>industrie!E18</f>
        <v>26.457131535440986</v>
      </c>
      <c r="F8" s="455">
        <f>industrie!F18</f>
        <v>2148.3941535753097</v>
      </c>
      <c r="G8" s="455">
        <f>industrie!G18</f>
        <v>0</v>
      </c>
      <c r="H8" s="455">
        <f>industrie!H18</f>
        <v>0</v>
      </c>
      <c r="I8" s="455">
        <f>industrie!I18</f>
        <v>0</v>
      </c>
      <c r="J8" s="455">
        <f>industrie!J18</f>
        <v>0.14940776991331323</v>
      </c>
      <c r="K8" s="455">
        <f>industrie!K18</f>
        <v>0</v>
      </c>
      <c r="L8" s="455">
        <f>industrie!L18</f>
        <v>0</v>
      </c>
      <c r="M8" s="455">
        <f>industrie!M18</f>
        <v>0</v>
      </c>
      <c r="N8" s="455">
        <f>industrie!N18</f>
        <v>0</v>
      </c>
      <c r="O8" s="455">
        <f>industrie!O18</f>
        <v>0</v>
      </c>
      <c r="P8" s="456">
        <f>industrie!P18</f>
        <v>0</v>
      </c>
      <c r="Q8" s="454">
        <f t="shared" si="0"/>
        <v>42581.13413847451</v>
      </c>
    </row>
    <row r="9" spans="1:17" s="460" customFormat="1">
      <c r="A9" s="458" t="s">
        <v>552</v>
      </c>
      <c r="B9" s="459">
        <f>transport!B14</f>
        <v>90.490399369453385</v>
      </c>
      <c r="C9" s="459">
        <f>transport!C14</f>
        <v>0</v>
      </c>
      <c r="D9" s="459">
        <f>transport!D14</f>
        <v>345.68249122990477</v>
      </c>
      <c r="E9" s="459">
        <f>transport!E14</f>
        <v>223.40365684289992</v>
      </c>
      <c r="F9" s="459">
        <f>transport!F14</f>
        <v>0</v>
      </c>
      <c r="G9" s="459">
        <f>transport!G14</f>
        <v>101392.68301174529</v>
      </c>
      <c r="H9" s="459">
        <f>transport!H14</f>
        <v>22845.094161073695</v>
      </c>
      <c r="I9" s="459">
        <f>transport!I14</f>
        <v>0</v>
      </c>
      <c r="J9" s="459">
        <f>transport!J14</f>
        <v>0</v>
      </c>
      <c r="K9" s="459">
        <f>transport!K14</f>
        <v>0</v>
      </c>
      <c r="L9" s="459">
        <f>transport!L14</f>
        <v>0</v>
      </c>
      <c r="M9" s="459">
        <f>transport!M14</f>
        <v>7296.6542896609426</v>
      </c>
      <c r="N9" s="459">
        <f>transport!N14</f>
        <v>0</v>
      </c>
      <c r="O9" s="459">
        <f>transport!O14</f>
        <v>0</v>
      </c>
      <c r="P9" s="459">
        <f>transport!P14</f>
        <v>0</v>
      </c>
      <c r="Q9" s="458">
        <f>SUM(B9:P9)</f>
        <v>132194.00800992217</v>
      </c>
    </row>
    <row r="10" spans="1:17">
      <c r="A10" s="454" t="s">
        <v>542</v>
      </c>
      <c r="B10" s="455">
        <f>transport!B54</f>
        <v>0</v>
      </c>
      <c r="C10" s="455">
        <f>transport!C54</f>
        <v>0</v>
      </c>
      <c r="D10" s="455">
        <f>transport!D54</f>
        <v>0</v>
      </c>
      <c r="E10" s="455">
        <f>transport!E54</f>
        <v>0</v>
      </c>
      <c r="F10" s="455">
        <f>transport!F54</f>
        <v>0</v>
      </c>
      <c r="G10" s="455">
        <f>transport!G54</f>
        <v>380.46689347016797</v>
      </c>
      <c r="H10" s="455">
        <f>transport!H54</f>
        <v>0</v>
      </c>
      <c r="I10" s="455">
        <f>transport!I54</f>
        <v>0</v>
      </c>
      <c r="J10" s="455">
        <f>transport!J54</f>
        <v>0</v>
      </c>
      <c r="K10" s="455">
        <f>transport!K54</f>
        <v>0</v>
      </c>
      <c r="L10" s="455">
        <f>transport!L54</f>
        <v>0</v>
      </c>
      <c r="M10" s="455">
        <f>transport!M54</f>
        <v>20.646300622497503</v>
      </c>
      <c r="N10" s="455">
        <f>transport!N54</f>
        <v>0</v>
      </c>
      <c r="O10" s="455">
        <f>transport!O54</f>
        <v>0</v>
      </c>
      <c r="P10" s="456">
        <f>transport!P54</f>
        <v>0</v>
      </c>
      <c r="Q10" s="454">
        <f t="shared" si="0"/>
        <v>401.11319409266548</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242.50902576380901</v>
      </c>
      <c r="C14" s="462"/>
      <c r="D14" s="462">
        <f>'SEAP template'!E25</f>
        <v>718.39105867354397</v>
      </c>
      <c r="E14" s="462"/>
      <c r="F14" s="462"/>
      <c r="G14" s="462"/>
      <c r="H14" s="462"/>
      <c r="I14" s="462"/>
      <c r="J14" s="462"/>
      <c r="K14" s="462"/>
      <c r="L14" s="462"/>
      <c r="M14" s="462"/>
      <c r="N14" s="462"/>
      <c r="O14" s="462"/>
      <c r="P14" s="463"/>
      <c r="Q14" s="454">
        <f t="shared" si="0"/>
        <v>960.90008443735292</v>
      </c>
    </row>
    <row r="15" spans="1:17" s="466" customFormat="1">
      <c r="A15" s="464" t="s">
        <v>546</v>
      </c>
      <c r="B15" s="465">
        <f ca="1">SUM(B4:B14)</f>
        <v>30739.152036382926</v>
      </c>
      <c r="C15" s="465">
        <f t="shared" ref="C15:Q15" ca="1" si="1">SUM(C4:C14)</f>
        <v>1060.7142857142858</v>
      </c>
      <c r="D15" s="465">
        <f t="shared" ca="1" si="1"/>
        <v>63733.368447904017</v>
      </c>
      <c r="E15" s="465">
        <f t="shared" si="1"/>
        <v>2506.839252116009</v>
      </c>
      <c r="F15" s="465">
        <f t="shared" ca="1" si="1"/>
        <v>10447.805084474541</v>
      </c>
      <c r="G15" s="465">
        <f t="shared" si="1"/>
        <v>101773.14990521545</v>
      </c>
      <c r="H15" s="465">
        <f t="shared" si="1"/>
        <v>22845.094161073695</v>
      </c>
      <c r="I15" s="465">
        <f t="shared" si="1"/>
        <v>0</v>
      </c>
      <c r="J15" s="465">
        <f t="shared" si="1"/>
        <v>364.87980381923614</v>
      </c>
      <c r="K15" s="465">
        <f t="shared" si="1"/>
        <v>0</v>
      </c>
      <c r="L15" s="465">
        <f t="shared" ca="1" si="1"/>
        <v>0</v>
      </c>
      <c r="M15" s="465">
        <f t="shared" si="1"/>
        <v>7317.3005902834402</v>
      </c>
      <c r="N15" s="465">
        <f t="shared" ca="1" si="1"/>
        <v>7019.1412082763636</v>
      </c>
      <c r="O15" s="465">
        <f t="shared" si="1"/>
        <v>158.71665755096254</v>
      </c>
      <c r="P15" s="465">
        <f t="shared" si="1"/>
        <v>336.95603961399064</v>
      </c>
      <c r="Q15" s="465">
        <f t="shared" ca="1" si="1"/>
        <v>248303.11747242493</v>
      </c>
    </row>
    <row r="17" spans="1:17">
      <c r="A17" s="467" t="s">
        <v>547</v>
      </c>
      <c r="B17" s="784">
        <f ca="1">huishoudens!B10</f>
        <v>0.19950946142011414</v>
      </c>
      <c r="C17" s="784">
        <f ca="1">huishoudens!C10</f>
        <v>0</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2305.6258085402005</v>
      </c>
      <c r="C22" s="455">
        <f t="shared" ref="C22:C32" ca="1" si="3">C4*$C$17</f>
        <v>0</v>
      </c>
      <c r="D22" s="455">
        <f t="shared" ref="D22:D32" si="4">D4*$D$17</f>
        <v>5899.3830218570301</v>
      </c>
      <c r="E22" s="455">
        <f t="shared" ref="E22:E32" si="5">E4*$E$17</f>
        <v>504.32191022779671</v>
      </c>
      <c r="F22" s="455">
        <f t="shared" ref="F22:F32" si="6">F4*$F$17</f>
        <v>1499.5849017447292</v>
      </c>
      <c r="G22" s="455">
        <f t="shared" ref="G22:G32" si="7">G4*$G$17</f>
        <v>0</v>
      </c>
      <c r="H22" s="455">
        <f t="shared" ref="H22:H32" si="8">H4*$H$17</f>
        <v>0</v>
      </c>
      <c r="I22" s="455">
        <f t="shared" ref="I22:I32" si="9">I4*$I$17</f>
        <v>0</v>
      </c>
      <c r="J22" s="455">
        <f t="shared" ref="J22:J32" si="10">J4*$J$17</f>
        <v>70.59428325039984</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10279.509925620156</v>
      </c>
    </row>
    <row r="23" spans="1:17">
      <c r="A23" s="454" t="s">
        <v>155</v>
      </c>
      <c r="B23" s="455">
        <f t="shared" ca="1" si="2"/>
        <v>893.87627487140549</v>
      </c>
      <c r="C23" s="455">
        <f t="shared" ca="1" si="3"/>
        <v>0</v>
      </c>
      <c r="D23" s="455">
        <f t="shared" ca="1" si="4"/>
        <v>1494.1268779235518</v>
      </c>
      <c r="E23" s="455">
        <f t="shared" si="5"/>
        <v>2.6812091587205868</v>
      </c>
      <c r="F23" s="455">
        <f t="shared" ca="1" si="6"/>
        <v>170.85374843644067</v>
      </c>
      <c r="G23" s="455">
        <f t="shared" si="7"/>
        <v>0</v>
      </c>
      <c r="H23" s="455">
        <f t="shared" si="8"/>
        <v>0</v>
      </c>
      <c r="I23" s="455">
        <f t="shared" si="9"/>
        <v>0</v>
      </c>
      <c r="J23" s="455">
        <f t="shared" si="10"/>
        <v>1.5464722495687438E-3</v>
      </c>
      <c r="K23" s="455">
        <f t="shared" si="11"/>
        <v>0</v>
      </c>
      <c r="L23" s="455">
        <f t="shared" ca="1" si="12"/>
        <v>0</v>
      </c>
      <c r="M23" s="455">
        <f t="shared" si="13"/>
        <v>0</v>
      </c>
      <c r="N23" s="455">
        <f t="shared" ca="1" si="14"/>
        <v>0</v>
      </c>
      <c r="O23" s="455">
        <f t="shared" si="15"/>
        <v>0</v>
      </c>
      <c r="P23" s="456">
        <f t="shared" si="16"/>
        <v>0</v>
      </c>
      <c r="Q23" s="454">
        <f t="shared" ref="Q23:Q31" ca="1" si="17">SUM(B23:P23)</f>
        <v>2561.5396568623682</v>
      </c>
    </row>
    <row r="24" spans="1:17">
      <c r="A24" s="454" t="s">
        <v>193</v>
      </c>
      <c r="B24" s="455">
        <f t="shared" ca="1" si="2"/>
        <v>53.571881561606205</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53.571881561606205</v>
      </c>
    </row>
    <row r="25" spans="1:17">
      <c r="A25" s="454" t="s">
        <v>111</v>
      </c>
      <c r="B25" s="455">
        <f t="shared" ca="1" si="2"/>
        <v>125.63702802651655</v>
      </c>
      <c r="C25" s="455">
        <f t="shared" ca="1" si="3"/>
        <v>0</v>
      </c>
      <c r="D25" s="455">
        <f t="shared" si="4"/>
        <v>39.067334948883556</v>
      </c>
      <c r="E25" s="455">
        <f t="shared" si="5"/>
        <v>5.3309918819332625</v>
      </c>
      <c r="F25" s="455">
        <f t="shared" si="6"/>
        <v>545.50406836892512</v>
      </c>
      <c r="G25" s="455">
        <f t="shared" si="7"/>
        <v>0</v>
      </c>
      <c r="H25" s="455">
        <f t="shared" si="8"/>
        <v>0</v>
      </c>
      <c r="I25" s="455">
        <f t="shared" si="9"/>
        <v>0</v>
      </c>
      <c r="J25" s="455">
        <f t="shared" si="10"/>
        <v>58.518730478810873</v>
      </c>
      <c r="K25" s="455">
        <f t="shared" si="11"/>
        <v>0</v>
      </c>
      <c r="L25" s="455">
        <f t="shared" si="12"/>
        <v>0</v>
      </c>
      <c r="M25" s="455">
        <f t="shared" si="13"/>
        <v>0</v>
      </c>
      <c r="N25" s="455">
        <f t="shared" si="14"/>
        <v>0</v>
      </c>
      <c r="O25" s="455">
        <f t="shared" si="15"/>
        <v>0</v>
      </c>
      <c r="P25" s="456">
        <f t="shared" si="16"/>
        <v>0</v>
      </c>
      <c r="Q25" s="454">
        <f t="shared" ca="1" si="17"/>
        <v>774.05815370506934</v>
      </c>
    </row>
    <row r="26" spans="1:17">
      <c r="A26" s="454" t="s">
        <v>626</v>
      </c>
      <c r="B26" s="455">
        <f t="shared" ca="1" si="2"/>
        <v>2687.6041383284887</v>
      </c>
      <c r="C26" s="455">
        <f t="shared" ca="1" si="3"/>
        <v>0</v>
      </c>
      <c r="D26" s="455">
        <f t="shared" si="4"/>
        <v>5226.6203346666507</v>
      </c>
      <c r="E26" s="455">
        <f t="shared" si="5"/>
        <v>6.0057688585451041</v>
      </c>
      <c r="F26" s="455">
        <f t="shared" si="6"/>
        <v>573.62123900460767</v>
      </c>
      <c r="G26" s="455">
        <f t="shared" si="7"/>
        <v>0</v>
      </c>
      <c r="H26" s="455">
        <f t="shared" si="8"/>
        <v>0</v>
      </c>
      <c r="I26" s="455">
        <f t="shared" si="9"/>
        <v>0</v>
      </c>
      <c r="J26" s="455">
        <f t="shared" si="10"/>
        <v>5.2890350549312883E-2</v>
      </c>
      <c r="K26" s="455">
        <f t="shared" si="11"/>
        <v>0</v>
      </c>
      <c r="L26" s="455">
        <f t="shared" si="12"/>
        <v>0</v>
      </c>
      <c r="M26" s="455">
        <f t="shared" si="13"/>
        <v>0</v>
      </c>
      <c r="N26" s="455">
        <f t="shared" si="14"/>
        <v>0</v>
      </c>
      <c r="O26" s="455">
        <f t="shared" si="15"/>
        <v>0</v>
      </c>
      <c r="P26" s="456">
        <f t="shared" si="16"/>
        <v>0</v>
      </c>
      <c r="Q26" s="454">
        <f t="shared" ca="1" si="17"/>
        <v>8493.9043712088423</v>
      </c>
    </row>
    <row r="27" spans="1:17" s="460" customFormat="1">
      <c r="A27" s="458" t="s">
        <v>552</v>
      </c>
      <c r="B27" s="778">
        <f t="shared" ca="1" si="2"/>
        <v>18.053690841890681</v>
      </c>
      <c r="C27" s="459">
        <f t="shared" ca="1" si="3"/>
        <v>0</v>
      </c>
      <c r="D27" s="459">
        <f t="shared" si="4"/>
        <v>69.827863228440762</v>
      </c>
      <c r="E27" s="459">
        <f t="shared" si="5"/>
        <v>50.712630103338284</v>
      </c>
      <c r="F27" s="459">
        <f t="shared" si="6"/>
        <v>0</v>
      </c>
      <c r="G27" s="459">
        <f t="shared" si="7"/>
        <v>27071.846364135996</v>
      </c>
      <c r="H27" s="459">
        <f t="shared" si="8"/>
        <v>5688.4284461073503</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32898.868994417018</v>
      </c>
    </row>
    <row r="28" spans="1:17" ht="16.5" customHeight="1">
      <c r="A28" s="454" t="s">
        <v>542</v>
      </c>
      <c r="B28" s="455">
        <f t="shared" ca="1" si="2"/>
        <v>0</v>
      </c>
      <c r="C28" s="455">
        <f t="shared" ca="1" si="3"/>
        <v>0</v>
      </c>
      <c r="D28" s="455">
        <f t="shared" si="4"/>
        <v>0</v>
      </c>
      <c r="E28" s="455">
        <f t="shared" si="5"/>
        <v>0</v>
      </c>
      <c r="F28" s="455">
        <f t="shared" si="6"/>
        <v>0</v>
      </c>
      <c r="G28" s="455">
        <f t="shared" si="7"/>
        <v>101.58466055653486</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101.58466055653486</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48.382845119654121</v>
      </c>
      <c r="C32" s="455">
        <f t="shared" ca="1" si="3"/>
        <v>0</v>
      </c>
      <c r="D32" s="455">
        <f t="shared" si="4"/>
        <v>145.1149938520559</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193.49783897171002</v>
      </c>
    </row>
    <row r="33" spans="1:17" s="466" customFormat="1">
      <c r="A33" s="464" t="s">
        <v>546</v>
      </c>
      <c r="B33" s="465">
        <f ca="1">SUM(B22:B32)</f>
        <v>6132.7516672897618</v>
      </c>
      <c r="C33" s="465">
        <f t="shared" ref="C33:Q33" ca="1" si="19">SUM(C22:C32)</f>
        <v>0</v>
      </c>
      <c r="D33" s="465">
        <f t="shared" ca="1" si="19"/>
        <v>12874.140426476612</v>
      </c>
      <c r="E33" s="465">
        <f t="shared" si="19"/>
        <v>569.05251023033395</v>
      </c>
      <c r="F33" s="465">
        <f t="shared" ca="1" si="19"/>
        <v>2789.5639575547025</v>
      </c>
      <c r="G33" s="465">
        <f t="shared" si="19"/>
        <v>27173.431024692531</v>
      </c>
      <c r="H33" s="465">
        <f t="shared" si="19"/>
        <v>5688.4284461073503</v>
      </c>
      <c r="I33" s="465">
        <f t="shared" si="19"/>
        <v>0</v>
      </c>
      <c r="J33" s="465">
        <f t="shared" si="19"/>
        <v>129.1674505520096</v>
      </c>
      <c r="K33" s="465">
        <f t="shared" si="19"/>
        <v>0</v>
      </c>
      <c r="L33" s="465">
        <f t="shared" ca="1" si="19"/>
        <v>0</v>
      </c>
      <c r="M33" s="465">
        <f t="shared" si="19"/>
        <v>0</v>
      </c>
      <c r="N33" s="465">
        <f t="shared" ca="1" si="19"/>
        <v>0</v>
      </c>
      <c r="O33" s="465">
        <f t="shared" si="19"/>
        <v>0</v>
      </c>
      <c r="P33" s="465">
        <f t="shared" si="19"/>
        <v>0</v>
      </c>
      <c r="Q33" s="465">
        <f t="shared" ca="1" si="19"/>
        <v>55356.535482903302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57.9835012818873</v>
      </c>
      <c r="C5" s="1026"/>
      <c r="D5" s="1026"/>
      <c r="E5" s="1026"/>
      <c r="F5" s="1026"/>
      <c r="G5" s="1026"/>
      <c r="H5" s="1026"/>
      <c r="I5" s="1026"/>
      <c r="J5" s="1026"/>
      <c r="K5" s="1026"/>
      <c r="L5" s="1026"/>
      <c r="M5" s="1026"/>
      <c r="N5" s="1026"/>
      <c r="O5" s="1026"/>
      <c r="P5" s="1027">
        <f>'SEAP template'!Q73</f>
        <v>0</v>
      </c>
    </row>
    <row r="6" spans="1:16">
      <c r="A6" s="1031" t="s">
        <v>250</v>
      </c>
      <c r="B6" s="1026">
        <f>'SEAP template'!B74</f>
        <v>2188.6609908034739</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742.5</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873.52941176470586</v>
      </c>
      <c r="K8" s="1026">
        <f>'SEAP template'!K76</f>
        <v>0</v>
      </c>
      <c r="L8" s="1026">
        <f>'SEAP template'!L76</f>
        <v>0</v>
      </c>
      <c r="M8" s="1026">
        <f>'SEAP template'!M76</f>
        <v>0</v>
      </c>
      <c r="N8" s="1026">
        <f>'SEAP template'!N76</f>
        <v>0</v>
      </c>
      <c r="O8" s="1026">
        <f>'SEAP template'!O76</f>
        <v>0</v>
      </c>
      <c r="P8" s="1027">
        <f>'SEAP template'!Q76</f>
        <v>0</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2989.144492085361</v>
      </c>
      <c r="C10" s="1028">
        <f>SUM(C4:C9)</f>
        <v>0</v>
      </c>
      <c r="D10" s="1028">
        <f t="shared" ref="D10:H10" si="0">SUM(D8:D9)</f>
        <v>0</v>
      </c>
      <c r="E10" s="1028">
        <f t="shared" si="0"/>
        <v>0</v>
      </c>
      <c r="F10" s="1028">
        <f t="shared" si="0"/>
        <v>0</v>
      </c>
      <c r="G10" s="1028">
        <f t="shared" si="0"/>
        <v>0</v>
      </c>
      <c r="H10" s="1028">
        <f t="shared" si="0"/>
        <v>0</v>
      </c>
      <c r="I10" s="1028">
        <f>SUM(I8:I9)</f>
        <v>0</v>
      </c>
      <c r="J10" s="1028">
        <f>SUM(J8:J9)</f>
        <v>873.52941176470586</v>
      </c>
      <c r="K10" s="1028">
        <f t="shared" ref="K10:L10" si="1">SUM(K8:K9)</f>
        <v>0</v>
      </c>
      <c r="L10" s="1028">
        <f t="shared" si="1"/>
        <v>0</v>
      </c>
      <c r="M10" s="1028">
        <f>SUM(M8:M9)</f>
        <v>0</v>
      </c>
      <c r="N10" s="1028">
        <f>SUM(N8:N9)</f>
        <v>0</v>
      </c>
      <c r="O10" s="1028">
        <f>SUM(O8:O9)</f>
        <v>0</v>
      </c>
      <c r="P10" s="1028">
        <f>SUM(P8:P9)</f>
        <v>0</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0.19950946142011414</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1060.7142857142858</v>
      </c>
      <c r="C17" s="1029">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1247.8991596638657</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1060.7142857142858</v>
      </c>
      <c r="C20" s="1028">
        <f>SUM(C17:C19)</f>
        <v>0</v>
      </c>
      <c r="D20" s="1028">
        <f t="shared" ref="D20:H20" si="2">SUM(D17:D19)</f>
        <v>0</v>
      </c>
      <c r="E20" s="1028">
        <f t="shared" si="2"/>
        <v>0</v>
      </c>
      <c r="F20" s="1028">
        <f t="shared" si="2"/>
        <v>0</v>
      </c>
      <c r="G20" s="1028">
        <f t="shared" si="2"/>
        <v>0</v>
      </c>
      <c r="H20" s="1028">
        <f t="shared" si="2"/>
        <v>0</v>
      </c>
      <c r="I20" s="1028">
        <f>SUM(I17:I19)</f>
        <v>0</v>
      </c>
      <c r="J20" s="1028">
        <f>SUM(J17:J19)</f>
        <v>1247.8991596638657</v>
      </c>
      <c r="K20" s="1028">
        <f t="shared" ref="K20:L20" si="3">SUM(K17:K19)</f>
        <v>0</v>
      </c>
      <c r="L20" s="1028">
        <f t="shared" si="3"/>
        <v>0</v>
      </c>
      <c r="M20" s="1028">
        <f>SUM(M17:M19)</f>
        <v>0</v>
      </c>
      <c r="N20" s="1028">
        <f>SUM(N17:N19)</f>
        <v>0</v>
      </c>
      <c r="O20" s="1028">
        <f>SUM(O17:O19)</f>
        <v>0</v>
      </c>
      <c r="P20" s="1028">
        <f>SUM(P17:P19)</f>
        <v>0</v>
      </c>
    </row>
    <row r="21" spans="1:16">
      <c r="B21" s="890"/>
    </row>
    <row r="22" spans="1:16">
      <c r="A22" s="467" t="s">
        <v>773</v>
      </c>
      <c r="B22" s="784" t="s">
        <v>771</v>
      </c>
      <c r="C22" s="784">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0.19950946142011414</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1</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1.5633333333333335</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0.19950946142011414</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0.19950946142011414</v>
      </c>
      <c r="C29" s="505">
        <f ca="1">'EF ele_warmte'!B22</f>
        <v>0</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2814</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2577.6999999999998</v>
      </c>
      <c r="C14" s="332"/>
      <c r="D14" s="332"/>
      <c r="E14" s="332"/>
      <c r="F14" s="332"/>
    </row>
    <row r="15" spans="1:6">
      <c r="A15" s="1310" t="s">
        <v>183</v>
      </c>
      <c r="B15" s="1311">
        <v>3</v>
      </c>
      <c r="C15" s="332"/>
      <c r="D15" s="332"/>
      <c r="E15" s="332"/>
      <c r="F15" s="332"/>
    </row>
    <row r="16" spans="1:6">
      <c r="A16" s="1310" t="s">
        <v>6</v>
      </c>
      <c r="B16" s="1311">
        <v>81</v>
      </c>
      <c r="C16" s="332"/>
      <c r="D16" s="332"/>
      <c r="E16" s="332"/>
      <c r="F16" s="332"/>
    </row>
    <row r="17" spans="1:6">
      <c r="A17" s="1310" t="s">
        <v>7</v>
      </c>
      <c r="B17" s="1311">
        <v>354</v>
      </c>
      <c r="C17" s="332"/>
      <c r="D17" s="332"/>
      <c r="E17" s="332"/>
      <c r="F17" s="332"/>
    </row>
    <row r="18" spans="1:6">
      <c r="A18" s="1310" t="s">
        <v>8</v>
      </c>
      <c r="B18" s="1311">
        <v>399</v>
      </c>
      <c r="C18" s="332"/>
      <c r="D18" s="332"/>
      <c r="E18" s="332"/>
      <c r="F18" s="332"/>
    </row>
    <row r="19" spans="1:6">
      <c r="A19" s="1310" t="s">
        <v>9</v>
      </c>
      <c r="B19" s="1311">
        <v>432</v>
      </c>
      <c r="C19" s="332"/>
      <c r="D19" s="332"/>
      <c r="E19" s="332"/>
      <c r="F19" s="332"/>
    </row>
    <row r="20" spans="1:6">
      <c r="A20" s="1310" t="s">
        <v>10</v>
      </c>
      <c r="B20" s="1311">
        <v>186</v>
      </c>
      <c r="C20" s="332"/>
      <c r="D20" s="332"/>
      <c r="E20" s="332"/>
      <c r="F20" s="332"/>
    </row>
    <row r="21" spans="1:6">
      <c r="A21" s="1310" t="s">
        <v>11</v>
      </c>
      <c r="B21" s="1311">
        <v>2134</v>
      </c>
      <c r="C21" s="332"/>
      <c r="D21" s="332"/>
      <c r="E21" s="332"/>
      <c r="F21" s="332"/>
    </row>
    <row r="22" spans="1:6">
      <c r="A22" s="1310" t="s">
        <v>12</v>
      </c>
      <c r="B22" s="1311">
        <v>2889</v>
      </c>
      <c r="C22" s="332"/>
      <c r="D22" s="332"/>
      <c r="E22" s="332"/>
      <c r="F22" s="332"/>
    </row>
    <row r="23" spans="1:6">
      <c r="A23" s="1310" t="s">
        <v>13</v>
      </c>
      <c r="B23" s="1311">
        <v>38</v>
      </c>
      <c r="C23" s="332"/>
      <c r="D23" s="332"/>
      <c r="E23" s="332"/>
      <c r="F23" s="332"/>
    </row>
    <row r="24" spans="1:6">
      <c r="A24" s="1310" t="s">
        <v>14</v>
      </c>
      <c r="B24" s="1311">
        <v>6</v>
      </c>
      <c r="C24" s="332"/>
      <c r="D24" s="332"/>
      <c r="E24" s="332"/>
      <c r="F24" s="332"/>
    </row>
    <row r="25" spans="1:6">
      <c r="A25" s="1310" t="s">
        <v>15</v>
      </c>
      <c r="B25" s="1311">
        <v>816</v>
      </c>
      <c r="C25" s="332"/>
      <c r="D25" s="332"/>
      <c r="E25" s="332"/>
      <c r="F25" s="332"/>
    </row>
    <row r="26" spans="1:6">
      <c r="A26" s="1310" t="s">
        <v>16</v>
      </c>
      <c r="B26" s="1311">
        <v>72</v>
      </c>
      <c r="C26" s="332"/>
      <c r="D26" s="332"/>
      <c r="E26" s="332"/>
      <c r="F26" s="332"/>
    </row>
    <row r="27" spans="1:6">
      <c r="A27" s="1310" t="s">
        <v>17</v>
      </c>
      <c r="B27" s="1311">
        <v>2</v>
      </c>
      <c r="C27" s="332"/>
      <c r="D27" s="332"/>
      <c r="E27" s="332"/>
      <c r="F27" s="332"/>
    </row>
    <row r="28" spans="1:6" s="43" customFormat="1">
      <c r="A28" s="1312" t="s">
        <v>18</v>
      </c>
      <c r="B28" s="1313">
        <v>0</v>
      </c>
      <c r="C28" s="338"/>
      <c r="D28" s="338"/>
      <c r="E28" s="338"/>
      <c r="F28" s="338"/>
    </row>
    <row r="29" spans="1:6">
      <c r="A29" s="1312" t="s">
        <v>699</v>
      </c>
      <c r="B29" s="1313">
        <v>47</v>
      </c>
      <c r="C29" s="338"/>
      <c r="D29" s="338"/>
      <c r="E29" s="338"/>
      <c r="F29" s="338"/>
    </row>
    <row r="30" spans="1:6">
      <c r="A30" s="1305" t="s">
        <v>700</v>
      </c>
      <c r="B30" s="1314">
        <v>2</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0</v>
      </c>
      <c r="F38" s="1311">
        <v>0</v>
      </c>
    </row>
    <row r="39" spans="1:6">
      <c r="A39" s="1310" t="s">
        <v>29</v>
      </c>
      <c r="B39" s="1310" t="s">
        <v>30</v>
      </c>
      <c r="C39" s="1311">
        <v>1906</v>
      </c>
      <c r="D39" s="1311">
        <v>32342044.7894095</v>
      </c>
      <c r="E39" s="1311">
        <v>2721</v>
      </c>
      <c r="F39" s="1311">
        <v>9726986.2675963305</v>
      </c>
    </row>
    <row r="40" spans="1:6">
      <c r="A40" s="1310" t="s">
        <v>29</v>
      </c>
      <c r="B40" s="1310" t="s">
        <v>28</v>
      </c>
      <c r="C40" s="1311">
        <v>0</v>
      </c>
      <c r="D40" s="1311">
        <v>0</v>
      </c>
      <c r="E40" s="1311">
        <v>0</v>
      </c>
      <c r="F40" s="1311">
        <v>0</v>
      </c>
    </row>
    <row r="41" spans="1:6">
      <c r="A41" s="1310" t="s">
        <v>31</v>
      </c>
      <c r="B41" s="1310" t="s">
        <v>32</v>
      </c>
      <c r="C41" s="1311">
        <v>19</v>
      </c>
      <c r="D41" s="1311">
        <v>771518.97447152704</v>
      </c>
      <c r="E41" s="1311">
        <v>41</v>
      </c>
      <c r="F41" s="1311">
        <v>3246580.71386695</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3</v>
      </c>
      <c r="D44" s="1311">
        <v>65594.097582135</v>
      </c>
      <c r="E44" s="1311">
        <v>8</v>
      </c>
      <c r="F44" s="1311">
        <v>90584.860823464798</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2</v>
      </c>
      <c r="D48" s="1311">
        <v>26822.7716392947</v>
      </c>
      <c r="E48" s="1311">
        <v>3</v>
      </c>
      <c r="F48" s="1311">
        <v>33844.9931502131</v>
      </c>
    </row>
    <row r="49" spans="1:6">
      <c r="A49" s="1310" t="s">
        <v>31</v>
      </c>
      <c r="B49" s="1310" t="s">
        <v>39</v>
      </c>
      <c r="C49" s="1311">
        <v>0</v>
      </c>
      <c r="D49" s="1311">
        <v>0</v>
      </c>
      <c r="E49" s="1311">
        <v>0</v>
      </c>
      <c r="F49" s="1311">
        <v>0</v>
      </c>
    </row>
    <row r="50" spans="1:6">
      <c r="A50" s="1310" t="s">
        <v>31</v>
      </c>
      <c r="B50" s="1310" t="s">
        <v>40</v>
      </c>
      <c r="C50" s="1311">
        <v>12</v>
      </c>
      <c r="D50" s="1311">
        <v>27789838.345021501</v>
      </c>
      <c r="E50" s="1311">
        <v>14</v>
      </c>
      <c r="F50" s="1311">
        <v>9357550.4996297807</v>
      </c>
    </row>
    <row r="51" spans="1:6">
      <c r="A51" s="1310" t="s">
        <v>41</v>
      </c>
      <c r="B51" s="1310" t="s">
        <v>42</v>
      </c>
      <c r="C51" s="1311">
        <v>10</v>
      </c>
      <c r="D51" s="1311">
        <v>214177.90505182699</v>
      </c>
      <c r="E51" s="1311">
        <v>52</v>
      </c>
      <c r="F51" s="1311">
        <v>629729.67363165901</v>
      </c>
    </row>
    <row r="52" spans="1:6">
      <c r="A52" s="1310" t="s">
        <v>41</v>
      </c>
      <c r="B52" s="1310" t="s">
        <v>28</v>
      </c>
      <c r="C52" s="1311">
        <v>0</v>
      </c>
      <c r="D52" s="1311">
        <v>0</v>
      </c>
      <c r="E52" s="1311">
        <v>0</v>
      </c>
      <c r="F52" s="1311">
        <v>0</v>
      </c>
    </row>
    <row r="53" spans="1:6">
      <c r="A53" s="1310" t="s">
        <v>43</v>
      </c>
      <c r="B53" s="1310" t="s">
        <v>44</v>
      </c>
      <c r="C53" s="1311">
        <v>47</v>
      </c>
      <c r="D53" s="1311">
        <v>718391.05867354397</v>
      </c>
      <c r="E53" s="1311">
        <v>83</v>
      </c>
      <c r="F53" s="1311">
        <v>242509.02576380901</v>
      </c>
    </row>
    <row r="54" spans="1:6">
      <c r="A54" s="1310" t="s">
        <v>45</v>
      </c>
      <c r="B54" s="1310" t="s">
        <v>46</v>
      </c>
      <c r="C54" s="1311">
        <v>0</v>
      </c>
      <c r="D54" s="1311">
        <v>0</v>
      </c>
      <c r="E54" s="1311">
        <v>1</v>
      </c>
      <c r="F54" s="1311">
        <v>268518</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21</v>
      </c>
      <c r="D57" s="1311">
        <v>743968.856838951</v>
      </c>
      <c r="E57" s="1311">
        <v>35</v>
      </c>
      <c r="F57" s="1311">
        <v>442349.66102744901</v>
      </c>
    </row>
    <row r="58" spans="1:6">
      <c r="A58" s="1310" t="s">
        <v>48</v>
      </c>
      <c r="B58" s="1310" t="s">
        <v>50</v>
      </c>
      <c r="C58" s="1311">
        <v>17</v>
      </c>
      <c r="D58" s="1311">
        <v>308985.177835054</v>
      </c>
      <c r="E58" s="1311">
        <v>16</v>
      </c>
      <c r="F58" s="1311">
        <v>43392.631266593999</v>
      </c>
    </row>
    <row r="59" spans="1:6">
      <c r="A59" s="1310" t="s">
        <v>48</v>
      </c>
      <c r="B59" s="1310" t="s">
        <v>51</v>
      </c>
      <c r="C59" s="1311">
        <v>42</v>
      </c>
      <c r="D59" s="1311">
        <v>1631668.0223741599</v>
      </c>
      <c r="E59" s="1311">
        <v>57</v>
      </c>
      <c r="F59" s="1311">
        <v>1442992.8737858799</v>
      </c>
    </row>
    <row r="60" spans="1:6">
      <c r="A60" s="1310" t="s">
        <v>48</v>
      </c>
      <c r="B60" s="1310" t="s">
        <v>52</v>
      </c>
      <c r="C60" s="1311">
        <v>25</v>
      </c>
      <c r="D60" s="1311">
        <v>1127730.26809705</v>
      </c>
      <c r="E60" s="1311">
        <v>27</v>
      </c>
      <c r="F60" s="1311">
        <v>624500.24603804096</v>
      </c>
    </row>
    <row r="61" spans="1:6">
      <c r="A61" s="1310" t="s">
        <v>48</v>
      </c>
      <c r="B61" s="1310" t="s">
        <v>53</v>
      </c>
      <c r="C61" s="1311">
        <v>93</v>
      </c>
      <c r="D61" s="1311">
        <v>3986661.2961196699</v>
      </c>
      <c r="E61" s="1311">
        <v>159</v>
      </c>
      <c r="F61" s="1311">
        <v>1689396.6259943501</v>
      </c>
    </row>
    <row r="62" spans="1:6">
      <c r="A62" s="1310" t="s">
        <v>48</v>
      </c>
      <c r="B62" s="1310" t="s">
        <v>54</v>
      </c>
      <c r="C62" s="1311">
        <v>8</v>
      </c>
      <c r="D62" s="1311">
        <v>392202.00718786201</v>
      </c>
      <c r="E62" s="1311">
        <v>9</v>
      </c>
      <c r="F62" s="1311">
        <v>237738.308781353</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1</v>
      </c>
      <c r="D65" s="1311">
        <v>31901.39442207</v>
      </c>
      <c r="E65" s="1311">
        <v>2</v>
      </c>
      <c r="F65" s="1311">
        <v>31150.539352112599</v>
      </c>
    </row>
    <row r="66" spans="1:6">
      <c r="A66" s="1310" t="s">
        <v>55</v>
      </c>
      <c r="B66" s="1310" t="s">
        <v>57</v>
      </c>
      <c r="C66" s="1311">
        <v>0</v>
      </c>
      <c r="D66" s="1311">
        <v>0</v>
      </c>
      <c r="E66" s="1311">
        <v>0</v>
      </c>
      <c r="F66" s="1311">
        <v>0</v>
      </c>
    </row>
    <row r="67" spans="1:6">
      <c r="A67" s="1312" t="s">
        <v>55</v>
      </c>
      <c r="B67" s="1312" t="s">
        <v>58</v>
      </c>
      <c r="C67" s="1311">
        <v>0</v>
      </c>
      <c r="D67" s="1311">
        <v>0</v>
      </c>
      <c r="E67" s="1311">
        <v>0</v>
      </c>
      <c r="F67" s="1311">
        <v>0</v>
      </c>
    </row>
    <row r="68" spans="1:6">
      <c r="A68" s="1305" t="s">
        <v>55</v>
      </c>
      <c r="B68" s="1305" t="s">
        <v>59</v>
      </c>
      <c r="C68" s="1314">
        <v>0</v>
      </c>
      <c r="D68" s="1314">
        <v>0</v>
      </c>
      <c r="E68" s="1314">
        <v>7</v>
      </c>
      <c r="F68" s="1314">
        <v>21717.675657627198</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11490867</v>
      </c>
      <c r="E73" s="453"/>
      <c r="F73" s="332"/>
    </row>
    <row r="74" spans="1:6">
      <c r="A74" s="1310" t="s">
        <v>63</v>
      </c>
      <c r="B74" s="1310" t="s">
        <v>648</v>
      </c>
      <c r="C74" s="1324" t="s">
        <v>650</v>
      </c>
      <c r="D74" s="1325">
        <v>1229402.4709751436</v>
      </c>
      <c r="E74" s="453"/>
      <c r="F74" s="332"/>
    </row>
    <row r="75" spans="1:6">
      <c r="A75" s="1310" t="s">
        <v>64</v>
      </c>
      <c r="B75" s="1310" t="s">
        <v>647</v>
      </c>
      <c r="C75" s="1324" t="s">
        <v>651</v>
      </c>
      <c r="D75" s="1325">
        <v>10455669</v>
      </c>
      <c r="E75" s="453"/>
      <c r="F75" s="332"/>
    </row>
    <row r="76" spans="1:6">
      <c r="A76" s="1310" t="s">
        <v>64</v>
      </c>
      <c r="B76" s="1310" t="s">
        <v>648</v>
      </c>
      <c r="C76" s="1324" t="s">
        <v>652</v>
      </c>
      <c r="D76" s="1325">
        <v>121892.4709751435</v>
      </c>
      <c r="E76" s="453"/>
      <c r="F76" s="332"/>
    </row>
    <row r="77" spans="1:6">
      <c r="A77" s="1310" t="s">
        <v>65</v>
      </c>
      <c r="B77" s="1310" t="s">
        <v>647</v>
      </c>
      <c r="C77" s="1324" t="s">
        <v>653</v>
      </c>
      <c r="D77" s="1325">
        <v>112011471</v>
      </c>
      <c r="E77" s="453"/>
      <c r="F77" s="332"/>
    </row>
    <row r="78" spans="1:6">
      <c r="A78" s="1305" t="s">
        <v>65</v>
      </c>
      <c r="B78" s="1305" t="s">
        <v>648</v>
      </c>
      <c r="C78" s="1305" t="s">
        <v>654</v>
      </c>
      <c r="D78" s="1326">
        <v>13904668</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111259.058049713</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57.9835012818873</v>
      </c>
      <c r="C89" s="332"/>
      <c r="D89" s="332"/>
      <c r="E89" s="332"/>
      <c r="F89" s="332"/>
    </row>
    <row r="90" spans="1:6">
      <c r="A90" s="1310" t="s">
        <v>540</v>
      </c>
      <c r="B90" s="1311">
        <v>0</v>
      </c>
      <c r="C90" s="332"/>
      <c r="D90" s="332"/>
      <c r="E90" s="332"/>
      <c r="F90" s="332"/>
    </row>
    <row r="91" spans="1:6">
      <c r="A91" s="1310" t="s">
        <v>67</v>
      </c>
      <c r="B91" s="1311">
        <v>1829.4872556576004</v>
      </c>
      <c r="C91" s="332"/>
      <c r="D91" s="332"/>
      <c r="E91" s="332"/>
      <c r="F91" s="332"/>
    </row>
    <row r="92" spans="1:6">
      <c r="A92" s="1305" t="s">
        <v>68</v>
      </c>
      <c r="B92" s="1306">
        <v>359.17373514587365</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1048</v>
      </c>
      <c r="C97" s="332"/>
      <c r="D97" s="332"/>
      <c r="E97" s="332"/>
      <c r="F97" s="332"/>
    </row>
    <row r="98" spans="1:6">
      <c r="A98" s="1310" t="s">
        <v>71</v>
      </c>
      <c r="B98" s="1311">
        <v>1</v>
      </c>
      <c r="C98" s="332"/>
      <c r="D98" s="332"/>
      <c r="E98" s="332"/>
      <c r="F98" s="332"/>
    </row>
    <row r="99" spans="1:6">
      <c r="A99" s="1310" t="s">
        <v>72</v>
      </c>
      <c r="B99" s="1311">
        <v>17</v>
      </c>
      <c r="C99" s="332"/>
      <c r="D99" s="332"/>
      <c r="E99" s="332"/>
      <c r="F99" s="332"/>
    </row>
    <row r="100" spans="1:6">
      <c r="A100" s="1310" t="s">
        <v>73</v>
      </c>
      <c r="B100" s="1311">
        <v>119</v>
      </c>
      <c r="C100" s="332"/>
      <c r="D100" s="332"/>
      <c r="E100" s="332"/>
      <c r="F100" s="332"/>
    </row>
    <row r="101" spans="1:6">
      <c r="A101" s="1310" t="s">
        <v>74</v>
      </c>
      <c r="B101" s="1311">
        <v>28</v>
      </c>
      <c r="C101" s="332"/>
      <c r="D101" s="332"/>
      <c r="E101" s="332"/>
      <c r="F101" s="332"/>
    </row>
    <row r="102" spans="1:6">
      <c r="A102" s="1310" t="s">
        <v>75</v>
      </c>
      <c r="B102" s="1311">
        <v>31</v>
      </c>
      <c r="C102" s="332"/>
      <c r="D102" s="332"/>
      <c r="E102" s="332"/>
      <c r="F102" s="332"/>
    </row>
    <row r="103" spans="1:6">
      <c r="A103" s="1310" t="s">
        <v>76</v>
      </c>
      <c r="B103" s="1311">
        <v>100</v>
      </c>
      <c r="C103" s="332"/>
      <c r="D103" s="332"/>
      <c r="E103" s="332"/>
      <c r="F103" s="332"/>
    </row>
    <row r="104" spans="1:6">
      <c r="A104" s="1310" t="s">
        <v>77</v>
      </c>
      <c r="B104" s="1311">
        <v>1043</v>
      </c>
      <c r="C104" s="332"/>
      <c r="D104" s="332"/>
      <c r="E104" s="332"/>
      <c r="F104" s="332"/>
    </row>
    <row r="105" spans="1:6">
      <c r="A105" s="1305" t="s">
        <v>78</v>
      </c>
      <c r="B105" s="1314">
        <v>1</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1</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13</v>
      </c>
      <c r="C123" s="1311">
        <v>12</v>
      </c>
      <c r="D123" s="332"/>
      <c r="E123" s="332"/>
      <c r="F123" s="332"/>
    </row>
    <row r="124" spans="1:6" s="43" customFormat="1">
      <c r="A124" s="1312" t="s">
        <v>88</v>
      </c>
      <c r="B124" s="1333">
        <v>0</v>
      </c>
      <c r="C124" s="1333">
        <v>0</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68</v>
      </c>
      <c r="C129" s="332"/>
      <c r="D129" s="332"/>
      <c r="E129" s="332"/>
      <c r="F129" s="332"/>
    </row>
    <row r="130" spans="1:6">
      <c r="A130" s="1310" t="s">
        <v>294</v>
      </c>
      <c r="B130" s="1311">
        <v>0</v>
      </c>
      <c r="C130" s="332"/>
      <c r="D130" s="332"/>
      <c r="E130" s="332"/>
      <c r="F130" s="332"/>
    </row>
    <row r="131" spans="1:6">
      <c r="A131" s="1310" t="s">
        <v>295</v>
      </c>
      <c r="B131" s="1311">
        <v>1</v>
      </c>
      <c r="C131" s="332"/>
      <c r="D131" s="332"/>
      <c r="E131" s="332"/>
      <c r="F131" s="332"/>
    </row>
    <row r="132" spans="1:6">
      <c r="A132" s="1305" t="s">
        <v>296</v>
      </c>
      <c r="B132" s="1306">
        <v>14</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30739.15203638293</v>
      </c>
      <c r="C3" s="43" t="s">
        <v>169</v>
      </c>
      <c r="D3" s="43"/>
      <c r="E3" s="154"/>
      <c r="F3" s="43"/>
      <c r="G3" s="43"/>
      <c r="H3" s="43"/>
      <c r="I3" s="43"/>
      <c r="J3" s="43"/>
      <c r="K3" s="96"/>
    </row>
    <row r="4" spans="1:11">
      <c r="A4" s="360" t="s">
        <v>170</v>
      </c>
      <c r="B4" s="49">
        <f>IF(ISERROR('SEAP template'!B78+'SEAP template'!C78),0,'SEAP template'!B78+'SEAP template'!C78)</f>
        <v>2989.144492085361</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0</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0.19950946142011414</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0</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1060.7142857142858</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268.51799999999997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268.51799999999997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0.19950946142011414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53.571881561606205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9726.9862675963304</v>
      </c>
      <c r="C5" s="17">
        <f>IF(ISERROR('Eigen informatie GS &amp; warmtenet'!B59),0,'Eigen informatie GS &amp; warmtenet'!B59)</f>
        <v>0</v>
      </c>
      <c r="D5" s="30">
        <f>(SUM(HH_hh_gas_kWh,HH_rest_gas_kWh)/1000)*0.903</f>
        <v>29204.866444836782</v>
      </c>
      <c r="E5" s="17">
        <f>B46*B57</f>
        <v>2221.6824239109988</v>
      </c>
      <c r="F5" s="17">
        <f>B51*B62</f>
        <v>5616.4228529765132</v>
      </c>
      <c r="G5" s="18"/>
      <c r="H5" s="17"/>
      <c r="I5" s="17"/>
      <c r="J5" s="17">
        <f>B50*B61+C50*C61</f>
        <v>199.41887923841765</v>
      </c>
      <c r="K5" s="17"/>
      <c r="L5" s="17"/>
      <c r="M5" s="17"/>
      <c r="N5" s="17">
        <f>B48*B59+C48*C59</f>
        <v>6858.7019574276001</v>
      </c>
      <c r="O5" s="17">
        <f>B69*B70*B71</f>
        <v>158.71665755096254</v>
      </c>
      <c r="P5" s="17">
        <f>B77*B78*B79/1000-B77*B78*B79/1000/B80</f>
        <v>284.41690130749561</v>
      </c>
    </row>
    <row r="6" spans="1:16">
      <c r="A6" s="16" t="s">
        <v>612</v>
      </c>
      <c r="B6" s="786">
        <f>kWh_PV_kleiner_dan_10kW</f>
        <v>1829.4872556576004</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11556.473523253931</v>
      </c>
      <c r="C8" s="21">
        <f>C5</f>
        <v>0</v>
      </c>
      <c r="D8" s="21">
        <f>D5</f>
        <v>29204.866444836782</v>
      </c>
      <c r="E8" s="21">
        <f>E5</f>
        <v>2221.6824239109988</v>
      </c>
      <c r="F8" s="21">
        <f>F5</f>
        <v>5616.4228529765132</v>
      </c>
      <c r="G8" s="21"/>
      <c r="H8" s="21"/>
      <c r="I8" s="21"/>
      <c r="J8" s="21">
        <f>J5</f>
        <v>199.41887923841765</v>
      </c>
      <c r="K8" s="21"/>
      <c r="L8" s="21">
        <f>L5</f>
        <v>0</v>
      </c>
      <c r="M8" s="21">
        <f>M5</f>
        <v>0</v>
      </c>
      <c r="N8" s="21">
        <f>N5</f>
        <v>6858.7019574276001</v>
      </c>
      <c r="O8" s="21">
        <f>O5</f>
        <v>158.71665755096254</v>
      </c>
      <c r="P8" s="21">
        <f>P5</f>
        <v>284.41690130749561</v>
      </c>
    </row>
    <row r="9" spans="1:16">
      <c r="B9" s="19"/>
      <c r="C9" s="19"/>
      <c r="D9" s="258"/>
      <c r="E9" s="19"/>
      <c r="F9" s="19"/>
      <c r="G9" s="19"/>
      <c r="H9" s="19"/>
      <c r="I9" s="19"/>
      <c r="J9" s="19"/>
      <c r="K9" s="19"/>
      <c r="L9" s="19"/>
      <c r="M9" s="19"/>
      <c r="N9" s="19"/>
      <c r="O9" s="19"/>
      <c r="P9" s="19"/>
    </row>
    <row r="10" spans="1:16">
      <c r="A10" s="24" t="s">
        <v>213</v>
      </c>
      <c r="B10" s="25">
        <f ca="1">'EF ele_warmte'!B12</f>
        <v>0.19950946142011414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2305.6258085402005</v>
      </c>
      <c r="C12" s="23">
        <f ca="1">C10*C8</f>
        <v>0</v>
      </c>
      <c r="D12" s="23">
        <f>D8*D10</f>
        <v>5899.3830218570301</v>
      </c>
      <c r="E12" s="23">
        <f>E10*E8</f>
        <v>504.32191022779671</v>
      </c>
      <c r="F12" s="23">
        <f>F10*F8</f>
        <v>1499.5849017447292</v>
      </c>
      <c r="G12" s="23"/>
      <c r="H12" s="23"/>
      <c r="I12" s="23"/>
      <c r="J12" s="23">
        <f>J10*J8</f>
        <v>70.59428325039984</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1048</v>
      </c>
      <c r="C18" s="166" t="s">
        <v>110</v>
      </c>
      <c r="D18" s="228"/>
      <c r="E18" s="15"/>
    </row>
    <row r="19" spans="1:7">
      <c r="A19" s="171" t="s">
        <v>71</v>
      </c>
      <c r="B19" s="37">
        <f>aantalw2001_ander</f>
        <v>1</v>
      </c>
      <c r="C19" s="166" t="s">
        <v>110</v>
      </c>
      <c r="D19" s="229"/>
      <c r="E19" s="15"/>
    </row>
    <row r="20" spans="1:7">
      <c r="A20" s="171" t="s">
        <v>72</v>
      </c>
      <c r="B20" s="37">
        <f>aantalw2001_propaan</f>
        <v>17</v>
      </c>
      <c r="C20" s="167">
        <f>IF(ISERROR(B20/SUM($B$20,$B$21,$B$22)*100),0,B20/SUM($B$20,$B$21,$B$22)*100)</f>
        <v>10.365853658536585</v>
      </c>
      <c r="D20" s="229"/>
      <c r="E20" s="15"/>
    </row>
    <row r="21" spans="1:7">
      <c r="A21" s="171" t="s">
        <v>73</v>
      </c>
      <c r="B21" s="37">
        <f>aantalw2001_elektriciteit</f>
        <v>119</v>
      </c>
      <c r="C21" s="167">
        <f>IF(ISERROR(B21/SUM($B$20,$B$21,$B$22)*100),0,B21/SUM($B$20,$B$21,$B$22)*100)</f>
        <v>72.560975609756099</v>
      </c>
      <c r="D21" s="229"/>
      <c r="E21" s="15"/>
    </row>
    <row r="22" spans="1:7">
      <c r="A22" s="171" t="s">
        <v>74</v>
      </c>
      <c r="B22" s="37">
        <f>aantalw2001_hout</f>
        <v>28</v>
      </c>
      <c r="C22" s="167">
        <f>IF(ISERROR(B22/SUM($B$20,$B$21,$B$22)*100),0,B22/SUM($B$20,$B$21,$B$22)*100)</f>
        <v>17.073170731707318</v>
      </c>
      <c r="D22" s="229"/>
      <c r="E22" s="15"/>
    </row>
    <row r="23" spans="1:7">
      <c r="A23" s="171" t="s">
        <v>75</v>
      </c>
      <c r="B23" s="37">
        <f>aantalw2001_niet_gespec</f>
        <v>31</v>
      </c>
      <c r="C23" s="166" t="s">
        <v>110</v>
      </c>
      <c r="D23" s="228"/>
      <c r="E23" s="15"/>
    </row>
    <row r="24" spans="1:7">
      <c r="A24" s="171" t="s">
        <v>76</v>
      </c>
      <c r="B24" s="37">
        <f>aantalw2001_steenkool</f>
        <v>100</v>
      </c>
      <c r="C24" s="166" t="s">
        <v>110</v>
      </c>
      <c r="D24" s="229"/>
      <c r="E24" s="15"/>
    </row>
    <row r="25" spans="1:7">
      <c r="A25" s="171" t="s">
        <v>77</v>
      </c>
      <c r="B25" s="37">
        <f>aantalw2001_stookolie</f>
        <v>1043</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838</v>
      </c>
      <c r="B28" s="37">
        <f>aantalHuishoudens</f>
        <v>2814</v>
      </c>
      <c r="C28" s="36"/>
      <c r="D28" s="228"/>
    </row>
    <row r="29" spans="1:7" s="15" customFormat="1">
      <c r="A29" s="230" t="s">
        <v>839</v>
      </c>
      <c r="B29" s="37">
        <f>SUM(HH_hh_gas_aantal,HH_rest_gas_aantal)</f>
        <v>1906</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1906</v>
      </c>
      <c r="C32" s="167">
        <f>IF(ISERROR(B32/SUM($B$32,$B$34,$B$35,$B$36,$B$38,$B$39)*100),0,B32/SUM($B$32,$B$34,$B$35,$B$36,$B$38,$B$39)*100)</f>
        <v>68.388948690348045</v>
      </c>
      <c r="D32" s="233"/>
      <c r="G32" s="15"/>
    </row>
    <row r="33" spans="1:7">
      <c r="A33" s="171" t="s">
        <v>71</v>
      </c>
      <c r="B33" s="34" t="s">
        <v>110</v>
      </c>
      <c r="C33" s="167"/>
      <c r="D33" s="233"/>
      <c r="G33" s="15"/>
    </row>
    <row r="34" spans="1:7">
      <c r="A34" s="171" t="s">
        <v>72</v>
      </c>
      <c r="B34" s="33">
        <f>IF((($B$28-$B$32-$B$39-$B$77-$B$38)*C20/100)&lt;0,0,($B$28-$B$32-$B$39-$B$77-$B$38)*C20/100)</f>
        <v>61.780487804878049</v>
      </c>
      <c r="C34" s="167">
        <f>IF(ISERROR(B34/SUM($B$32,$B$34,$B$35,$B$36,$B$38,$B$39)*100),0,B34/SUM($B$32,$B$34,$B$35,$B$36,$B$38,$B$39)*100)</f>
        <v>2.216737990846001</v>
      </c>
      <c r="D34" s="233"/>
      <c r="G34" s="15"/>
    </row>
    <row r="35" spans="1:7">
      <c r="A35" s="171" t="s">
        <v>73</v>
      </c>
      <c r="B35" s="33">
        <f>IF((($B$28-$B$32-$B$39-$B$77-$B$38)*C21/100)&lt;0,0,($B$28-$B$32-$B$39-$B$77-$B$38)*C21/100)</f>
        <v>432.46341463414632</v>
      </c>
      <c r="C35" s="167">
        <f>IF(ISERROR(B35/SUM($B$32,$B$34,$B$35,$B$36,$B$38,$B$39)*100),0,B35/SUM($B$32,$B$34,$B$35,$B$36,$B$38,$B$39)*100)</f>
        <v>15.517165935922005</v>
      </c>
      <c r="D35" s="233"/>
      <c r="G35" s="15"/>
    </row>
    <row r="36" spans="1:7">
      <c r="A36" s="171" t="s">
        <v>74</v>
      </c>
      <c r="B36" s="33">
        <f>IF((($B$28-$B$32-$B$39-$B$77-$B$38)*C22/100)&lt;0,0,($B$28-$B$32-$B$39-$B$77-$B$38)*C22/100)</f>
        <v>101.75609756097562</v>
      </c>
      <c r="C36" s="167">
        <f>IF(ISERROR(B36/SUM($B$32,$B$34,$B$35,$B$36,$B$38,$B$39)*100),0,B36/SUM($B$32,$B$34,$B$35,$B$36,$B$38,$B$39)*100)</f>
        <v>3.6510978672757668</v>
      </c>
      <c r="D36" s="233"/>
      <c r="G36" s="15"/>
    </row>
    <row r="37" spans="1:7">
      <c r="A37" s="171" t="s">
        <v>75</v>
      </c>
      <c r="B37" s="34" t="s">
        <v>110</v>
      </c>
      <c r="C37" s="167"/>
      <c r="D37" s="173"/>
      <c r="G37" s="15"/>
    </row>
    <row r="38" spans="1:7">
      <c r="A38" s="171" t="s">
        <v>76</v>
      </c>
      <c r="B38" s="33">
        <f>IF((B24-(B29-B18)*0.1)&lt;0,0,B24-(B29-B18)*0.1)</f>
        <v>14.199999999999989</v>
      </c>
      <c r="C38" s="167">
        <f>IF(ISERROR(B38/SUM($B$32,$B$34,$B$35,$B$36,$B$38,$B$39)*100),0,B38/SUM($B$32,$B$34,$B$35,$B$36,$B$38,$B$39)*100)</f>
        <v>0.50950843200574059</v>
      </c>
      <c r="D38" s="234"/>
      <c r="G38" s="15"/>
    </row>
    <row r="39" spans="1:7">
      <c r="A39" s="171" t="s">
        <v>77</v>
      </c>
      <c r="B39" s="33">
        <f>IF((B25-(B29-B18))&lt;0,0,B25-(B29-B18)*0.9)</f>
        <v>270.79999999999995</v>
      </c>
      <c r="C39" s="167">
        <f>IF(ISERROR(B39/SUM($B$32,$B$34,$B$35,$B$36,$B$38,$B$39)*100),0,B39/SUM($B$32,$B$34,$B$35,$B$36,$B$38,$B$39)*100)</f>
        <v>9.7165410836024382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1906</v>
      </c>
      <c r="C44" s="34" t="s">
        <v>110</v>
      </c>
      <c r="D44" s="174"/>
    </row>
    <row r="45" spans="1:7">
      <c r="A45" s="171" t="s">
        <v>71</v>
      </c>
      <c r="B45" s="33" t="str">
        <f t="shared" si="0"/>
        <v>-</v>
      </c>
      <c r="C45" s="34" t="s">
        <v>110</v>
      </c>
      <c r="D45" s="174"/>
    </row>
    <row r="46" spans="1:7">
      <c r="A46" s="171" t="s">
        <v>72</v>
      </c>
      <c r="B46" s="33">
        <f t="shared" si="0"/>
        <v>61.780487804878049</v>
      </c>
      <c r="C46" s="34" t="s">
        <v>110</v>
      </c>
      <c r="D46" s="174"/>
    </row>
    <row r="47" spans="1:7">
      <c r="A47" s="171" t="s">
        <v>73</v>
      </c>
      <c r="B47" s="33">
        <f t="shared" si="0"/>
        <v>432.46341463414632</v>
      </c>
      <c r="C47" s="34" t="s">
        <v>110</v>
      </c>
      <c r="D47" s="174"/>
    </row>
    <row r="48" spans="1:7">
      <c r="A48" s="171" t="s">
        <v>74</v>
      </c>
      <c r="B48" s="33">
        <f t="shared" si="0"/>
        <v>101.75609756097562</v>
      </c>
      <c r="C48" s="33">
        <f>B48*10</f>
        <v>1017.5609756097562</v>
      </c>
      <c r="D48" s="234"/>
    </row>
    <row r="49" spans="1:6">
      <c r="A49" s="171" t="s">
        <v>75</v>
      </c>
      <c r="B49" s="33" t="str">
        <f t="shared" si="0"/>
        <v>-</v>
      </c>
      <c r="C49" s="34" t="s">
        <v>110</v>
      </c>
      <c r="D49" s="234"/>
    </row>
    <row r="50" spans="1:6">
      <c r="A50" s="171" t="s">
        <v>76</v>
      </c>
      <c r="B50" s="33">
        <f t="shared" si="0"/>
        <v>14.199999999999989</v>
      </c>
      <c r="C50" s="33">
        <f>B50*2</f>
        <v>28.399999999999977</v>
      </c>
      <c r="D50" s="234"/>
    </row>
    <row r="51" spans="1:6">
      <c r="A51" s="171" t="s">
        <v>77</v>
      </c>
      <c r="B51" s="33">
        <f t="shared" si="0"/>
        <v>270.79999999999995</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80</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27</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4480.3703468936674</v>
      </c>
      <c r="C5" s="17">
        <f>IF(ISERROR('Eigen informatie GS &amp; warmtenet'!B60),0,'Eigen informatie GS &amp; warmtenet'!B60)</f>
        <v>0</v>
      </c>
      <c r="D5" s="30">
        <f>SUM(D6:D12)</f>
        <v>7396.6677124928301</v>
      </c>
      <c r="E5" s="17">
        <f>SUM(E6:E12)</f>
        <v>11.811494091280117</v>
      </c>
      <c r="F5" s="17">
        <f>SUM(F6:F12)</f>
        <v>639.90167953723096</v>
      </c>
      <c r="G5" s="18"/>
      <c r="H5" s="17"/>
      <c r="I5" s="17"/>
      <c r="J5" s="17">
        <f>SUM(J6:J12)</f>
        <v>4.3685656767478639E-3</v>
      </c>
      <c r="K5" s="17"/>
      <c r="L5" s="17"/>
      <c r="M5" s="17"/>
      <c r="N5" s="17">
        <f>SUM(N6:N12)</f>
        <v>160.43925084876312</v>
      </c>
      <c r="O5" s="17">
        <f>B38*B39*B40</f>
        <v>0</v>
      </c>
      <c r="P5" s="17">
        <f>B46*B47*B48/1000-B46*B47*B48/1000/B49</f>
        <v>52.539138306495019</v>
      </c>
      <c r="R5" s="32"/>
    </row>
    <row r="6" spans="1:18">
      <c r="A6" s="32" t="s">
        <v>53</v>
      </c>
      <c r="B6" s="37">
        <f>B26</f>
        <v>1689.39662599435</v>
      </c>
      <c r="C6" s="33"/>
      <c r="D6" s="37">
        <f>IF(ISERROR(TER_kantoor_gas_kWh/1000),0,TER_kantoor_gas_kWh/1000)*0.903</f>
        <v>3599.955150396062</v>
      </c>
      <c r="E6" s="33">
        <f>$C$26*'E Balans VL '!I12/100/3.6*1000000</f>
        <v>0.40473927527404496</v>
      </c>
      <c r="F6" s="33">
        <f>$C$26*('E Balans VL '!L12+'E Balans VL '!N12)/100/3.6*1000000</f>
        <v>160.20349779369923</v>
      </c>
      <c r="G6" s="34"/>
      <c r="H6" s="33"/>
      <c r="I6" s="33"/>
      <c r="J6" s="33">
        <f>$C$26*('E Balans VL '!D12+'E Balans VL '!E12)/100/3.6*1000000</f>
        <v>0</v>
      </c>
      <c r="K6" s="33"/>
      <c r="L6" s="33"/>
      <c r="M6" s="33"/>
      <c r="N6" s="33">
        <f>$C$26*'E Balans VL '!Y12/100/3.6*1000000</f>
        <v>0.85812610416791824</v>
      </c>
      <c r="O6" s="33"/>
      <c r="P6" s="33"/>
      <c r="R6" s="32"/>
    </row>
    <row r="7" spans="1:18">
      <c r="A7" s="32" t="s">
        <v>52</v>
      </c>
      <c r="B7" s="37">
        <f t="shared" ref="B7:B12" si="0">B27</f>
        <v>624.50024603804093</v>
      </c>
      <c r="C7" s="33"/>
      <c r="D7" s="37">
        <f>IF(ISERROR(TER_horeca_gas_kWh/1000),0,TER_horeca_gas_kWh/1000)*0.903</f>
        <v>1018.3404320916361</v>
      </c>
      <c r="E7" s="33">
        <f>$C$27*'E Balans VL '!I9/100/3.6*1000000</f>
        <v>0</v>
      </c>
      <c r="F7" s="33">
        <f>$C$27*('E Balans VL '!L9+'E Balans VL '!N9)/100/3.6*1000000</f>
        <v>51.20755216907417</v>
      </c>
      <c r="G7" s="34"/>
      <c r="H7" s="33"/>
      <c r="I7" s="33"/>
      <c r="J7" s="33">
        <f>$C$27*('E Balans VL '!D9+'E Balans VL '!E9)/100/3.6*1000000</f>
        <v>0</v>
      </c>
      <c r="K7" s="33"/>
      <c r="L7" s="33"/>
      <c r="M7" s="33"/>
      <c r="N7" s="33">
        <f>$C$27*'E Balans VL '!Y9/100/3.6*1000000</f>
        <v>0.1914344159905608</v>
      </c>
      <c r="O7" s="33"/>
      <c r="P7" s="33"/>
      <c r="R7" s="32"/>
    </row>
    <row r="8" spans="1:18">
      <c r="A8" s="6" t="s">
        <v>51</v>
      </c>
      <c r="B8" s="37">
        <f t="shared" si="0"/>
        <v>1442.99287378588</v>
      </c>
      <c r="C8" s="33"/>
      <c r="D8" s="37">
        <f>IF(ISERROR(TER_handel_gas_kWh/1000),0,TER_handel_gas_kWh/1000)*0.903</f>
        <v>1473.3962242038663</v>
      </c>
      <c r="E8" s="33">
        <f>$C$28*'E Balans VL '!I13/100/3.6*1000000</f>
        <v>5.0713312791255403</v>
      </c>
      <c r="F8" s="33">
        <f>$C$28*('E Balans VL '!L13+'E Balans VL '!N13)/100/3.6*1000000</f>
        <v>132.03125657805015</v>
      </c>
      <c r="G8" s="34"/>
      <c r="H8" s="33"/>
      <c r="I8" s="33"/>
      <c r="J8" s="33">
        <f>$C$28*('E Balans VL '!D13+'E Balans VL '!E13)/100/3.6*1000000</f>
        <v>0</v>
      </c>
      <c r="K8" s="33"/>
      <c r="L8" s="33"/>
      <c r="M8" s="33"/>
      <c r="N8" s="33">
        <f>$C$28*'E Balans VL '!Y13/100/3.6*1000000</f>
        <v>0.52258989571709236</v>
      </c>
      <c r="O8" s="33"/>
      <c r="P8" s="33"/>
      <c r="R8" s="32"/>
    </row>
    <row r="9" spans="1:18">
      <c r="A9" s="32" t="s">
        <v>50</v>
      </c>
      <c r="B9" s="37">
        <f t="shared" si="0"/>
        <v>43.392631266594002</v>
      </c>
      <c r="C9" s="33"/>
      <c r="D9" s="37">
        <f>IF(ISERROR(TER_gezond_gas_kWh/1000),0,TER_gezond_gas_kWh/1000)*0.903</f>
        <v>279.0136155850538</v>
      </c>
      <c r="E9" s="33">
        <f>$C$29*'E Balans VL '!I10/100/3.6*1000000</f>
        <v>0</v>
      </c>
      <c r="F9" s="33">
        <f>$C$29*('E Balans VL '!L10+'E Balans VL '!N10)/100/3.6*1000000</f>
        <v>5.3191397766407542</v>
      </c>
      <c r="G9" s="34"/>
      <c r="H9" s="33"/>
      <c r="I9" s="33"/>
      <c r="J9" s="33">
        <f>$C$29*('E Balans VL '!D10+'E Balans VL '!E10)/100/3.6*1000000</f>
        <v>0</v>
      </c>
      <c r="K9" s="33"/>
      <c r="L9" s="33"/>
      <c r="M9" s="33"/>
      <c r="N9" s="33">
        <f>$C$29*'E Balans VL '!Y10/100/3.6*1000000</f>
        <v>0.31999041722621513</v>
      </c>
      <c r="O9" s="33"/>
      <c r="P9" s="33"/>
      <c r="R9" s="32"/>
    </row>
    <row r="10" spans="1:18">
      <c r="A10" s="32" t="s">
        <v>49</v>
      </c>
      <c r="B10" s="37">
        <f t="shared" si="0"/>
        <v>442.34966102744903</v>
      </c>
      <c r="C10" s="33"/>
      <c r="D10" s="37">
        <f>IF(ISERROR(TER_ander_gas_kWh/1000),0,TER_ander_gas_kWh/1000)*0.903</f>
        <v>671.80387772557276</v>
      </c>
      <c r="E10" s="33">
        <f>$C$30*'E Balans VL '!I14/100/3.6*1000000</f>
        <v>6.3354235368805316</v>
      </c>
      <c r="F10" s="33">
        <f>$C$30*('E Balans VL '!L14+'E Balans VL '!N14)/100/3.6*1000000</f>
        <v>263.34579383730994</v>
      </c>
      <c r="G10" s="34"/>
      <c r="H10" s="33"/>
      <c r="I10" s="33"/>
      <c r="J10" s="33">
        <f>$C$30*('E Balans VL '!D14+'E Balans VL '!E14)/100/3.6*1000000</f>
        <v>4.3685656767478639E-3</v>
      </c>
      <c r="K10" s="33"/>
      <c r="L10" s="33"/>
      <c r="M10" s="33"/>
      <c r="N10" s="33">
        <f>$C$30*'E Balans VL '!Y14/100/3.6*1000000</f>
        <v>157.87766623791242</v>
      </c>
      <c r="O10" s="33"/>
      <c r="P10" s="33"/>
      <c r="R10" s="32"/>
    </row>
    <row r="11" spans="1:18">
      <c r="A11" s="32" t="s">
        <v>54</v>
      </c>
      <c r="B11" s="37">
        <f t="shared" si="0"/>
        <v>237.738308781353</v>
      </c>
      <c r="C11" s="33"/>
      <c r="D11" s="37">
        <f>IF(ISERROR(TER_onderwijs_gas_kWh/1000),0,TER_onderwijs_gas_kWh/1000)*0.903</f>
        <v>354.15841249063942</v>
      </c>
      <c r="E11" s="33">
        <f>$C$31*'E Balans VL '!I11/100/3.6*1000000</f>
        <v>0</v>
      </c>
      <c r="F11" s="33">
        <f>$C$31*('E Balans VL '!L11+'E Balans VL '!N11)/100/3.6*1000000</f>
        <v>27.794439382456741</v>
      </c>
      <c r="G11" s="34"/>
      <c r="H11" s="33"/>
      <c r="I11" s="33"/>
      <c r="J11" s="33">
        <f>$C$31*('E Balans VL '!D11+'E Balans VL '!E11)/100/3.6*1000000</f>
        <v>0</v>
      </c>
      <c r="K11" s="33"/>
      <c r="L11" s="33"/>
      <c r="M11" s="33"/>
      <c r="N11" s="33">
        <f>$C$31*'E Balans VL '!Y11/100/3.6*1000000</f>
        <v>0.66944377774889618</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0</v>
      </c>
      <c r="C13" s="247">
        <f ca="1">'lokale energieproductie'!O38+'lokale energieproductie'!O31</f>
        <v>0</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4480.3703468936674</v>
      </c>
      <c r="C16" s="21">
        <f t="shared" ca="1" si="1"/>
        <v>0</v>
      </c>
      <c r="D16" s="21">
        <f t="shared" ca="1" si="1"/>
        <v>7396.6677124928301</v>
      </c>
      <c r="E16" s="21">
        <f t="shared" si="1"/>
        <v>11.811494091280117</v>
      </c>
      <c r="F16" s="21">
        <f t="shared" ca="1" si="1"/>
        <v>639.90167953723096</v>
      </c>
      <c r="G16" s="21">
        <f t="shared" si="1"/>
        <v>0</v>
      </c>
      <c r="H16" s="21">
        <f t="shared" si="1"/>
        <v>0</v>
      </c>
      <c r="I16" s="21">
        <f t="shared" si="1"/>
        <v>0</v>
      </c>
      <c r="J16" s="21">
        <f t="shared" si="1"/>
        <v>4.3685656767478639E-3</v>
      </c>
      <c r="K16" s="21">
        <f t="shared" si="1"/>
        <v>0</v>
      </c>
      <c r="L16" s="21">
        <f t="shared" ca="1" si="1"/>
        <v>0</v>
      </c>
      <c r="M16" s="21">
        <f t="shared" si="1"/>
        <v>0</v>
      </c>
      <c r="N16" s="21">
        <f t="shared" ca="1" si="1"/>
        <v>160.43925084876312</v>
      </c>
      <c r="O16" s="21">
        <f>O5</f>
        <v>0</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0.19950946142011414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893.87627487140549</v>
      </c>
      <c r="C20" s="23">
        <f t="shared" ref="C20:P20" ca="1" si="2">C16*C18</f>
        <v>0</v>
      </c>
      <c r="D20" s="23">
        <f t="shared" ca="1" si="2"/>
        <v>1494.1268779235518</v>
      </c>
      <c r="E20" s="23">
        <f t="shared" si="2"/>
        <v>2.6812091587205868</v>
      </c>
      <c r="F20" s="23">
        <f t="shared" ca="1" si="2"/>
        <v>170.85374843644067</v>
      </c>
      <c r="G20" s="23">
        <f t="shared" si="2"/>
        <v>0</v>
      </c>
      <c r="H20" s="23">
        <f t="shared" si="2"/>
        <v>0</v>
      </c>
      <c r="I20" s="23">
        <f t="shared" si="2"/>
        <v>0</v>
      </c>
      <c r="J20" s="23">
        <f t="shared" si="2"/>
        <v>1.5464722495687438E-3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1689.39662599435</v>
      </c>
      <c r="C26" s="39">
        <f>IF(ISERROR(B26*3.6/1000000/'E Balans VL '!Z12*100),0,B26*3.6/1000000/'E Balans VL '!Z12*100)</f>
        <v>4.7645458601812997E-2</v>
      </c>
      <c r="D26" s="237" t="s">
        <v>702</v>
      </c>
      <c r="F26" s="6"/>
    </row>
    <row r="27" spans="1:18">
      <c r="A27" s="231" t="s">
        <v>52</v>
      </c>
      <c r="B27" s="33">
        <f>IF(ISERROR(TER_horeca_ele_kWh/1000),0,TER_horeca_ele_kWh/1000)</f>
        <v>624.50024603804093</v>
      </c>
      <c r="C27" s="39">
        <f>IF(ISERROR(B27*3.6/1000000/'E Balans VL '!Z9*100),0,B27*3.6/1000000/'E Balans VL '!Z9*100)</f>
        <v>4.6299021459767907E-2</v>
      </c>
      <c r="D27" s="237" t="s">
        <v>702</v>
      </c>
      <c r="F27" s="6"/>
    </row>
    <row r="28" spans="1:18">
      <c r="A28" s="171" t="s">
        <v>51</v>
      </c>
      <c r="B28" s="33">
        <f>IF(ISERROR(TER_handel_ele_kWh/1000),0,TER_handel_ele_kWh/1000)</f>
        <v>1442.99287378588</v>
      </c>
      <c r="C28" s="39">
        <f>IF(ISERROR(B28*3.6/1000000/'E Balans VL '!Z13*100),0,B28*3.6/1000000/'E Balans VL '!Z13*100)</f>
        <v>4.322863565497425E-2</v>
      </c>
      <c r="D28" s="237" t="s">
        <v>702</v>
      </c>
      <c r="F28" s="6"/>
    </row>
    <row r="29" spans="1:18">
      <c r="A29" s="231" t="s">
        <v>50</v>
      </c>
      <c r="B29" s="33">
        <f>IF(ISERROR(TER_gezond_ele_kWh/1000),0,TER_gezond_ele_kWh/1000)</f>
        <v>43.392631266594002</v>
      </c>
      <c r="C29" s="39">
        <f>IF(ISERROR(B29*3.6/1000000/'E Balans VL '!Z10*100),0,B29*3.6/1000000/'E Balans VL '!Z10*100)</f>
        <v>4.2906803873007104E-3</v>
      </c>
      <c r="D29" s="237" t="s">
        <v>702</v>
      </c>
      <c r="F29" s="6"/>
    </row>
    <row r="30" spans="1:18">
      <c r="A30" s="231" t="s">
        <v>49</v>
      </c>
      <c r="B30" s="33">
        <f>IF(ISERROR(TER_ander_ele_kWh/1000),0,TER_ander_ele_kWh/1000)</f>
        <v>442.34966102744903</v>
      </c>
      <c r="C30" s="39">
        <f>IF(ISERROR(B30*3.6/1000000/'E Balans VL '!Z14*100),0,B30*3.6/1000000/'E Balans VL '!Z14*100)</f>
        <v>1.7891736560059508E-2</v>
      </c>
      <c r="D30" s="237" t="s">
        <v>702</v>
      </c>
      <c r="F30" s="6"/>
    </row>
    <row r="31" spans="1:18">
      <c r="A31" s="231" t="s">
        <v>54</v>
      </c>
      <c r="B31" s="33">
        <f>IF(ISERROR(TER_onderwijs_ele_kWh/1000),0,TER_onderwijs_ele_kWh/1000)</f>
        <v>237.738308781353</v>
      </c>
      <c r="C31" s="39">
        <f>IF(ISERROR(B31*3.6/1000000/'E Balans VL '!Z11*100),0,B31*3.6/1000000/'E Balans VL '!Z11*100)</f>
        <v>6.5317110820644619E-2</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0</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1</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12728.561067470408</v>
      </c>
      <c r="C5" s="17">
        <f>IF(ISERROR('Eigen informatie GS &amp; warmtenet'!B61),0,'Eigen informatie GS &amp; warmtenet'!B61)</f>
        <v>0</v>
      </c>
      <c r="D5" s="30">
        <f>SUM(D6:D15)</f>
        <v>25874.358092409158</v>
      </c>
      <c r="E5" s="17">
        <f>SUM(E6:E15)</f>
        <v>26.457131535440986</v>
      </c>
      <c r="F5" s="17">
        <f>SUM(F6:F15)</f>
        <v>2148.3941535753097</v>
      </c>
      <c r="G5" s="18"/>
      <c r="H5" s="17"/>
      <c r="I5" s="17"/>
      <c r="J5" s="17">
        <f>SUM(J6:J15)</f>
        <v>0.14940776991331323</v>
      </c>
      <c r="K5" s="17"/>
      <c r="L5" s="17"/>
      <c r="M5" s="17"/>
      <c r="N5" s="17">
        <f>SUM(N6:N15)</f>
        <v>433.46747840736049</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90.584860823464794</v>
      </c>
      <c r="C8" s="33"/>
      <c r="D8" s="37">
        <f>IF( ISERROR(IND_metaal_Gas_kWH/1000),0,IND_metaal_Gas_kWH/1000)*0.903</f>
        <v>59.231470116667914</v>
      </c>
      <c r="E8" s="33">
        <f>C30*'E Balans VL '!I18/100/3.6*1000000</f>
        <v>0.45674467345735442</v>
      </c>
      <c r="F8" s="33">
        <f>C30*'E Balans VL '!L18/100/3.6*1000000+C30*'E Balans VL '!N18/100/3.6*1000000</f>
        <v>6.1889427971860167</v>
      </c>
      <c r="G8" s="34"/>
      <c r="H8" s="33"/>
      <c r="I8" s="33"/>
      <c r="J8" s="40">
        <f>C30*'E Balans VL '!D18/100/3.6*1000000+C30*'E Balans VL '!E18/100/3.6*1000000</f>
        <v>8.0311206108172536E-2</v>
      </c>
      <c r="K8" s="33"/>
      <c r="L8" s="33"/>
      <c r="M8" s="33"/>
      <c r="N8" s="33">
        <f>C30*'E Balans VL '!Y18/100/3.6*1000000</f>
        <v>1.2038733379221758</v>
      </c>
      <c r="O8" s="33"/>
      <c r="P8" s="33"/>
      <c r="R8" s="32"/>
    </row>
    <row r="9" spans="1:18">
      <c r="A9" s="6" t="s">
        <v>32</v>
      </c>
      <c r="B9" s="37">
        <f t="shared" si="0"/>
        <v>3246.5807138669502</v>
      </c>
      <c r="C9" s="33"/>
      <c r="D9" s="37">
        <f>IF( ISERROR(IND_andere_gas_kWh/1000),0,IND_andere_gas_kWh/1000)*0.903</f>
        <v>696.6816339477889</v>
      </c>
      <c r="E9" s="33">
        <f>C31*'E Balans VL '!I19/100/3.6*1000000</f>
        <v>10.233989717726184</v>
      </c>
      <c r="F9" s="33">
        <f>C31*'E Balans VL '!L19/100/3.6*1000000+C31*'E Balans VL '!N19/100/3.6*1000000</f>
        <v>1987.4201660280476</v>
      </c>
      <c r="G9" s="34"/>
      <c r="H9" s="33"/>
      <c r="I9" s="33"/>
      <c r="J9" s="40">
        <f>C31*'E Balans VL '!D19/100/3.6*1000000+C31*'E Balans VL '!E19/100/3.6*1000000</f>
        <v>0</v>
      </c>
      <c r="K9" s="33"/>
      <c r="L9" s="33"/>
      <c r="M9" s="33"/>
      <c r="N9" s="33">
        <f>C31*'E Balans VL '!Y19/100/3.6*1000000</f>
        <v>136.13353760746958</v>
      </c>
      <c r="O9" s="33"/>
      <c r="P9" s="33"/>
      <c r="R9" s="32"/>
    </row>
    <row r="10" spans="1:18">
      <c r="A10" s="6" t="s">
        <v>40</v>
      </c>
      <c r="B10" s="37">
        <f t="shared" si="0"/>
        <v>9357.5504996297805</v>
      </c>
      <c r="C10" s="33"/>
      <c r="D10" s="37">
        <f>IF( ISERROR(IND_voed_gas_kWh/1000),0,IND_voed_gas_kWh/1000)*0.903</f>
        <v>25094.224025554417</v>
      </c>
      <c r="E10" s="33">
        <f>C32*'E Balans VL '!I20/100/3.6*1000000</f>
        <v>14.913307491929842</v>
      </c>
      <c r="F10" s="33">
        <f>C32*'E Balans VL '!L20/100/3.6*1000000+C32*'E Balans VL '!N20/100/3.6*1000000</f>
        <v>152.03746355204689</v>
      </c>
      <c r="G10" s="34"/>
      <c r="H10" s="33"/>
      <c r="I10" s="33"/>
      <c r="J10" s="40">
        <f>C32*'E Balans VL '!D20/100/3.6*1000000+C32*'E Balans VL '!E20/100/3.6*1000000</f>
        <v>0</v>
      </c>
      <c r="K10" s="33"/>
      <c r="L10" s="33"/>
      <c r="M10" s="33"/>
      <c r="N10" s="33">
        <f>C32*'E Balans VL '!Y20/100/3.6*1000000</f>
        <v>295.55817986577671</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33.844993150213099</v>
      </c>
      <c r="C15" s="33"/>
      <c r="D15" s="37">
        <f>IF( ISERROR(IND_rest_gas_kWh/1000),0,IND_rest_gas_kWh/1000)*0.903</f>
        <v>24.220962790283114</v>
      </c>
      <c r="E15" s="33">
        <f>C37*'E Balans VL '!I15/100/3.6*1000000</f>
        <v>0.85308965232760237</v>
      </c>
      <c r="F15" s="33">
        <f>C37*'E Balans VL '!L15/100/3.6*1000000+C37*'E Balans VL '!N15/100/3.6*1000000</f>
        <v>2.7475811980292728</v>
      </c>
      <c r="G15" s="34"/>
      <c r="H15" s="33"/>
      <c r="I15" s="33"/>
      <c r="J15" s="40">
        <f>C37*'E Balans VL '!D15/100/3.6*1000000+C37*'E Balans VL '!E15/100/3.6*1000000</f>
        <v>6.909656380514069E-2</v>
      </c>
      <c r="K15" s="33"/>
      <c r="L15" s="33"/>
      <c r="M15" s="33"/>
      <c r="N15" s="33">
        <f>C37*'E Balans VL '!Y15/100/3.6*1000000</f>
        <v>0.57188759619202068</v>
      </c>
      <c r="O15" s="33"/>
      <c r="P15" s="33"/>
      <c r="R15" s="32"/>
    </row>
    <row r="16" spans="1:18">
      <c r="A16" s="16" t="s">
        <v>479</v>
      </c>
      <c r="B16" s="247">
        <f>'lokale energieproductie'!N37+'lokale energieproductie'!N30</f>
        <v>742.5</v>
      </c>
      <c r="C16" s="247">
        <f>'lokale energieproductie'!O37+'lokale energieproductie'!O30</f>
        <v>1060.7142857142858</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-2121.4285714285716</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13471.061067470408</v>
      </c>
      <c r="C18" s="21">
        <f>C5+C16</f>
        <v>1060.7142857142858</v>
      </c>
      <c r="D18" s="21">
        <f>MAX((D5+D16),0)</f>
        <v>25874.358092409158</v>
      </c>
      <c r="E18" s="21">
        <f>MAX((E5+E16),0)</f>
        <v>26.457131535440986</v>
      </c>
      <c r="F18" s="21">
        <f>MAX((F5+F16),0)</f>
        <v>2148.3941535753097</v>
      </c>
      <c r="G18" s="21"/>
      <c r="H18" s="21"/>
      <c r="I18" s="21"/>
      <c r="J18" s="21">
        <f>MAX((J5+J16),0)</f>
        <v>0.14940776991331323</v>
      </c>
      <c r="K18" s="21"/>
      <c r="L18" s="21">
        <f>MAX((L5+L16),0)</f>
        <v>0</v>
      </c>
      <c r="M18" s="21"/>
      <c r="N18" s="21">
        <f>MAX((N5+N16),0)</f>
        <v>0</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0.19950946142011414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2687.6041383284887</v>
      </c>
      <c r="C22" s="23">
        <f ca="1">C18*C20</f>
        <v>0</v>
      </c>
      <c r="D22" s="23">
        <f>D18*D20</f>
        <v>5226.6203346666507</v>
      </c>
      <c r="E22" s="23">
        <f>E18*E20</f>
        <v>6.0057688585451041</v>
      </c>
      <c r="F22" s="23">
        <f>F18*F20</f>
        <v>573.62123900460767</v>
      </c>
      <c r="G22" s="23"/>
      <c r="H22" s="23"/>
      <c r="I22" s="23"/>
      <c r="J22" s="23">
        <f>J18*J20</f>
        <v>5.2890350549312883E-2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90.584860823464794</v>
      </c>
      <c r="C30" s="39">
        <f>IF(ISERROR(B30*3.6/1000000/'E Balans VL '!Z18*100),0,B30*3.6/1000000/'E Balans VL '!Z18*100)</f>
        <v>4.4964283357608135E-3</v>
      </c>
      <c r="D30" s="237" t="s">
        <v>702</v>
      </c>
    </row>
    <row r="31" spans="1:18">
      <c r="A31" s="6" t="s">
        <v>32</v>
      </c>
      <c r="B31" s="37">
        <f>IF( ISERROR(IND_ander_ele_kWh/1000),0,IND_ander_ele_kWh/1000)</f>
        <v>3246.5807138669502</v>
      </c>
      <c r="C31" s="39">
        <f>IF(ISERROR(B31*3.6/1000000/'E Balans VL '!Z19*100),0,B31*3.6/1000000/'E Balans VL '!Z19*100)</f>
        <v>0.10955546258404737</v>
      </c>
      <c r="D31" s="237" t="s">
        <v>702</v>
      </c>
    </row>
    <row r="32" spans="1:18">
      <c r="A32" s="171" t="s">
        <v>40</v>
      </c>
      <c r="B32" s="37">
        <f>IF( ISERROR(IND_voed_ele_kWh/1000),0,IND_voed_ele_kWh/1000)</f>
        <v>9357.5504996297805</v>
      </c>
      <c r="C32" s="39">
        <f>IF(ISERROR(B32*3.6/1000000/'E Balans VL '!Z20*100),0,B32*3.6/1000000/'E Balans VL '!Z20*100)</f>
        <v>0.21975564559789415</v>
      </c>
      <c r="D32" s="237" t="s">
        <v>702</v>
      </c>
    </row>
    <row r="33" spans="1:5">
      <c r="A33" s="171" t="s">
        <v>39</v>
      </c>
      <c r="B33" s="37">
        <f>IF( ISERROR(IND_textiel_ele_kWh/1000),0,IND_textiel_ele_kWh/1000)</f>
        <v>0</v>
      </c>
      <c r="C33" s="39">
        <f>IF(ISERROR(B33*3.6/1000000/'E Balans VL '!Z21*100),0,B33*3.6/1000000/'E Balans VL '!Z21*100)</f>
        <v>0</v>
      </c>
      <c r="D33" s="237" t="s">
        <v>702</v>
      </c>
    </row>
    <row r="34" spans="1:5">
      <c r="A34" s="171" t="s">
        <v>36</v>
      </c>
      <c r="B34" s="37">
        <f>IF( ISERROR(IND_min_ele_kWh/1000),0,IND_min_ele_kWh/1000)</f>
        <v>0</v>
      </c>
      <c r="C34" s="39">
        <f>IF(ISERROR(B34*3.6/1000000/'E Balans VL '!Z22*100),0,B34*3.6/1000000/'E Balans VL '!Z22*100)</f>
        <v>0</v>
      </c>
      <c r="D34" s="237" t="s">
        <v>702</v>
      </c>
    </row>
    <row r="35" spans="1:5">
      <c r="A35" s="171" t="s">
        <v>38</v>
      </c>
      <c r="B35" s="37">
        <f>IF( ISERROR(IND_papier_ele_kWh/1000),0,IND_papier_ele_kWh/1000)</f>
        <v>0</v>
      </c>
      <c r="C35" s="39">
        <f>IF(ISERROR(B35*3.6/1000000/'E Balans VL '!Z22*100),0,B35*3.6/1000000/'E Balans VL '!Z22*100)</f>
        <v>0</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33.844993150213099</v>
      </c>
      <c r="C37" s="39">
        <f>IF(ISERROR(B37*3.6/1000000/'E Balans VL '!Z15*100),0,B37*3.6/1000000/'E Balans VL '!Z15*100)</f>
        <v>1.2683510019524164E-4</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629.72967363165901</v>
      </c>
      <c r="C5" s="17">
        <f>'Eigen informatie GS &amp; warmtenet'!B62</f>
        <v>0</v>
      </c>
      <c r="D5" s="30">
        <f>IF(ISERROR(SUM(LB_lb_gas_kWh,LB_rest_gas_kWh)/1000),0,SUM(LB_lb_gas_kWh,LB_rest_gas_kWh)/1000)*0.903</f>
        <v>193.40264826179978</v>
      </c>
      <c r="E5" s="17">
        <f>B17*'E Balans VL '!I25/3.6*1000000/100</f>
        <v>23.484545735388821</v>
      </c>
      <c r="F5" s="17">
        <f>B17*('E Balans VL '!L25/3.6*1000000+'E Balans VL '!N25/3.6*1000000)/100</f>
        <v>2043.0863983854872</v>
      </c>
      <c r="G5" s="18"/>
      <c r="H5" s="17"/>
      <c r="I5" s="17"/>
      <c r="J5" s="17">
        <f>('E Balans VL '!D25+'E Balans VL '!E25)/3.6*1000000*landbouw!B17/100</f>
        <v>165.30714824522846</v>
      </c>
      <c r="K5" s="17"/>
      <c r="L5" s="17">
        <f>L6*(-1)</f>
        <v>0</v>
      </c>
      <c r="M5" s="17"/>
      <c r="N5" s="17">
        <f>N6*(-1)</f>
        <v>0</v>
      </c>
      <c r="O5" s="17"/>
      <c r="P5" s="17"/>
      <c r="R5" s="32"/>
    </row>
    <row r="6" spans="1:18">
      <c r="A6" s="16" t="s">
        <v>479</v>
      </c>
      <c r="B6" s="17" t="s">
        <v>210</v>
      </c>
      <c r="C6" s="17">
        <f>'lokale energieproductie'!O39+'lokale energieproductie'!O32</f>
        <v>0</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629.72967363165901</v>
      </c>
      <c r="C8" s="21">
        <f>C5+C6</f>
        <v>0</v>
      </c>
      <c r="D8" s="21">
        <f>MAX((D5+D6),0)</f>
        <v>193.40264826179978</v>
      </c>
      <c r="E8" s="21">
        <f>MAX((E5+E6),0)</f>
        <v>23.484545735388821</v>
      </c>
      <c r="F8" s="21">
        <f>MAX((F5+F6),0)</f>
        <v>2043.0863983854872</v>
      </c>
      <c r="G8" s="21"/>
      <c r="H8" s="21"/>
      <c r="I8" s="21"/>
      <c r="J8" s="21">
        <f>MAX((J5+J6),0)</f>
        <v>165.30714824522846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0.19950946142011414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125.63702802651655</v>
      </c>
      <c r="C12" s="23">
        <f ca="1">C8*C10</f>
        <v>0</v>
      </c>
      <c r="D12" s="23">
        <f>D8*D10</f>
        <v>39.067334948883556</v>
      </c>
      <c r="E12" s="23">
        <f>E8*E10</f>
        <v>5.3309918819332625</v>
      </c>
      <c r="F12" s="23">
        <f>F8*F10</f>
        <v>545.50406836892512</v>
      </c>
      <c r="G12" s="23"/>
      <c r="H12" s="23"/>
      <c r="I12" s="23"/>
      <c r="J12" s="23">
        <f>J8*J10</f>
        <v>58.518730478810873</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8.64917273821669E-2</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98.53321938829616</v>
      </c>
      <c r="C26" s="247">
        <f>B26*'GWP N2O_CH4'!B5</f>
        <v>2069.1976071542194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35.273778123054861</v>
      </c>
      <c r="C27" s="247">
        <f>B27*'GWP N2O_CH4'!B5</f>
        <v>740.74934058415204</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1.4774570274764713</v>
      </c>
      <c r="C28" s="247">
        <f>B28*'GWP N2O_CH4'!B4</f>
        <v>458.01167851770612</v>
      </c>
      <c r="D28" s="50"/>
    </row>
    <row r="29" spans="1:4">
      <c r="A29" s="41" t="s">
        <v>276</v>
      </c>
      <c r="B29" s="247">
        <f>B34*'ha_N2O bodem landbouw'!B4</f>
        <v>16.733628931358641</v>
      </c>
      <c r="C29" s="247">
        <f>B29*'GWP N2O_CH4'!B4</f>
        <v>5187.4249687211786</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3.8136418215528683E-3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3.2576543773003218E-4</v>
      </c>
      <c r="C5" s="440" t="s">
        <v>210</v>
      </c>
      <c r="D5" s="425">
        <f>SUM(D6:D11)</f>
        <v>1.2444569684276572E-3</v>
      </c>
      <c r="E5" s="425">
        <f>SUM(E6:E11)</f>
        <v>8.0425316463443976E-4</v>
      </c>
      <c r="F5" s="438" t="s">
        <v>210</v>
      </c>
      <c r="G5" s="425">
        <f>SUM(G6:G11)</f>
        <v>0.3650136588422831</v>
      </c>
      <c r="H5" s="425">
        <f>SUM(H6:H11)</f>
        <v>8.2242338979865298E-2</v>
      </c>
      <c r="I5" s="440" t="s">
        <v>210</v>
      </c>
      <c r="J5" s="440" t="s">
        <v>210</v>
      </c>
      <c r="K5" s="440" t="s">
        <v>210</v>
      </c>
      <c r="L5" s="440" t="s">
        <v>210</v>
      </c>
      <c r="M5" s="425">
        <f>SUM(M6:M11)</f>
        <v>2.6267955442779392E-2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2.7944035612239149E-5</v>
      </c>
      <c r="C6" s="426"/>
      <c r="D6" s="893">
        <f>vkm_GW_PW*SUMIFS(TableVerdeelsleutelVkm[CNG],TableVerdeelsleutelVkm[Voertuigtype],"Lichte voertuigen")*SUMIFS(TableECFTransport[EnergieConsumptieFactor (PJ per km)],TableECFTransport[Index],CONCATENATE($A6,"_CNG_CNG"))</f>
        <v>1.0092532895357987E-4</v>
      </c>
      <c r="E6" s="893">
        <f>vkm_GW_PW*SUMIFS(TableVerdeelsleutelVkm[LPG],TableVerdeelsleutelVkm[Voertuigtype],"Lichte voertuigen")*SUMIFS(TableECFTransport[EnergieConsumptieFactor (PJ per km)],TableECFTransport[Index],CONCATENATE($A6,"_LPG_LPG"))</f>
        <v>5.4850325666482841E-5</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1.7069083395777208E-2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6.4599627079749214E-3</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1.4100919555482014E-3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1.1744241308608405E-2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1.2363800598971864E-7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6.6121918113714651E-4</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2.542659199569405E-5</v>
      </c>
      <c r="C8" s="426"/>
      <c r="D8" s="428">
        <f>vkm_NGW_PW*SUMIFS(TableVerdeelsleutelVkm[CNG],TableVerdeelsleutelVkm[Voertuigtype],"Lichte voertuigen")*SUMIFS(TableECFTransport[EnergieConsumptieFactor (PJ per km)],TableECFTransport[Index],CONCATENATE($A8,"_CNG_CNG"))</f>
        <v>1.5566307558572017E-4</v>
      </c>
      <c r="E8" s="428">
        <f>vkm_NGW_PW*SUMIFS(TableVerdeelsleutelVkm[LPG],TableVerdeelsleutelVkm[Voertuigtype],"Lichte voertuigen")*SUMIFS(TableECFTransport[EnergieConsumptieFactor (PJ per km)],TableECFTransport[Index],CONCATENATE($A8,"_LPG_LPG"))</f>
        <v>8.0391545832751471E-5</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2.3281411514591996E-2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9.8118913693265464E-3</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1.9928729912831377E-3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1.4035799506496528E-3</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2.1461846926369687E-8</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7.9024214477740941E-5</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2.7239481012209898E-4</v>
      </c>
      <c r="C10" s="426"/>
      <c r="D10" s="428">
        <f>vkm_SW_PW*SUMIFS(TableVerdeelsleutelVkm[CNG],TableVerdeelsleutelVkm[Voertuigtype],"Lichte voertuigen")*SUMIFS(TableECFTransport[EnergieConsumptieFactor (PJ per km)],TableECFTransport[Index],CONCATENATE($A10,"_CNG_CNG"))</f>
        <v>9.8786856388835727E-4</v>
      </c>
      <c r="E10" s="428">
        <f>vkm_SW_PW*SUMIFS(TableVerdeelsleutelVkm[LPG],TableVerdeelsleutelVkm[Voertuigtype],"Lichte voertuigen")*SUMIFS(TableECFTransport[EnergieConsumptieFactor (PJ per km)],TableECFTransport[Index],CONCATENATE($A10,"_LPG_LPG"))</f>
        <v>6.6901129313520552E-4</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0.18500898712235112</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6.5968929401869991E-2</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1.5002235666867231E-2</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0.12650635555030473</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1.4104008409214265E-6</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7.1225114334659365E-3</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90.490399369453385</v>
      </c>
      <c r="C14" s="21"/>
      <c r="D14" s="21">
        <f t="shared" ref="D14:M14" si="0">((D5)*10^9/3600)+D12</f>
        <v>345.68249122990477</v>
      </c>
      <c r="E14" s="21">
        <f t="shared" si="0"/>
        <v>223.40365684289992</v>
      </c>
      <c r="F14" s="21"/>
      <c r="G14" s="21">
        <f t="shared" si="0"/>
        <v>101392.68301174529</v>
      </c>
      <c r="H14" s="21">
        <f t="shared" si="0"/>
        <v>22845.094161073695</v>
      </c>
      <c r="I14" s="21"/>
      <c r="J14" s="21"/>
      <c r="K14" s="21"/>
      <c r="L14" s="21"/>
      <c r="M14" s="21">
        <f t="shared" si="0"/>
        <v>7296.6542896609426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0.19950946142011414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18.053690841890681</v>
      </c>
      <c r="C18" s="23"/>
      <c r="D18" s="23">
        <f t="shared" ref="D18:M18" si="1">D14*D16</f>
        <v>69.827863228440762</v>
      </c>
      <c r="E18" s="23">
        <f t="shared" si="1"/>
        <v>50.712630103338284</v>
      </c>
      <c r="F18" s="23"/>
      <c r="G18" s="23">
        <f t="shared" si="1"/>
        <v>27071.846364135996</v>
      </c>
      <c r="H18" s="23">
        <f t="shared" si="1"/>
        <v>5688.4284461073503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1.3696808164926047E-3</v>
      </c>
      <c r="H50" s="321">
        <f t="shared" si="2"/>
        <v>0</v>
      </c>
      <c r="I50" s="321">
        <f t="shared" si="2"/>
        <v>0</v>
      </c>
      <c r="J50" s="321">
        <f t="shared" si="2"/>
        <v>0</v>
      </c>
      <c r="K50" s="321">
        <f t="shared" si="2"/>
        <v>0</v>
      </c>
      <c r="L50" s="321">
        <f t="shared" si="2"/>
        <v>0</v>
      </c>
      <c r="M50" s="321">
        <f t="shared" si="2"/>
        <v>7.4326682240991016E-5</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1.3696808164926047E-3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7.4326682240991016E-5</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380.46689347016797</v>
      </c>
      <c r="H54" s="21">
        <f t="shared" si="3"/>
        <v>0</v>
      </c>
      <c r="I54" s="21">
        <f t="shared" si="3"/>
        <v>0</v>
      </c>
      <c r="J54" s="21">
        <f t="shared" si="3"/>
        <v>0</v>
      </c>
      <c r="K54" s="21">
        <f t="shared" si="3"/>
        <v>0</v>
      </c>
      <c r="L54" s="21">
        <f t="shared" si="3"/>
        <v>0</v>
      </c>
      <c r="M54" s="21">
        <f t="shared" si="3"/>
        <v>20.646300622497503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0.19950946142011414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101.58466055653486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28" sqref="M28"/>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57.9835012818873</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2188.6609908034739</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742.5</v>
      </c>
      <c r="C8" s="551">
        <f>B48</f>
        <v>0</v>
      </c>
      <c r="D8" s="552"/>
      <c r="E8" s="552">
        <f>E48</f>
        <v>0</v>
      </c>
      <c r="F8" s="553"/>
      <c r="G8" s="554"/>
      <c r="H8" s="552">
        <f>I48</f>
        <v>0</v>
      </c>
      <c r="I8" s="552">
        <f>G48+F48</f>
        <v>0</v>
      </c>
      <c r="J8" s="552">
        <f>H48+D48+C48</f>
        <v>873.52941176470586</v>
      </c>
      <c r="K8" s="552"/>
      <c r="L8" s="552"/>
      <c r="M8" s="552"/>
      <c r="N8" s="555"/>
      <c r="O8" s="556">
        <f>C8*$C$12+D8*$D$12+E8*$E$12+F8*$F$12+G8*$G$12+H8*$H$12+I8*$I$12+J8*$J$12</f>
        <v>0</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2989.144492085361</v>
      </c>
      <c r="C10" s="566">
        <f t="shared" ref="C10:L10" si="0">SUM(C8:C9)</f>
        <v>0</v>
      </c>
      <c r="D10" s="566">
        <f t="shared" si="0"/>
        <v>0</v>
      </c>
      <c r="E10" s="566">
        <f t="shared" si="0"/>
        <v>0</v>
      </c>
      <c r="F10" s="566">
        <f t="shared" si="0"/>
        <v>0</v>
      </c>
      <c r="G10" s="566">
        <f t="shared" si="0"/>
        <v>0</v>
      </c>
      <c r="H10" s="566">
        <f t="shared" si="0"/>
        <v>0</v>
      </c>
      <c r="I10" s="566">
        <f t="shared" si="0"/>
        <v>0</v>
      </c>
      <c r="J10" s="566">
        <f t="shared" si="0"/>
        <v>873.52941176470586</v>
      </c>
      <c r="K10" s="566">
        <f t="shared" si="0"/>
        <v>0</v>
      </c>
      <c r="L10" s="566">
        <f t="shared" si="0"/>
        <v>0</v>
      </c>
      <c r="M10" s="969"/>
      <c r="N10" s="969"/>
      <c r="O10" s="567">
        <f>SUM(O4:O9)</f>
        <v>0</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1060.7142857142858</v>
      </c>
      <c r="C17" s="582">
        <f>B49</f>
        <v>0</v>
      </c>
      <c r="D17" s="583"/>
      <c r="E17" s="583">
        <f>E49</f>
        <v>0</v>
      </c>
      <c r="F17" s="584"/>
      <c r="G17" s="585"/>
      <c r="H17" s="582">
        <f>I49</f>
        <v>0</v>
      </c>
      <c r="I17" s="583">
        <f>G49+F49</f>
        <v>0</v>
      </c>
      <c r="J17" s="583">
        <f>H49+D49+C49</f>
        <v>1247.8991596638657</v>
      </c>
      <c r="K17" s="583"/>
      <c r="L17" s="583"/>
      <c r="M17" s="583"/>
      <c r="N17" s="970"/>
      <c r="O17" s="586">
        <f>C17*$C$22+E17*$E$22+H17*$H$22+I17*$I$22+J17*$J$22+D17*$D$22+F17*$F$22+G17*$G$22+K17*$K$22+L17*$L$22</f>
        <v>0</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1060.7142857142858</v>
      </c>
      <c r="C20" s="565">
        <f>SUM(C17:C19)</f>
        <v>0</v>
      </c>
      <c r="D20" s="565">
        <f t="shared" ref="D20:L20" si="1">SUM(D17:D19)</f>
        <v>0</v>
      </c>
      <c r="E20" s="565">
        <f t="shared" si="1"/>
        <v>0</v>
      </c>
      <c r="F20" s="565">
        <f t="shared" si="1"/>
        <v>0</v>
      </c>
      <c r="G20" s="565">
        <f t="shared" si="1"/>
        <v>0</v>
      </c>
      <c r="H20" s="565">
        <f t="shared" si="1"/>
        <v>0</v>
      </c>
      <c r="I20" s="565">
        <f t="shared" si="1"/>
        <v>0</v>
      </c>
      <c r="J20" s="565">
        <f t="shared" si="1"/>
        <v>1247.8991596638657</v>
      </c>
      <c r="K20" s="565">
        <f t="shared" si="1"/>
        <v>0</v>
      </c>
      <c r="L20" s="565">
        <f t="shared" si="1"/>
        <v>0</v>
      </c>
      <c r="M20" s="565"/>
      <c r="N20" s="565"/>
      <c r="O20" s="591">
        <f>SUM(O17:O19)</f>
        <v>0</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25.5">
      <c r="A28" s="595"/>
      <c r="B28" s="794">
        <v>24041</v>
      </c>
      <c r="C28" s="794">
        <v>3320</v>
      </c>
      <c r="D28" s="643" t="s">
        <v>865</v>
      </c>
      <c r="E28" s="642" t="s">
        <v>866</v>
      </c>
      <c r="F28" s="642" t="s">
        <v>867</v>
      </c>
      <c r="G28" s="642" t="s">
        <v>868</v>
      </c>
      <c r="H28" s="642" t="s">
        <v>869</v>
      </c>
      <c r="I28" s="642" t="s">
        <v>870</v>
      </c>
      <c r="J28" s="793">
        <v>37722</v>
      </c>
      <c r="K28" s="793">
        <v>38353</v>
      </c>
      <c r="L28" s="642" t="s">
        <v>871</v>
      </c>
      <c r="M28" s="642">
        <v>165</v>
      </c>
      <c r="N28" s="642">
        <v>742.5</v>
      </c>
      <c r="O28" s="642">
        <v>1060.7142857142858</v>
      </c>
      <c r="P28" s="642">
        <v>0</v>
      </c>
      <c r="Q28" s="642">
        <v>2121.4285714285716</v>
      </c>
      <c r="R28" s="642">
        <v>0</v>
      </c>
      <c r="S28" s="642">
        <v>0</v>
      </c>
      <c r="T28" s="642">
        <v>0</v>
      </c>
      <c r="U28" s="642">
        <v>0</v>
      </c>
      <c r="V28" s="642">
        <v>0</v>
      </c>
      <c r="W28" s="642">
        <v>0</v>
      </c>
      <c r="X28" s="642">
        <v>500</v>
      </c>
      <c r="Y28" s="642" t="s">
        <v>40</v>
      </c>
      <c r="Z28" s="644" t="s">
        <v>385</v>
      </c>
    </row>
    <row r="29" spans="1:26" s="576" customFormat="1">
      <c r="A29" s="598" t="s">
        <v>279</v>
      </c>
      <c r="B29" s="599"/>
      <c r="C29" s="599"/>
      <c r="D29" s="599"/>
      <c r="E29" s="599"/>
      <c r="F29" s="599"/>
      <c r="G29" s="599"/>
      <c r="H29" s="599"/>
      <c r="I29" s="599"/>
      <c r="J29" s="599"/>
      <c r="K29" s="599"/>
      <c r="L29" s="600"/>
      <c r="M29" s="600">
        <f>SUM(M28:M28)</f>
        <v>165</v>
      </c>
      <c r="N29" s="600">
        <f>SUM(N28:N28)</f>
        <v>742.5</v>
      </c>
      <c r="O29" s="600">
        <f>SUM(O28:O28)</f>
        <v>1060.7142857142858</v>
      </c>
      <c r="P29" s="600">
        <f>SUM(P28:P28)</f>
        <v>0</v>
      </c>
      <c r="Q29" s="600">
        <f>SUM(Q28:Q28)</f>
        <v>2121.4285714285716</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165</v>
      </c>
      <c r="N30" s="600">
        <f>SUMIF($Z$28:$Z$28,"industrie",N28:N28)</f>
        <v>742.5</v>
      </c>
      <c r="O30" s="600">
        <f>SUMIF($Z$28:$Z$28,"industrie",O28:O28)</f>
        <v>1060.7142857142858</v>
      </c>
      <c r="P30" s="600">
        <f>SUMIF($Z$28:$Z$28,"industrie",P28:P28)</f>
        <v>0</v>
      </c>
      <c r="Q30" s="600">
        <f>SUMIF($Z$28:$Z$28,"industrie",Q28:Q28)</f>
        <v>2121.4285714285716</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0</v>
      </c>
      <c r="N31" s="600">
        <f ca="1">SUMIF($Z$28:AD28,"tertiair",N28:N28)</f>
        <v>0</v>
      </c>
      <c r="O31" s="600">
        <f ca="1">SUMIF($Z$28:AE28,"tertiair",O28:O28)</f>
        <v>0</v>
      </c>
      <c r="P31" s="600">
        <f ca="1">SUMIF($Z$28:AF28,"tertiair",P28:P28)</f>
        <v>0</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0</v>
      </c>
      <c r="N32" s="605">
        <f>SUMIF($Z$28:$Z$28,"landbouw",N28:N28)</f>
        <v>0</v>
      </c>
      <c r="O32" s="605">
        <f>SUMIF($Z$28:$Z$28,"landbouw",O28:O28)</f>
        <v>0</v>
      </c>
      <c r="P32" s="605">
        <f>SUMIF($Z$28:$Z$28,"landbouw",P28:P28)</f>
        <v>0</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0.58823529411764708</v>
      </c>
      <c r="C45" s="625">
        <f>IF(ISERROR(N29/(O29+N29)),0,N29/(N29+O29))</f>
        <v>0.41176470588235292</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0</v>
      </c>
      <c r="C48" s="634">
        <f t="shared" si="2"/>
        <v>873.52941176470586</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0</v>
      </c>
      <c r="C49" s="637">
        <f t="shared" si="3"/>
        <v>1247.8991596638657</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2020-06-20T15:20:43Z</dcterms:modified>
</cp:coreProperties>
</file>