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2" i="59"/>
  <c r="C56" i="22"/>
  <c r="C58" i="22" s="1"/>
  <c r="D49" i="14" s="1"/>
  <c r="D52" i="14" s="1"/>
  <c r="C10" i="17"/>
  <c r="C12" i="17" s="1"/>
  <c r="D54" i="14" s="1"/>
  <c r="D56" i="14" s="1"/>
  <c r="C17" i="49"/>
  <c r="C29" i="20"/>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<sst xmlns="http://schemas.openxmlformats.org/spreadsheetml/2006/main" count="2375" uniqueCount="871">
  <si>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</si>
  <si>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</si>
  <si>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</si>
  <si>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</si>
  <si>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</si>
  <si>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</si>
  <si>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</si>
  <si>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</si>
  <si>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</si>
  <si>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</si>
  <si>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</si>
  <si>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</si>
  <si>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</si>
  <si>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</si>
  <si>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</si>
  <si>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</si>
  <si>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</si>
  <si>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</si>
  <si>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</si>
  <si>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</si>
  <si>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</si>
  <si>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</si>
  <si>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</si>
  <si>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</si>
  <si>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</si>
  <si>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</si>
  <si>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</si>
  <si>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</si>
  <si>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</si>
  <si>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</si>
  <si>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</si>
  <si>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</si>
  <si>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</si>
  <si>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</si>
  <si>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</si>
  <si>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</si>
  <si>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</si>
  <si>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</si>
  <si>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</si>
  <si>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</si>
  <si>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</si>
  <si>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</si>
  <si>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</si>
  <si>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</si>
  <si>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</si>
  <si>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</si>
  <si>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</si>
  <si>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</si>
  <si>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</si>
  <si>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</si>
  <si>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</si>
  <si>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</si>
  <si>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</si>
  <si>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</si>
  <si>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</si>
  <si>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</si>
  <si>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</si>
  <si>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</si>
  <si>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</si>
  <si>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</si>
  <si>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</si>
  <si>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</si>
  <si>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</si>
  <si>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</si>
  <si>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</si>
  <si>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</si>
  <si>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</si>
  <si>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</si>
  <si>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</si>
  <si>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</si>
  <si>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</si>
  <si>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</si>
  <si>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</si>
  <si>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</si>
  <si>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</si>
  <si>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</si>
  <si>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</si>
  <si>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</si>
  <si>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</si>
  <si>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</si>
  <si>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</si>
  <si>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</si>
  <si>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</si>
  <si>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</si>
  <si>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</si>
  <si>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</si>
  <si>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</si>
  <si>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</si>
  <si>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</si>
  <si>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</si>
  <si>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</si>
  <si>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</si>
  <si>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</si>
  <si>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</si>
  <si>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</si>
  <si>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</si>
  <si>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</si>
  <si>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</si>
  <si>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</si>
  <si>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</si>
  <si>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</si>
  <si>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</si>
  <si>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</si>
  <si>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</si>
  <si>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</si>
  <si>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</si>
  <si>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</si>
  <si>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</si>
  <si>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</si>
  <si>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</si>
  <si>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</si>
  <si>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</si>
  <si>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</si>
  <si>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</si>
  <si>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</si>
  <si>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</si>
  <si>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</si>
  <si>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</si>
  <si>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</si>
  <si>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</si>
  <si>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</si>
  <si>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</si>
  <si>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</si>
  <si>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</si>
  <si>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</si>
  <si>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</si>
  <si>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</si>
  <si>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</si>
  <si>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</si>
  <si>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</si>
  <si>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</si>
  <si>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</si>
  <si>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</si>
  <si>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</si>
  <si>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</si>
  <si>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</si>
  <si>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</si>
  <si>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</si>
  <si>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</si>
  <si>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</si>
  <si>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</si>
  <si>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</si>
  <si>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</si>
  <si>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</si>
  <si>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</si>
  <si>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</si>
  <si>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</si>
  <si>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</si>
  <si>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</si>
  <si>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</si>
  <si>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</si>
  <si>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</si>
  <si>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</si>
  <si>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</si>
  <si>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</si>
  <si>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</si>
  <si>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</si>
  <si>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</si>
  <si>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</si>
  <si>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</si>
  <si>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</si>
  <si>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</si>
  <si>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</si>
  <si>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</si>
  <si>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</si>
  <si>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</si>
  <si>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</si>
  <si>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</si>
  <si>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</si>
  <si>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</si>
  <si>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</si>
  <si>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</si>
  <si>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</si>
  <si>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</si>
  <si>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</si>
  <si>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</si>
  <si>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</si>
  <si>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</si>
  <si>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</si>
  <si>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</si>
  <si>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</si>
  <si>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</si>
  <si>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</si>
  <si>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</si>
  <si>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</si>
  <si>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</si>
  <si>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</si>
  <si>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</si>
  <si>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</si>
  <si>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</si>
  <si>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</si>
  <si>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</si>
  <si>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</si>
  <si>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</si>
  <si>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</si>
  <si>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</si>
  <si>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</si>
  <si>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</si>
  <si>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</si>
  <si>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</si>
  <si>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</si>
  <si>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</si>
  <si>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</si>
  <si>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</si>
  <si>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</si>
  <si>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</si>
  <si>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</si>
  <si>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</si>
  <si>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</si>
  <si>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</si>
  <si>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</si>
  <si>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</si>
  <si>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</si>
  <si>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</si>
  <si>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</si>
  <si>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</si>
  <si>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</si>
  <si>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</si>
  <si>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</si>
  <si>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</si>
  <si>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</si>
  <si>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</si>
  <si>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</si>
  <si>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</si>
  <si>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</si>
  <si>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</si>
  <si>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</si>
  <si>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</si>
  <si>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</si>
  <si>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</si>
  <si>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</si>
  <si>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</si>
  <si>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</si>
  <si>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</si>
  <si>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</si>
  <si>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</si>
  <si>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</si>
  <si>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</si>
  <si>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</si>
  <si>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</si>
  <si>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</si>
  <si>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</si>
  <si>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</si>
  <si>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</si>
  <si>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</si>
  <si>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</si>
  <si>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</si>
  <si>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</si>
  <si>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</si>
  <si>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</si>
  <si>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</si>
  <si>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</si>
  <si>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</si>
  <si>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</si>
  <si>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</si>
  <si>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</si>
  <si>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</si>
  <si>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</si>
  <si>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</si>
  <si>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</si>
  <si>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</si>
  <si>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</si>
  <si>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</si>
  <si>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</si>
  <si>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</si>
  <si>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</si>
  <si>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</si>
  <si>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</si>
  <si>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</si>
  <si>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</si>
  <si>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</si>
  <si>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</si>
  <si>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</si>
  <si>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</si>
  <si>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</si>
  <si>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</si>
  <si>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</si>
  <si>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</si>
  <si>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</si>
  <si>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</si>
  <si>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</si>
  <si>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</si>
  <si>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</si>
  <si>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</si>
  <si>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</si>
  <si>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</si>
  <si>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</si>
  <si>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</si>
  <si>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</si>
  <si>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</si>
  <si>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</si>
  <si>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</si>
  <si>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</si>
  <si>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</si>
  <si>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</si>
  <si>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</si>
  <si>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</si>
  <si>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</si>
  <si>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</si>
  <si>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</si>
  <si>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</si>
  <si>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</si>
  <si>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</si>
  <si>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</si>
  <si>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</si>
  <si>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</si>
  <si>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</si>
  <si>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</si>
  <si>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</si>
  <si>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</si>
  <si>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</si>
  <si>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</si>
  <si>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</si>
  <si>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</si>
  <si>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</si>
  <si>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</si>
  <si>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</si>
  <si>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</si>
  <si>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</si>
  <si>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</si>
  <si>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</si>
  <si>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</si>
  <si>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</si>
  <si>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</si>
  <si>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</si>
  <si>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</si>
  <si>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</si>
  <si>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</si>
  <si>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</si>
  <si>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</si>
  <si>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</si>
  <si>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</si>
  <si>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</si>
  <si>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</si>
  <si>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</si>
  <si>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</si>
  <si>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</si>
  <si>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</si>
  <si>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</si>
  <si>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</si>
  <si>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</si>
  <si>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</si>
  <si>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</si>
  <si>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</si>
  <si>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</si>
  <si>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</si>
  <si>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</si>
  <si>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</si>
  <si>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</si>
  <si>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</si>
  <si>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</si>
  <si>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</si>
  <si>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</si>
  <si>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</si>
  <si>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</si>
  <si>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</si>
  <si>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</si>
  <si>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</si>
  <si>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</si>
  <si>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</si>
  <si>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</si>
  <si>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</si>
  <si>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</si>
  <si>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</si>
  <si>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</si>
  <si>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</si>
  <si>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</si>
  <si>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</si>
  <si>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</si>
  <si>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</si>
  <si>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</si>
  <si>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</si>
  <si>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</si>
  <si>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</si>
  <si>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</si>
  <si>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</si>
  <si>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</si>
  <si>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</si>
  <si>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</si>
  <si>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</si>
  <si>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</si>
  <si>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</si>
  <si>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</si>
  <si>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</si>
  <si>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</si>
  <si>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</si>
  <si>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</si>
  <si>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</si>
  <si>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</si>
  <si>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</si>
  <si>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</si>
  <si>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</si>
  <si>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</si>
  <si>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</si>
  <si>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</si>
  <si>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</si>
  <si>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</si>
  <si>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</si>
  <si>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</si>
  <si>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</si>
  <si>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</si>
  <si>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</si>
  <si>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</si>
  <si>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</si>
  <si>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</si>
  <si>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</si>
  <si>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</si>
  <si>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</si>
  <si>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</si>
  <si>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</si>
  <si>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</si>
  <si>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</si>
  <si>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</si>
  <si>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</si>
  <si>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</si>
  <si>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</si>
  <si>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</si>
  <si>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</si>
  <si>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</si>
  <si>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</si>
  <si>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</si>
  <si>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</si>
  <si>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</si>
  <si>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</si>
  <si>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</si>
  <si>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</si>
  <si>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</si>
  <si>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</si>
  <si>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</si>
  <si>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</si>
  <si>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</si>
  <si>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</si>
  <si>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</si>
  <si>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</si>
  <si>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</si>
  <si>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</si>
  <si>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</si>
  <si>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</si>
  <si>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</si>
  <si>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</si>
  <si>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</si>
  <si>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</si>
  <si>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</si>
  <si>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</si>
  <si>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</si>
  <si>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</si>
  <si>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</si>
  <si>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</si>
  <si>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</si>
  <si>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</si>
  <si>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</si>
  <si>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</si>
  <si>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</si>
  <si>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</si>
  <si>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</si>
  <si>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</si>
  <si>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</si>
  <si>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</si>
  <si>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</si>
  <si>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</si>
  <si>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</si>
  <si>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</si>
  <si>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</si>
  <si>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</si>
  <si>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</si>
  <si>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</si>
  <si>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</si>
  <si>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</si>
  <si>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</si>
  <si>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</si>
  <si>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</si>
  <si>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</si>
  <si>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</si>
  <si>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</si>
  <si>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</si>
  <si>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</si>
  <si>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</si>
  <si>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</si>
  <si>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</si>
  <si>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</si>
  <si>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</si>
  <si>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</si>
  <si>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</si>
  <si>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</si>
  <si>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</si>
  <si>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</si>
  <si>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</si>
  <si>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</si>
  <si>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</si>
  <si>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</si>
  <si>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</si>
  <si>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</si>
  <si>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</si>
  <si>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</si>
  <si>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</si>
  <si>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</si>
  <si>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</si>
  <si>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</si>
  <si>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</si>
  <si>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</si>
  <si>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</si>
  <si>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</si>
  <si>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</si>
  <si>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</si>
  <si>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</si>
  <si>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</si>
  <si>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</si>
  <si>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</si>
  <si>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</si>
  <si>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</si>
  <si>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</si>
  <si>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</si>
  <si>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</si>
  <si>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</si>
  <si>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</si>
  <si>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</si>
  <si>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</si>
  <si>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</si>
  <si>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</si>
  <si>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</si>
  <si>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</si>
  <si>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</si>
  <si>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</si>
  <si>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</si>
  <si>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</si>
  <si>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</si>
  <si>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</si>
  <si>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</si>
  <si>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</si>
  <si>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</si>
  <si>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</si>
  <si>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</si>
  <si>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</si>
  <si>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</si>
  <si>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</si>
  <si>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</si>
  <si>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</si>
  <si>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</si>
  <si>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</si>
  <si>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</si>
  <si>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</si>
  <si>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</si>
  <si>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</si>
  <si>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</si>
  <si>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</si>
  <si>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</si>
  <si>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</si>
  <si>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</si>
  <si>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</si>
  <si>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</si>
  <si>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</si>
  <si>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</si>
  <si>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</si>
  <si>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</si>
  <si>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</si>
  <si>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</si>
  <si>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</si>
  <si>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</si>
  <si>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</si>
  <si>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</si>
  <si>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</si>
  <si>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</si>
  <si>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</si>
  <si>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</si>
  <si>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</si>
  <si>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</si>
  <si>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</si>
  <si>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</si>
  <si>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</si>
  <si>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</si>
  <si>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</si>
  <si>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</si>
  <si>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</si>
  <si>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</si>
  <si>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</si>
  <si>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</si>
  <si>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</si>
  <si>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</si>
  <si>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</si>
  <si>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</si>
  <si>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</si>
  <si>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</si>
  <si>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</si>
  <si>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</si>
  <si>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</si>
  <si>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</si>
  <si>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</si>
  <si>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</si>
  <si>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</si>
  <si>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</si>
  <si>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</si>
  <si>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</si>
  <si>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</si>
  <si>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</si>
  <si>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</si>
  <si>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</si>
  <si>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</si>
  <si>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</si>
  <si>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</si>
  <si>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</si>
  <si>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</si>
  <si>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</si>
  <si>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</si>
  <si>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</si>
  <si>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</si>
  <si>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</si>
  <si>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</si>
  <si>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</si>
  <si>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</si>
  <si>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</si>
  <si>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</si>
  <si>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</si>
  <si>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</si>
  <si>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</si>
  <si>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</si>
  <si>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</si>
  <si>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</si>
  <si>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</si>
  <si>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</si>
  <si>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</si>
  <si>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</si>
  <si>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</si>
  <si>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</si>
  <si>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</si>
  <si>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</si>
  <si>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</si>
  <si>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</si>
  <si>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</si>
  <si>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</si>
  <si>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</si>
  <si>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</si>
  <si>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</si>
  <si>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</si>
  <si>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</si>
  <si>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</si>
  <si>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</si>
  <si>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</si>
  <si>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</si>
  <si>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</si>
  <si>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</si>
  <si>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</si>
  <si>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</si>
  <si>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</si>
  <si>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</si>
  <si>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</si>
  <si>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</si>
  <si>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</si>
  <si>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</si>
  <si>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</si>
  <si>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</si>
  <si>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</si>
  <si>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</si>
  <si>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</si>
  <si>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</si>
  <si>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</si>
  <si>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</si>
  <si>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</si>
  <si>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</si>
  <si>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</si>
  <si>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</si>
  <si>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</si>
  <si>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</si>
  <si>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</si>
  <si>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</si>
  <si>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</si>
  <si>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</si>
  <si>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</si>
  <si>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</si>
  <si>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</si>
  <si>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</si>
  <si>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</si>
  <si>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</si>
  <si>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</si>
  <si>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</si>
  <si>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</si>
  <si>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</si>
  <si>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</si>
  <si>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</si>
  <si>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</si>
  <si>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</si>
  <si>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</si>
  <si>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</si>
  <si>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</si>
  <si>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</si>
  <si>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</si>
  <si>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</si>
  <si>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</si>
  <si>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</si>
  <si>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</si>
  <si>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</si>
  <si>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</si>
  <si>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</si>
  <si>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</si>
  <si>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</si>
  <si>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</si>
  <si>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</si>
  <si>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</si>
  <si>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</si>
  <si>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</si>
  <si>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</si>
  <si>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</si>
  <si>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</si>
  <si>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</si>
  <si>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</si>
  <si>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</si>
  <si>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</si>
  <si>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</si>
  <si>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</si>
  <si>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</si>
  <si>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</si>
  <si>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</si>
  <si>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</si>
  <si>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</si>
  <si>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</si>
  <si>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</si>
  <si>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</si>
  <si>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</si>
  <si>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</si>
  <si>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</si>
  <si>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</si>
  <si>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</si>
  <si>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</si>
  <si>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</si>
  <si>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</si>
  <si>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</si>
  <si>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</si>
  <si>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</si>
  <si>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</si>
  <si>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</si>
  <si>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</si>
  <si>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</si>
  <si>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</si>
  <si>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</si>
  <si>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</si>
  <si>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</si>
  <si>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</si>
  <si>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</si>
  <si>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</si>
  <si>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</si>
  <si>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</si>
  <si>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</si>
  <si>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</si>
  <si>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</si>
  <si>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</si>
  <si>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</si>
  <si>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</si>
  <si>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</si>
  <si>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</si>
  <si>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</si>
  <si>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</si>
  <si>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</si>
  <si>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</si>
  <si>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</si>
  <si>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</si>
  <si>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</si>
  <si>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</si>
  <si>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</si>
  <si>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</si>
  <si>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</si>
  <si>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</si>
  <si>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</si>
  <si>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</si>
  <si>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</si>
  <si>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</si>
  <si>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</si>
  <si>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</si>
  <si>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</si>
  <si>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</si>
  <si>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</si>
  <si>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</si>
  <si>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</si>
  <si>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</si>
  <si>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</si>
  <si>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</si>
  <si>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</si>
  <si>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</si>
  <si>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</si>
  <si>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</si>
  <si>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</si>
  <si>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</si>
  <si>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</si>
  <si>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</si>
  <si>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</si>
  <si>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</si>
  <si>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</si>
  <si>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</si>
  <si>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</si>
  <si>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</si>
  <si>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</si>
  <si>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</si>
  <si>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</si>
  <si>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</si>
  <si>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</si>
  <si>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</si>
  <si>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</si>
  <si>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</si>
  <si>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</si>
  <si>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</si>
  <si>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</si>
  <si>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</si>
  <si>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</si>
  <si>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</si>
  <si>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</si>
  <si>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</si>
  <si>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</si>
  <si>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</si>
  <si>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</si>
  <si>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</si>
  <si>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</si>
  <si>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</si>
  <si>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</si>
  <si>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</si>
  <si>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</si>
  <si>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</si>
  <si>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</si>
  <si>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</si>
  <si>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</si>
  <si>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</si>
  <si>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</si>
  <si>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</si>
  <si>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</si>
  <si>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</si>
  <si>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</si>
  <si>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</si>
  <si>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</si>
  <si>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</si>
  <si>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</si>
  <si>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</si>
  <si>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</si>
  <si>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</si>
  <si>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</si>
  <si>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</si>
  <si>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</si>
  <si>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</si>
  <si>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</si>
  <si>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</si>
  <si>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</si>
  <si>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</si>
  <si>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</si>
  <si>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</si>
  <si>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</si>
  <si>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</si>
  <si>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</si>
  <si>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</si>
  <si>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</si>
  <si>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</si>
  <si>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</si>
  <si>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</si>
  <si>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</si>
  <si>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</si>
  <si>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</si>
  <si>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</si>
  <si>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</si>
  <si>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</si>
  <si>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</si>
  <si>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</si>
  <si>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</si>
  <si>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</si>
  <si>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</si>
  <si>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</si>
  <si>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</si>
  <si>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</si>
  <si>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24038</t>
  </si>
  <si>
    <t>HERENT</t>
  </si>
  <si>
    <t>referentietaak LNE (2017); Jaarverslag De Lijn</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</si>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</sst>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154106.81421806963</c:v>
                </c:pt>
                <c:pt idx="1">
                  <c:v>48111.928519262503</c:v>
                </c:pt>
                <c:pt idx="2">
                  <c:v>1019.551</c:v>
                </c:pt>
                <c:pt idx="3">
                  <c:v>14999.679709133294</c:v>
                </c:pt>
                <c:pt idx="4">
                  <c:v>18449.865085180398</c:v>
                </c:pt>
                <c:pt idx="5">
                  <c:v>100968.8439640985</c:v>
                </c:pt>
                <c:pt idx="6">
                  <c:v>4656.0315464609521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154106.81421806963</c:v>
                </c:pt>
                <c:pt idx="1">
                  <c:v>48111.928519262503</c:v>
                </c:pt>
                <c:pt idx="2">
                  <c:v>1019.551</c:v>
                </c:pt>
                <c:pt idx="3">
                  <c:v>14999.679709133294</c:v>
                </c:pt>
                <c:pt idx="4">
                  <c:v>18449.865085180398</c:v>
                </c:pt>
                <c:pt idx="5">
                  <c:v>100968.8439640985</c:v>
                </c:pt>
                <c:pt idx="6">
                  <c:v>4656.0315464609521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29004.11739423254</c:v>
                </c:pt>
                <c:pt idx="1">
                  <c:v>9692.4512641232232</c:v>
                </c:pt>
                <c:pt idx="2">
                  <c:v>205.9443462332913</c:v>
                </c:pt>
                <c:pt idx="3">
                  <c:v>3605.1578303359702</c:v>
                </c:pt>
                <c:pt idx="4">
                  <c:v>3821.9778522839092</c:v>
                </c:pt>
                <c:pt idx="5">
                  <c:v>25034.51651679289</c:v>
                </c:pt>
                <c:pt idx="6">
                  <c:v>1179.171842645708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29004.11739423254</c:v>
                </c:pt>
                <c:pt idx="1">
                  <c:v>9692.4512641232232</c:v>
                </c:pt>
                <c:pt idx="2">
                  <c:v>205.9443462332913</c:v>
                </c:pt>
                <c:pt idx="3">
                  <c:v>3605.1578303359702</c:v>
                </c:pt>
                <c:pt idx="4">
                  <c:v>3821.9778522839092</c:v>
                </c:pt>
                <c:pt idx="5">
                  <c:v>25034.51651679289</c:v>
                </c:pt>
                <c:pt idx="6">
                  <c:v>1179.171842645708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24038</v>
      </c>
      <c r="B6" s="392"/>
      <c r="C6" s="393"/>
    </row>
    <row r="7" spans="1:7" s="390" customFormat="1" ht="15.75" customHeight="1">
      <c r="A7" s="394" t="str">
        <f>txtMunicipality</f>
        <v>HERENT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21667.188281497718</v>
      </c>
      <c r="D10" s="689">
        <f ca="1">tertiair!C16</f>
        <v>0</v>
      </c>
      <c r="E10" s="689">
        <f ca="1">tertiair!D16</f>
        <v>22776.107641823535</v>
      </c>
      <c r="F10" s="689">
        <f>tertiair!E16</f>
        <v>69.650280402254154</v>
      </c>
      <c r="G10" s="689">
        <f ca="1">tertiair!F16</f>
        <v>3390.0180737964015</v>
      </c>
      <c r="H10" s="689">
        <f>tertiair!G16</f>
        <v>0</v>
      </c>
      <c r="I10" s="689">
        <f>tertiair!H16</f>
        <v>0</v>
      </c>
      <c r="J10" s="689">
        <f>tertiair!I16</f>
        <v>0</v>
      </c>
      <c r="K10" s="689">
        <f>tertiair!J16</f>
        <v>2.7437683681951555E-2</v>
      </c>
      <c r="L10" s="689">
        <f>tertiair!K16</f>
        <v>0</v>
      </c>
      <c r="M10" s="689">
        <f ca="1">tertiair!L16</f>
        <v>0</v>
      </c>
      <c r="N10" s="689">
        <f>tertiair!M16</f>
        <v>0</v>
      </c>
      <c r="O10" s="689">
        <f ca="1">tertiair!N16</f>
        <v>1018.3312508329324</v>
      </c>
      <c r="P10" s="689">
        <f>tertiair!O16</f>
        <v>0</v>
      </c>
      <c r="Q10" s="690">
        <f>tertiair!P16</f>
        <v>210.15655322598008</v>
      </c>
      <c r="R10" s="692">
        <f ca="1">SUM(C10:Q10)</f>
        <v>49131.479519262502</v>
      </c>
      <c r="S10" s="67"/>
    </row>
    <row r="11" spans="1:19" s="451" customFormat="1">
      <c r="A11" s="811" t="s">
        <v>224</v>
      </c>
      <c r="B11" s="816"/>
      <c r="C11" s="689">
        <f>huishoudens!B8</f>
        <v>35542.803533614548</v>
      </c>
      <c r="D11" s="689">
        <f>huishoudens!C8</f>
        <v>0</v>
      </c>
      <c r="E11" s="689">
        <f>huishoudens!D8</f>
        <v>85895.172974601432</v>
      </c>
      <c r="F11" s="689">
        <f>huishoudens!E8</f>
        <v>9186.993522220142</v>
      </c>
      <c r="G11" s="689">
        <f>huishoudens!F8</f>
        <v>8945.2111391756607</v>
      </c>
      <c r="H11" s="689">
        <f>huishoudens!G8</f>
        <v>0</v>
      </c>
      <c r="I11" s="689">
        <f>huishoudens!H8</f>
        <v>0</v>
      </c>
      <c r="J11" s="689">
        <f>huishoudens!I8</f>
        <v>0</v>
      </c>
      <c r="K11" s="689">
        <f>huishoudens!J8</f>
        <v>0</v>
      </c>
      <c r="L11" s="689">
        <f>huishoudens!K8</f>
        <v>0</v>
      </c>
      <c r="M11" s="689">
        <f>huishoudens!L8</f>
        <v>0</v>
      </c>
      <c r="N11" s="689">
        <f>huishoudens!M8</f>
        <v>0</v>
      </c>
      <c r="O11" s="689">
        <f>huishoudens!N8</f>
        <v>13031.084451118451</v>
      </c>
      <c r="P11" s="689">
        <f>huishoudens!O8</f>
        <v>557.49225964775599</v>
      </c>
      <c r="Q11" s="690">
        <f>huishoudens!P8</f>
        <v>948.05633769165206</v>
      </c>
      <c r="R11" s="692">
        <f>SUM(C11:Q11)</f>
        <v>154106.81421806963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9411.8971512197677</v>
      </c>
      <c r="D13" s="689">
        <f>industrie!C18</f>
        <v>0</v>
      </c>
      <c r="E13" s="689">
        <f>industrie!D18</f>
        <v>6282.2481226623513</v>
      </c>
      <c r="F13" s="689">
        <f>industrie!E18</f>
        <v>23.480964907835613</v>
      </c>
      <c r="G13" s="689">
        <f>industrie!F18</f>
        <v>2420.7210730895417</v>
      </c>
      <c r="H13" s="689">
        <f>industrie!G18</f>
        <v>0</v>
      </c>
      <c r="I13" s="689">
        <f>industrie!H18</f>
        <v>0</v>
      </c>
      <c r="J13" s="689">
        <f>industrie!I18</f>
        <v>0</v>
      </c>
      <c r="K13" s="689">
        <f>industrie!J18</f>
        <v>0.40550888085247094</v>
      </c>
      <c r="L13" s="689">
        <f>industrie!K18</f>
        <v>0</v>
      </c>
      <c r="M13" s="689">
        <f>industrie!L18</f>
        <v>0</v>
      </c>
      <c r="N13" s="689">
        <f>industrie!M18</f>
        <v>0</v>
      </c>
      <c r="O13" s="689">
        <f>industrie!N18</f>
        <v>311.11226442004852</v>
      </c>
      <c r="P13" s="689">
        <f>industrie!O18</f>
        <v>0</v>
      </c>
      <c r="Q13" s="690">
        <f>industrie!P18</f>
        <v>0</v>
      </c>
      <c r="R13" s="692">
        <f>SUM(C13:Q13)</f>
        <v>18449.865085180398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66621.888966332044</v>
      </c>
      <c r="D16" s="725">
        <f t="shared" ref="D16:R16" ca="1" si="0">SUM(D9:D15)</f>
        <v>0</v>
      </c>
      <c r="E16" s="725">
        <f t="shared" ca="1" si="0"/>
        <v>114953.52873908731</v>
      </c>
      <c r="F16" s="725">
        <f t="shared" si="0"/>
        <v>9280.1247675302329</v>
      </c>
      <c r="G16" s="725">
        <f t="shared" ca="1" si="0"/>
        <v>14755.950286061605</v>
      </c>
      <c r="H16" s="725">
        <f t="shared" si="0"/>
        <v>0</v>
      </c>
      <c r="I16" s="725">
        <f t="shared" si="0"/>
        <v>0</v>
      </c>
      <c r="J16" s="725">
        <f t="shared" si="0"/>
        <v>0</v>
      </c>
      <c r="K16" s="725">
        <f t="shared" si="0"/>
        <v>0.43294656453442248</v>
      </c>
      <c r="L16" s="725">
        <f t="shared" si="0"/>
        <v>0</v>
      </c>
      <c r="M16" s="725">
        <f t="shared" ca="1" si="0"/>
        <v>0</v>
      </c>
      <c r="N16" s="725">
        <f t="shared" si="0"/>
        <v>0</v>
      </c>
      <c r="O16" s="725">
        <f t="shared" ca="1" si="0"/>
        <v>14360.527966371432</v>
      </c>
      <c r="P16" s="725">
        <f t="shared" si="0"/>
        <v>557.49225964775599</v>
      </c>
      <c r="Q16" s="725">
        <f t="shared" si="0"/>
        <v>1158.2128909176322</v>
      </c>
      <c r="R16" s="725">
        <f t="shared" ca="1" si="0"/>
        <v>221688.15882251255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4416.3739424932883</v>
      </c>
      <c r="I19" s="689">
        <f>transport!H54</f>
        <v>0</v>
      </c>
      <c r="J19" s="689">
        <f>transport!I54</f>
        <v>0</v>
      </c>
      <c r="K19" s="689">
        <f>transport!J54</f>
        <v>0</v>
      </c>
      <c r="L19" s="689">
        <f>transport!K54</f>
        <v>0</v>
      </c>
      <c r="M19" s="689">
        <f>transport!L54</f>
        <v>0</v>
      </c>
      <c r="N19" s="689">
        <f>transport!M54</f>
        <v>239.65760396766402</v>
      </c>
      <c r="O19" s="689">
        <f>transport!N54</f>
        <v>0</v>
      </c>
      <c r="P19" s="689">
        <f>transport!O54</f>
        <v>0</v>
      </c>
      <c r="Q19" s="690">
        <f>transport!P54</f>
        <v>0</v>
      </c>
      <c r="R19" s="692">
        <f>SUM(C19:Q19)</f>
        <v>4656.0315464609521</v>
      </c>
      <c r="S19" s="67"/>
    </row>
    <row r="20" spans="1:19" s="451" customFormat="1">
      <c r="A20" s="811" t="s">
        <v>306</v>
      </c>
      <c r="B20" s="816"/>
      <c r="C20" s="689">
        <f>transport!B14</f>
        <v>77.316341370357492</v>
      </c>
      <c r="D20" s="689">
        <f>transport!C14</f>
        <v>0</v>
      </c>
      <c r="E20" s="689">
        <f>transport!D14</f>
        <v>338.69245360517539</v>
      </c>
      <c r="F20" s="689">
        <f>transport!E14</f>
        <v>184.13318412035215</v>
      </c>
      <c r="G20" s="689">
        <f>transport!F14</f>
        <v>0</v>
      </c>
      <c r="H20" s="689">
        <f>transport!G14</f>
        <v>73128.151078635012</v>
      </c>
      <c r="I20" s="689">
        <f>transport!H14</f>
        <v>21620.355603338034</v>
      </c>
      <c r="J20" s="689">
        <f>transport!I14</f>
        <v>0</v>
      </c>
      <c r="K20" s="689">
        <f>transport!J14</f>
        <v>0</v>
      </c>
      <c r="L20" s="689">
        <f>transport!K14</f>
        <v>0</v>
      </c>
      <c r="M20" s="689">
        <f>transport!L14</f>
        <v>0</v>
      </c>
      <c r="N20" s="689">
        <f>transport!M14</f>
        <v>5620.1953030295745</v>
      </c>
      <c r="O20" s="689">
        <f>transport!N14</f>
        <v>0</v>
      </c>
      <c r="P20" s="689">
        <f>transport!O14</f>
        <v>0</v>
      </c>
      <c r="Q20" s="690">
        <f>transport!P14</f>
        <v>0</v>
      </c>
      <c r="R20" s="692">
        <f>SUM(C20:Q20)</f>
        <v>100968.8439640985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77.316341370357492</v>
      </c>
      <c r="D22" s="814">
        <f t="shared" ref="D22:R22" si="1">SUM(D18:D21)</f>
        <v>0</v>
      </c>
      <c r="E22" s="814">
        <f t="shared" si="1"/>
        <v>338.69245360517539</v>
      </c>
      <c r="F22" s="814">
        <f t="shared" si="1"/>
        <v>184.13318412035215</v>
      </c>
      <c r="G22" s="814">
        <f t="shared" si="1"/>
        <v>0</v>
      </c>
      <c r="H22" s="814">
        <f t="shared" si="1"/>
        <v>77544.525021128298</v>
      </c>
      <c r="I22" s="814">
        <f t="shared" si="1"/>
        <v>21620.355603338034</v>
      </c>
      <c r="J22" s="814">
        <f t="shared" si="1"/>
        <v>0</v>
      </c>
      <c r="K22" s="814">
        <f t="shared" si="1"/>
        <v>0</v>
      </c>
      <c r="L22" s="814">
        <f t="shared" si="1"/>
        <v>0</v>
      </c>
      <c r="M22" s="814">
        <f t="shared" si="1"/>
        <v>0</v>
      </c>
      <c r="N22" s="814">
        <f t="shared" si="1"/>
        <v>5859.8529069972383</v>
      </c>
      <c r="O22" s="814">
        <f t="shared" si="1"/>
        <v>0</v>
      </c>
      <c r="P22" s="814">
        <f t="shared" si="1"/>
        <v>0</v>
      </c>
      <c r="Q22" s="814">
        <f t="shared" si="1"/>
        <v>0</v>
      </c>
      <c r="R22" s="814">
        <f t="shared" si="1"/>
        <v>105624.87551055945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451.68432140811495</v>
      </c>
      <c r="D24" s="689">
        <f>+landbouw!C8</f>
        <v>12947.142857142855</v>
      </c>
      <c r="E24" s="689">
        <f>+landbouw!D8</f>
        <v>0</v>
      </c>
      <c r="F24" s="689">
        <f>+landbouw!E8</f>
        <v>16.844689949090011</v>
      </c>
      <c r="G24" s="689">
        <f>+landbouw!F8</f>
        <v>1465.4384763400551</v>
      </c>
      <c r="H24" s="689">
        <f>+landbouw!G8</f>
        <v>0</v>
      </c>
      <c r="I24" s="689">
        <f>+landbouw!H8</f>
        <v>0</v>
      </c>
      <c r="J24" s="689">
        <f>+landbouw!I8</f>
        <v>0</v>
      </c>
      <c r="K24" s="689">
        <f>+landbouw!J8</f>
        <v>118.56936429317868</v>
      </c>
      <c r="L24" s="689">
        <f>+landbouw!K8</f>
        <v>0</v>
      </c>
      <c r="M24" s="689">
        <f>+landbouw!L8</f>
        <v>0</v>
      </c>
      <c r="N24" s="689">
        <f>+landbouw!M8</f>
        <v>0</v>
      </c>
      <c r="O24" s="689">
        <f>+landbouw!N8</f>
        <v>0</v>
      </c>
      <c r="P24" s="689">
        <f>+landbouw!O8</f>
        <v>0</v>
      </c>
      <c r="Q24" s="690">
        <f>+landbouw!P8</f>
        <v>0</v>
      </c>
      <c r="R24" s="692">
        <f>SUM(C24:Q24)</f>
        <v>14999.679709133294</v>
      </c>
      <c r="S24" s="67"/>
    </row>
    <row r="25" spans="1:19" s="451" customFormat="1" ht="15" thickBot="1">
      <c r="A25" s="833" t="s">
        <v>714</v>
      </c>
      <c r="B25" s="947"/>
      <c r="C25" s="948">
        <f>IF(Onbekend_ele_kWh="---",0,Onbekend_ele_kWh)/1000+IF(REST_rest_ele_kWh="---",0,REST_rest_ele_kWh)/1000</f>
        <v>967.903312881597</v>
      </c>
      <c r="D25" s="948"/>
      <c r="E25" s="948">
        <f>IF(onbekend_gas_kWh="---",0,onbekend_gas_kWh)/1000+IF(REST_rest_gas_kWh="---",0,REST_rest_gas_kWh)/1000</f>
        <v>2484.27219800681</v>
      </c>
      <c r="F25" s="948"/>
      <c r="G25" s="948"/>
      <c r="H25" s="948"/>
      <c r="I25" s="948"/>
      <c r="J25" s="948"/>
      <c r="K25" s="948"/>
      <c r="L25" s="948"/>
      <c r="M25" s="948"/>
      <c r="N25" s="948"/>
      <c r="O25" s="948"/>
      <c r="P25" s="948"/>
      <c r="Q25" s="949"/>
      <c r="R25" s="692">
        <f>SUM(C25:Q25)</f>
        <v>3452.1755108884072</v>
      </c>
      <c r="S25" s="67"/>
    </row>
    <row r="26" spans="1:19" s="451" customFormat="1" ht="15.75" thickBot="1">
      <c r="A26" s="697" t="s">
        <v>715</v>
      </c>
      <c r="B26" s="819"/>
      <c r="C26" s="814">
        <f>SUM(C24:C25)</f>
        <v>1419.587634289712</v>
      </c>
      <c r="D26" s="814">
        <f t="shared" ref="D26:R26" si="2">SUM(D24:D25)</f>
        <v>12947.142857142855</v>
      </c>
      <c r="E26" s="814">
        <f t="shared" si="2"/>
        <v>2484.27219800681</v>
      </c>
      <c r="F26" s="814">
        <f t="shared" si="2"/>
        <v>16.844689949090011</v>
      </c>
      <c r="G26" s="814">
        <f t="shared" si="2"/>
        <v>1465.4384763400551</v>
      </c>
      <c r="H26" s="814">
        <f t="shared" si="2"/>
        <v>0</v>
      </c>
      <c r="I26" s="814">
        <f t="shared" si="2"/>
        <v>0</v>
      </c>
      <c r="J26" s="814">
        <f t="shared" si="2"/>
        <v>0</v>
      </c>
      <c r="K26" s="814">
        <f t="shared" si="2"/>
        <v>118.56936429317868</v>
      </c>
      <c r="L26" s="814">
        <f t="shared" si="2"/>
        <v>0</v>
      </c>
      <c r="M26" s="814">
        <f t="shared" si="2"/>
        <v>0</v>
      </c>
      <c r="N26" s="814">
        <f t="shared" si="2"/>
        <v>0</v>
      </c>
      <c r="O26" s="814">
        <f t="shared" si="2"/>
        <v>0</v>
      </c>
      <c r="P26" s="814">
        <f t="shared" si="2"/>
        <v>0</v>
      </c>
      <c r="Q26" s="814">
        <f t="shared" si="2"/>
        <v>0</v>
      </c>
      <c r="R26" s="814">
        <f t="shared" si="2"/>
        <v>18451.855220021702</v>
      </c>
      <c r="S26" s="67"/>
    </row>
    <row r="27" spans="1:19" s="451" customFormat="1" ht="17.25" thickTop="1" thickBot="1">
      <c r="A27" s="698" t="s">
        <v>115</v>
      </c>
      <c r="B27" s="806"/>
      <c r="C27" s="699">
        <f ca="1">C22+C16+C26</f>
        <v>68118.792941992113</v>
      </c>
      <c r="D27" s="699">
        <f t="shared" ref="D27:R27" ca="1" si="3">D22+D16+D26</f>
        <v>12947.142857142855</v>
      </c>
      <c r="E27" s="699">
        <f t="shared" ca="1" si="3"/>
        <v>117776.49339069931</v>
      </c>
      <c r="F27" s="699">
        <f t="shared" si="3"/>
        <v>9481.1026415996748</v>
      </c>
      <c r="G27" s="699">
        <f t="shared" ca="1" si="3"/>
        <v>16221.388762401661</v>
      </c>
      <c r="H27" s="699">
        <f t="shared" si="3"/>
        <v>77544.525021128298</v>
      </c>
      <c r="I27" s="699">
        <f t="shared" si="3"/>
        <v>21620.355603338034</v>
      </c>
      <c r="J27" s="699">
        <f t="shared" si="3"/>
        <v>0</v>
      </c>
      <c r="K27" s="699">
        <f t="shared" si="3"/>
        <v>119.0023108577131</v>
      </c>
      <c r="L27" s="699">
        <f t="shared" si="3"/>
        <v>0</v>
      </c>
      <c r="M27" s="699">
        <f t="shared" ca="1" si="3"/>
        <v>0</v>
      </c>
      <c r="N27" s="699">
        <f t="shared" si="3"/>
        <v>5859.8529069972383</v>
      </c>
      <c r="O27" s="699">
        <f t="shared" ca="1" si="3"/>
        <v>14360.527966371432</v>
      </c>
      <c r="P27" s="699">
        <f t="shared" si="3"/>
        <v>557.49225964775599</v>
      </c>
      <c r="Q27" s="699">
        <f t="shared" si="3"/>
        <v>1158.2128909176322</v>
      </c>
      <c r="R27" s="699">
        <f t="shared" ca="1" si="3"/>
        <v>345764.8895530937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4376.6667144131852</v>
      </c>
      <c r="D40" s="689">
        <f ca="1">tertiair!C20</f>
        <v>0</v>
      </c>
      <c r="E40" s="689">
        <f ca="1">tertiair!D20</f>
        <v>4600.773743648354</v>
      </c>
      <c r="F40" s="689">
        <f>tertiair!E20</f>
        <v>15.810613651311693</v>
      </c>
      <c r="G40" s="689">
        <f ca="1">tertiair!F20</f>
        <v>905.13482570363919</v>
      </c>
      <c r="H40" s="689">
        <f>tertiair!G20</f>
        <v>0</v>
      </c>
      <c r="I40" s="689">
        <f>tertiair!H20</f>
        <v>0</v>
      </c>
      <c r="J40" s="689">
        <f>tertiair!I20</f>
        <v>0</v>
      </c>
      <c r="K40" s="689">
        <f>tertiair!J20</f>
        <v>9.7129400234108494E-3</v>
      </c>
      <c r="L40" s="689">
        <f>tertiair!K20</f>
        <v>0</v>
      </c>
      <c r="M40" s="689">
        <f ca="1">tertiair!L20</f>
        <v>0</v>
      </c>
      <c r="N40" s="689">
        <f>tertiair!M20</f>
        <v>0</v>
      </c>
      <c r="O40" s="689">
        <f ca="1">tertiair!N20</f>
        <v>0</v>
      </c>
      <c r="P40" s="689">
        <f>tertiair!O20</f>
        <v>0</v>
      </c>
      <c r="Q40" s="772">
        <f>tertiair!P20</f>
        <v>0</v>
      </c>
      <c r="R40" s="852">
        <f t="shared" ca="1" si="4"/>
        <v>9898.3956103565142</v>
      </c>
    </row>
    <row r="41" spans="1:18">
      <c r="A41" s="824" t="s">
        <v>224</v>
      </c>
      <c r="B41" s="831"/>
      <c r="C41" s="689">
        <f ca="1">huishoudens!B12</f>
        <v>7179.4735496591766</v>
      </c>
      <c r="D41" s="689">
        <f ca="1">huishoudens!C12</f>
        <v>0</v>
      </c>
      <c r="E41" s="689">
        <f>huishoudens!D12</f>
        <v>17350.82494086949</v>
      </c>
      <c r="F41" s="689">
        <f>huishoudens!E12</f>
        <v>2085.4475295439725</v>
      </c>
      <c r="G41" s="689">
        <f>huishoudens!F12</f>
        <v>2388.3713741599017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29004.11739423254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1901.1574758133058</v>
      </c>
      <c r="D43" s="689">
        <f ca="1">industrie!C22</f>
        <v>0</v>
      </c>
      <c r="E43" s="689">
        <f>industrie!D22</f>
        <v>1269.0141207777951</v>
      </c>
      <c r="F43" s="689">
        <f>industrie!E22</f>
        <v>5.3301790340786841</v>
      </c>
      <c r="G43" s="689">
        <f>industrie!F22</f>
        <v>646.33252651490773</v>
      </c>
      <c r="H43" s="689">
        <f>industrie!G22</f>
        <v>0</v>
      </c>
      <c r="I43" s="689">
        <f>industrie!H22</f>
        <v>0</v>
      </c>
      <c r="J43" s="689">
        <f>industrie!I22</f>
        <v>0</v>
      </c>
      <c r="K43" s="689">
        <f>industrie!J22</f>
        <v>0.1435501438217747</v>
      </c>
      <c r="L43" s="689">
        <f>industrie!K22</f>
        <v>0</v>
      </c>
      <c r="M43" s="689">
        <f>industrie!L22</f>
        <v>0</v>
      </c>
      <c r="N43" s="689">
        <f>industrie!M22</f>
        <v>0</v>
      </c>
      <c r="O43" s="689">
        <f>industrie!N22</f>
        <v>0</v>
      </c>
      <c r="P43" s="689">
        <f>industrie!O22</f>
        <v>0</v>
      </c>
      <c r="Q43" s="772">
        <f>industrie!P22</f>
        <v>0</v>
      </c>
      <c r="R43" s="851">
        <f t="shared" ca="1" si="4"/>
        <v>3821.9778522839092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13457.297739885667</v>
      </c>
      <c r="D46" s="725">
        <f t="shared" ref="D46:Q46" ca="1" si="5">SUM(D39:D45)</f>
        <v>0</v>
      </c>
      <c r="E46" s="725">
        <f t="shared" ca="1" si="5"/>
        <v>23220.612805295641</v>
      </c>
      <c r="F46" s="725">
        <f t="shared" si="5"/>
        <v>2106.5883222293628</v>
      </c>
      <c r="G46" s="725">
        <f t="shared" ca="1" si="5"/>
        <v>3939.8387263784489</v>
      </c>
      <c r="H46" s="725">
        <f t="shared" si="5"/>
        <v>0</v>
      </c>
      <c r="I46" s="725">
        <f t="shared" si="5"/>
        <v>0</v>
      </c>
      <c r="J46" s="725">
        <f t="shared" si="5"/>
        <v>0</v>
      </c>
      <c r="K46" s="725">
        <f t="shared" si="5"/>
        <v>0.15326308384518555</v>
      </c>
      <c r="L46" s="725">
        <f t="shared" si="5"/>
        <v>0</v>
      </c>
      <c r="M46" s="725">
        <f t="shared" ca="1" si="5"/>
        <v>0</v>
      </c>
      <c r="N46" s="725">
        <f t="shared" si="5"/>
        <v>0</v>
      </c>
      <c r="O46" s="725">
        <f t="shared" ca="1" si="5"/>
        <v>0</v>
      </c>
      <c r="P46" s="725">
        <f t="shared" si="5"/>
        <v>0</v>
      </c>
      <c r="Q46" s="725">
        <f t="shared" si="5"/>
        <v>0</v>
      </c>
      <c r="R46" s="725">
        <f ca="1">SUM(R39:R45)</f>
        <v>42724.490856872966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1179.171842645708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1179.171842645708</v>
      </c>
    </row>
    <row r="50" spans="1:18">
      <c r="A50" s="827" t="s">
        <v>306</v>
      </c>
      <c r="B50" s="837"/>
      <c r="C50" s="695">
        <f ca="1">transport!B18</f>
        <v>15.617525142605173</v>
      </c>
      <c r="D50" s="695">
        <f>transport!C18</f>
        <v>0</v>
      </c>
      <c r="E50" s="695">
        <f>transport!D18</f>
        <v>68.415875628245431</v>
      </c>
      <c r="F50" s="695">
        <f>transport!E18</f>
        <v>41.79823279531994</v>
      </c>
      <c r="G50" s="695">
        <f>transport!F18</f>
        <v>0</v>
      </c>
      <c r="H50" s="695">
        <f>transport!G18</f>
        <v>19525.216337995549</v>
      </c>
      <c r="I50" s="695">
        <f>transport!H18</f>
        <v>5383.4685452311705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25034.51651679289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15.617525142605173</v>
      </c>
      <c r="D52" s="725">
        <f t="shared" ref="D52:Q52" ca="1" si="6">SUM(D48:D51)</f>
        <v>0</v>
      </c>
      <c r="E52" s="725">
        <f t="shared" si="6"/>
        <v>68.415875628245431</v>
      </c>
      <c r="F52" s="725">
        <f t="shared" si="6"/>
        <v>41.79823279531994</v>
      </c>
      <c r="G52" s="725">
        <f t="shared" si="6"/>
        <v>0</v>
      </c>
      <c r="H52" s="725">
        <f t="shared" si="6"/>
        <v>20704.388180641257</v>
      </c>
      <c r="I52" s="725">
        <f t="shared" si="6"/>
        <v>5383.4685452311705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26213.688359438598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91.238037406880139</v>
      </c>
      <c r="D54" s="695">
        <f ca="1">+landbouw!C12</f>
        <v>3076.8504201680662</v>
      </c>
      <c r="E54" s="695">
        <f>+landbouw!D12</f>
        <v>0</v>
      </c>
      <c r="F54" s="695">
        <f>+landbouw!E12</f>
        <v>3.8237446184434325</v>
      </c>
      <c r="G54" s="695">
        <f>+landbouw!F12</f>
        <v>391.27207318279471</v>
      </c>
      <c r="H54" s="695">
        <f>+landbouw!G12</f>
        <v>0</v>
      </c>
      <c r="I54" s="695">
        <f>+landbouw!H12</f>
        <v>0</v>
      </c>
      <c r="J54" s="695">
        <f>+landbouw!I12</f>
        <v>0</v>
      </c>
      <c r="K54" s="695">
        <f>+landbouw!J12</f>
        <v>41.973554959785254</v>
      </c>
      <c r="L54" s="695">
        <f>+landbouw!K12</f>
        <v>0</v>
      </c>
      <c r="M54" s="695">
        <f>+landbouw!L12</f>
        <v>0</v>
      </c>
      <c r="N54" s="695">
        <f>+landbouw!M12</f>
        <v>0</v>
      </c>
      <c r="O54" s="695">
        <f>+landbouw!N12</f>
        <v>0</v>
      </c>
      <c r="P54" s="695">
        <f>+landbouw!O12</f>
        <v>0</v>
      </c>
      <c r="Q54" s="696">
        <f>+landbouw!P12</f>
        <v>0</v>
      </c>
      <c r="R54" s="724">
        <f ca="1">SUM(C54:Q54)</f>
        <v>3605.1578303359702</v>
      </c>
    </row>
    <row r="55" spans="1:18" ht="15" thickBot="1">
      <c r="A55" s="827" t="s">
        <v>714</v>
      </c>
      <c r="B55" s="837"/>
      <c r="C55" s="695">
        <f ca="1">C25*'EF ele_warmte'!B12</f>
        <v>195.51176448106793</v>
      </c>
      <c r="D55" s="695"/>
      <c r="E55" s="695">
        <f>E25*EF_CO2_aardgas</f>
        <v>501.82298399737562</v>
      </c>
      <c r="F55" s="695"/>
      <c r="G55" s="695"/>
      <c r="H55" s="695"/>
      <c r="I55" s="695"/>
      <c r="J55" s="695"/>
      <c r="K55" s="695"/>
      <c r="L55" s="695"/>
      <c r="M55" s="695"/>
      <c r="N55" s="695"/>
      <c r="O55" s="695"/>
      <c r="P55" s="695"/>
      <c r="Q55" s="696"/>
      <c r="R55" s="724">
        <f ca="1">SUM(C55:Q55)</f>
        <v>697.33474847844354</v>
      </c>
    </row>
    <row r="56" spans="1:18" ht="15.75" thickBot="1">
      <c r="A56" s="825" t="s">
        <v>715</v>
      </c>
      <c r="B56" s="838"/>
      <c r="C56" s="725">
        <f ca="1">SUM(C54:C55)</f>
        <v>286.74980188794808</v>
      </c>
      <c r="D56" s="725">
        <f t="shared" ref="D56:Q56" ca="1" si="7">SUM(D54:D55)</f>
        <v>3076.8504201680662</v>
      </c>
      <c r="E56" s="725">
        <f t="shared" si="7"/>
        <v>501.82298399737562</v>
      </c>
      <c r="F56" s="725">
        <f t="shared" si="7"/>
        <v>3.8237446184434325</v>
      </c>
      <c r="G56" s="725">
        <f t="shared" si="7"/>
        <v>391.27207318279471</v>
      </c>
      <c r="H56" s="725">
        <f t="shared" si="7"/>
        <v>0</v>
      </c>
      <c r="I56" s="725">
        <f t="shared" si="7"/>
        <v>0</v>
      </c>
      <c r="J56" s="725">
        <f t="shared" si="7"/>
        <v>0</v>
      </c>
      <c r="K56" s="725">
        <f t="shared" si="7"/>
        <v>41.973554959785254</v>
      </c>
      <c r="L56" s="725">
        <f t="shared" si="7"/>
        <v>0</v>
      </c>
      <c r="M56" s="725">
        <f t="shared" si="7"/>
        <v>0</v>
      </c>
      <c r="N56" s="725">
        <f t="shared" si="7"/>
        <v>0</v>
      </c>
      <c r="O56" s="725">
        <f t="shared" si="7"/>
        <v>0</v>
      </c>
      <c r="P56" s="725">
        <f t="shared" si="7"/>
        <v>0</v>
      </c>
      <c r="Q56" s="726">
        <f t="shared" si="7"/>
        <v>0</v>
      </c>
      <c r="R56" s="727">
        <f ca="1">SUM(R54:R55)</f>
        <v>4302.4925788144137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13759.665066916221</v>
      </c>
      <c r="D61" s="733">
        <f t="shared" ref="D61:Q61" ca="1" si="8">D46+D52+D56</f>
        <v>3076.8504201680662</v>
      </c>
      <c r="E61" s="733">
        <f t="shared" ca="1" si="8"/>
        <v>23790.851664921262</v>
      </c>
      <c r="F61" s="733">
        <f t="shared" si="8"/>
        <v>2152.2102996431263</v>
      </c>
      <c r="G61" s="733">
        <f t="shared" ca="1" si="8"/>
        <v>4331.1107995612438</v>
      </c>
      <c r="H61" s="733">
        <f t="shared" si="8"/>
        <v>20704.388180641257</v>
      </c>
      <c r="I61" s="733">
        <f t="shared" si="8"/>
        <v>5383.4685452311705</v>
      </c>
      <c r="J61" s="733">
        <f t="shared" si="8"/>
        <v>0</v>
      </c>
      <c r="K61" s="733">
        <f t="shared" si="8"/>
        <v>42.126818043630436</v>
      </c>
      <c r="L61" s="733">
        <f t="shared" si="8"/>
        <v>0</v>
      </c>
      <c r="M61" s="733">
        <f t="shared" ca="1" si="8"/>
        <v>0</v>
      </c>
      <c r="N61" s="733">
        <f t="shared" si="8"/>
        <v>0</v>
      </c>
      <c r="O61" s="733">
        <f t="shared" ca="1" si="8"/>
        <v>0</v>
      </c>
      <c r="P61" s="733">
        <f t="shared" si="8"/>
        <v>0</v>
      </c>
      <c r="Q61" s="733">
        <f t="shared" si="8"/>
        <v>0</v>
      </c>
      <c r="R61" s="733">
        <f ca="1">R46+R52+R56</f>
        <v>73240.671795125978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0.20199513926551124</v>
      </c>
      <c r="D63" s="779">
        <f t="shared" ca="1" si="9"/>
        <v>0.23764705882352938</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6540.5451012745807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9062.9999999999982</v>
      </c>
      <c r="D76" s="956">
        <f>'lokale energieproductie'!C8</f>
        <v>10662.352941176468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2153.7952941176468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6540.5451012745807</v>
      </c>
      <c r="C78" s="751">
        <f>SUM(C72:C77)</f>
        <v>9062.9999999999982</v>
      </c>
      <c r="D78" s="752">
        <f t="shared" ref="D78:H78" si="10">SUM(D76:D77)</f>
        <v>10662.352941176468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2153.7952941176468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12947.142857142855</v>
      </c>
      <c r="D87" s="775">
        <f>'lokale energieproductie'!C17</f>
        <v>15231.932773109238</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3076.8504201680662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12947.142857142855</v>
      </c>
      <c r="D90" s="751">
        <f t="shared" ref="D90:H90" si="12">SUM(D87:D89)</f>
        <v>15231.932773109238</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3076.8504201680662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35542.803533614548</v>
      </c>
      <c r="C4" s="455">
        <f>huishoudens!C8</f>
        <v>0</v>
      </c>
      <c r="D4" s="455">
        <f>huishoudens!D8</f>
        <v>85895.172974601432</v>
      </c>
      <c r="E4" s="455">
        <f>huishoudens!E8</f>
        <v>9186.993522220142</v>
      </c>
      <c r="F4" s="455">
        <f>huishoudens!F8</f>
        <v>8945.2111391756607</v>
      </c>
      <c r="G4" s="455">
        <f>huishoudens!G8</f>
        <v>0</v>
      </c>
      <c r="H4" s="455">
        <f>huishoudens!H8</f>
        <v>0</v>
      </c>
      <c r="I4" s="455">
        <f>huishoudens!I8</f>
        <v>0</v>
      </c>
      <c r="J4" s="455">
        <f>huishoudens!J8</f>
        <v>0</v>
      </c>
      <c r="K4" s="455">
        <f>huishoudens!K8</f>
        <v>0</v>
      </c>
      <c r="L4" s="455">
        <f>huishoudens!L8</f>
        <v>0</v>
      </c>
      <c r="M4" s="455">
        <f>huishoudens!M8</f>
        <v>0</v>
      </c>
      <c r="N4" s="455">
        <f>huishoudens!N8</f>
        <v>13031.084451118451</v>
      </c>
      <c r="O4" s="455">
        <f>huishoudens!O8</f>
        <v>557.49225964775599</v>
      </c>
      <c r="P4" s="456">
        <f>huishoudens!P8</f>
        <v>948.05633769165206</v>
      </c>
      <c r="Q4" s="457">
        <f>SUM(B4:P4)</f>
        <v>154106.81421806963</v>
      </c>
    </row>
    <row r="5" spans="1:17">
      <c r="A5" s="454" t="s">
        <v>155</v>
      </c>
      <c r="B5" s="455">
        <f ca="1">tertiair!B16</f>
        <v>20647.637281497719</v>
      </c>
      <c r="C5" s="455">
        <f ca="1">tertiair!C16</f>
        <v>0</v>
      </c>
      <c r="D5" s="455">
        <f ca="1">tertiair!D16</f>
        <v>22776.107641823535</v>
      </c>
      <c r="E5" s="455">
        <f>tertiair!E16</f>
        <v>69.650280402254154</v>
      </c>
      <c r="F5" s="455">
        <f ca="1">tertiair!F16</f>
        <v>3390.0180737964015</v>
      </c>
      <c r="G5" s="455">
        <f>tertiair!G16</f>
        <v>0</v>
      </c>
      <c r="H5" s="455">
        <f>tertiair!H16</f>
        <v>0</v>
      </c>
      <c r="I5" s="455">
        <f>tertiair!I16</f>
        <v>0</v>
      </c>
      <c r="J5" s="455">
        <f>tertiair!J16</f>
        <v>2.7437683681951555E-2</v>
      </c>
      <c r="K5" s="455">
        <f>tertiair!K16</f>
        <v>0</v>
      </c>
      <c r="L5" s="455">
        <f ca="1">tertiair!L16</f>
        <v>0</v>
      </c>
      <c r="M5" s="455">
        <f>tertiair!M16</f>
        <v>0</v>
      </c>
      <c r="N5" s="455">
        <f ca="1">tertiair!N16</f>
        <v>1018.3312508329324</v>
      </c>
      <c r="O5" s="455">
        <f>tertiair!O16</f>
        <v>0</v>
      </c>
      <c r="P5" s="456">
        <f>tertiair!P16</f>
        <v>210.15655322598008</v>
      </c>
      <c r="Q5" s="454">
        <f t="shared" ref="Q5:Q14" ca="1" si="0">SUM(B5:P5)</f>
        <v>48111.928519262503</v>
      </c>
    </row>
    <row r="6" spans="1:17">
      <c r="A6" s="454" t="s">
        <v>193</v>
      </c>
      <c r="B6" s="455">
        <f>'openbare verlichting'!B8</f>
        <v>1019.551</v>
      </c>
      <c r="C6" s="455"/>
      <c r="D6" s="455"/>
      <c r="E6" s="455"/>
      <c r="F6" s="455"/>
      <c r="G6" s="455"/>
      <c r="H6" s="455"/>
      <c r="I6" s="455"/>
      <c r="J6" s="455"/>
      <c r="K6" s="455"/>
      <c r="L6" s="455"/>
      <c r="M6" s="455"/>
      <c r="N6" s="455"/>
      <c r="O6" s="455"/>
      <c r="P6" s="456"/>
      <c r="Q6" s="454">
        <f t="shared" si="0"/>
        <v>1019.551</v>
      </c>
    </row>
    <row r="7" spans="1:17">
      <c r="A7" s="454" t="s">
        <v>111</v>
      </c>
      <c r="B7" s="455">
        <f>landbouw!B8</f>
        <v>451.68432140811495</v>
      </c>
      <c r="C7" s="455">
        <f>landbouw!C8</f>
        <v>12947.142857142855</v>
      </c>
      <c r="D7" s="455">
        <f>landbouw!D8</f>
        <v>0</v>
      </c>
      <c r="E7" s="455">
        <f>landbouw!E8</f>
        <v>16.844689949090011</v>
      </c>
      <c r="F7" s="455">
        <f>landbouw!F8</f>
        <v>1465.4384763400551</v>
      </c>
      <c r="G7" s="455">
        <f>landbouw!G8</f>
        <v>0</v>
      </c>
      <c r="H7" s="455">
        <f>landbouw!H8</f>
        <v>0</v>
      </c>
      <c r="I7" s="455">
        <f>landbouw!I8</f>
        <v>0</v>
      </c>
      <c r="J7" s="455">
        <f>landbouw!J8</f>
        <v>118.56936429317868</v>
      </c>
      <c r="K7" s="455">
        <f>landbouw!K8</f>
        <v>0</v>
      </c>
      <c r="L7" s="455">
        <f>landbouw!L8</f>
        <v>0</v>
      </c>
      <c r="M7" s="455">
        <f>landbouw!M8</f>
        <v>0</v>
      </c>
      <c r="N7" s="455">
        <f>landbouw!N8</f>
        <v>0</v>
      </c>
      <c r="O7" s="455">
        <f>landbouw!O8</f>
        <v>0</v>
      </c>
      <c r="P7" s="456">
        <f>landbouw!P8</f>
        <v>0</v>
      </c>
      <c r="Q7" s="454">
        <f t="shared" si="0"/>
        <v>14999.679709133294</v>
      </c>
    </row>
    <row r="8" spans="1:17">
      <c r="A8" s="454" t="s">
        <v>626</v>
      </c>
      <c r="B8" s="455">
        <f>industrie!B18</f>
        <v>9411.8971512197677</v>
      </c>
      <c r="C8" s="455">
        <f>industrie!C18</f>
        <v>0</v>
      </c>
      <c r="D8" s="455">
        <f>industrie!D18</f>
        <v>6282.2481226623513</v>
      </c>
      <c r="E8" s="455">
        <f>industrie!E18</f>
        <v>23.480964907835613</v>
      </c>
      <c r="F8" s="455">
        <f>industrie!F18</f>
        <v>2420.7210730895417</v>
      </c>
      <c r="G8" s="455">
        <f>industrie!G18</f>
        <v>0</v>
      </c>
      <c r="H8" s="455">
        <f>industrie!H18</f>
        <v>0</v>
      </c>
      <c r="I8" s="455">
        <f>industrie!I18</f>
        <v>0</v>
      </c>
      <c r="J8" s="455">
        <f>industrie!J18</f>
        <v>0.40550888085247094</v>
      </c>
      <c r="K8" s="455">
        <f>industrie!K18</f>
        <v>0</v>
      </c>
      <c r="L8" s="455">
        <f>industrie!L18</f>
        <v>0</v>
      </c>
      <c r="M8" s="455">
        <f>industrie!M18</f>
        <v>0</v>
      </c>
      <c r="N8" s="455">
        <f>industrie!N18</f>
        <v>311.11226442004852</v>
      </c>
      <c r="O8" s="455">
        <f>industrie!O18</f>
        <v>0</v>
      </c>
      <c r="P8" s="456">
        <f>industrie!P18</f>
        <v>0</v>
      </c>
      <c r="Q8" s="454">
        <f t="shared" si="0"/>
        <v>18449.865085180398</v>
      </c>
    </row>
    <row r="9" spans="1:17" s="460" customFormat="1">
      <c r="A9" s="458" t="s">
        <v>552</v>
      </c>
      <c r="B9" s="459">
        <f>transport!B14</f>
        <v>77.316341370357492</v>
      </c>
      <c r="C9" s="459">
        <f>transport!C14</f>
        <v>0</v>
      </c>
      <c r="D9" s="459">
        <f>transport!D14</f>
        <v>338.69245360517539</v>
      </c>
      <c r="E9" s="459">
        <f>transport!E14</f>
        <v>184.13318412035215</v>
      </c>
      <c r="F9" s="459">
        <f>transport!F14</f>
        <v>0</v>
      </c>
      <c r="G9" s="459">
        <f>transport!G14</f>
        <v>73128.151078635012</v>
      </c>
      <c r="H9" s="459">
        <f>transport!H14</f>
        <v>21620.355603338034</v>
      </c>
      <c r="I9" s="459">
        <f>transport!I14</f>
        <v>0</v>
      </c>
      <c r="J9" s="459">
        <f>transport!J14</f>
        <v>0</v>
      </c>
      <c r="K9" s="459">
        <f>transport!K14</f>
        <v>0</v>
      </c>
      <c r="L9" s="459">
        <f>transport!L14</f>
        <v>0</v>
      </c>
      <c r="M9" s="459">
        <f>transport!M14</f>
        <v>5620.1953030295745</v>
      </c>
      <c r="N9" s="459">
        <f>transport!N14</f>
        <v>0</v>
      </c>
      <c r="O9" s="459">
        <f>transport!O14</f>
        <v>0</v>
      </c>
      <c r="P9" s="459">
        <f>transport!P14</f>
        <v>0</v>
      </c>
      <c r="Q9" s="458">
        <f>SUM(B9:P9)</f>
        <v>100968.8439640985</v>
      </c>
    </row>
    <row r="10" spans="1:17">
      <c r="A10" s="454" t="s">
        <v>542</v>
      </c>
      <c r="B10" s="455">
        <f>transport!B54</f>
        <v>0</v>
      </c>
      <c r="C10" s="455">
        <f>transport!C54</f>
        <v>0</v>
      </c>
      <c r="D10" s="455">
        <f>transport!D54</f>
        <v>0</v>
      </c>
      <c r="E10" s="455">
        <f>transport!E54</f>
        <v>0</v>
      </c>
      <c r="F10" s="455">
        <f>transport!F54</f>
        <v>0</v>
      </c>
      <c r="G10" s="455">
        <f>transport!G54</f>
        <v>4416.3739424932883</v>
      </c>
      <c r="H10" s="455">
        <f>transport!H54</f>
        <v>0</v>
      </c>
      <c r="I10" s="455">
        <f>transport!I54</f>
        <v>0</v>
      </c>
      <c r="J10" s="455">
        <f>transport!J54</f>
        <v>0</v>
      </c>
      <c r="K10" s="455">
        <f>transport!K54</f>
        <v>0</v>
      </c>
      <c r="L10" s="455">
        <f>transport!L54</f>
        <v>0</v>
      </c>
      <c r="M10" s="455">
        <f>transport!M54</f>
        <v>239.65760396766402</v>
      </c>
      <c r="N10" s="455">
        <f>transport!N54</f>
        <v>0</v>
      </c>
      <c r="O10" s="455">
        <f>transport!O54</f>
        <v>0</v>
      </c>
      <c r="P10" s="456">
        <f>transport!P54</f>
        <v>0</v>
      </c>
      <c r="Q10" s="454">
        <f t="shared" si="0"/>
        <v>4656.0315464609521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967.903312881597</v>
      </c>
      <c r="C14" s="462"/>
      <c r="D14" s="462">
        <f>'SEAP template'!E25</f>
        <v>2484.27219800681</v>
      </c>
      <c r="E14" s="462"/>
      <c r="F14" s="462"/>
      <c r="G14" s="462"/>
      <c r="H14" s="462"/>
      <c r="I14" s="462"/>
      <c r="J14" s="462"/>
      <c r="K14" s="462"/>
      <c r="L14" s="462"/>
      <c r="M14" s="462"/>
      <c r="N14" s="462"/>
      <c r="O14" s="462"/>
      <c r="P14" s="463"/>
      <c r="Q14" s="454">
        <f t="shared" si="0"/>
        <v>3452.1755108884072</v>
      </c>
    </row>
    <row r="15" spans="1:17" s="466" customFormat="1">
      <c r="A15" s="464" t="s">
        <v>546</v>
      </c>
      <c r="B15" s="465">
        <f ca="1">SUM(B4:B14)</f>
        <v>68118.792941992098</v>
      </c>
      <c r="C15" s="465">
        <f t="shared" ref="C15:Q15" ca="1" si="1">SUM(C4:C14)</f>
        <v>12947.142857142855</v>
      </c>
      <c r="D15" s="465">
        <f t="shared" ca="1" si="1"/>
        <v>117776.49339069931</v>
      </c>
      <c r="E15" s="465">
        <f t="shared" si="1"/>
        <v>9481.1026415996748</v>
      </c>
      <c r="F15" s="465">
        <f t="shared" ca="1" si="1"/>
        <v>16221.388762401661</v>
      </c>
      <c r="G15" s="465">
        <f t="shared" si="1"/>
        <v>77544.525021128298</v>
      </c>
      <c r="H15" s="465">
        <f t="shared" si="1"/>
        <v>21620.355603338034</v>
      </c>
      <c r="I15" s="465">
        <f t="shared" si="1"/>
        <v>0</v>
      </c>
      <c r="J15" s="465">
        <f t="shared" si="1"/>
        <v>119.0023108577131</v>
      </c>
      <c r="K15" s="465">
        <f t="shared" si="1"/>
        <v>0</v>
      </c>
      <c r="L15" s="465">
        <f t="shared" ca="1" si="1"/>
        <v>0</v>
      </c>
      <c r="M15" s="465">
        <f t="shared" si="1"/>
        <v>5859.8529069972383</v>
      </c>
      <c r="N15" s="465">
        <f t="shared" ca="1" si="1"/>
        <v>14360.527966371432</v>
      </c>
      <c r="O15" s="465">
        <f t="shared" si="1"/>
        <v>557.49225964775599</v>
      </c>
      <c r="P15" s="465">
        <f t="shared" si="1"/>
        <v>1158.2128909176322</v>
      </c>
      <c r="Q15" s="465">
        <f t="shared" ca="1" si="1"/>
        <v>345764.88955309364</v>
      </c>
    </row>
    <row r="17" spans="1:17">
      <c r="A17" s="467" t="s">
        <v>547</v>
      </c>
      <c r="B17" s="784">
        <f ca="1">huishoudens!B10</f>
        <v>0.20199513926551127</v>
      </c>
      <c r="C17" s="784">
        <f ca="1">huishoudens!C10</f>
        <v>0.23764705882352938</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7179.4735496591766</v>
      </c>
      <c r="C22" s="455">
        <f t="shared" ref="C22:C32" ca="1" si="3">C4*$C$17</f>
        <v>0</v>
      </c>
      <c r="D22" s="455">
        <f t="shared" ref="D22:D32" si="4">D4*$D$17</f>
        <v>17350.82494086949</v>
      </c>
      <c r="E22" s="455">
        <f t="shared" ref="E22:E32" si="5">E4*$E$17</f>
        <v>2085.4475295439725</v>
      </c>
      <c r="F22" s="455">
        <f t="shared" ref="F22:F32" si="6">F4*$F$17</f>
        <v>2388.3713741599017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29004.11739423254</v>
      </c>
    </row>
    <row r="23" spans="1:17">
      <c r="A23" s="454" t="s">
        <v>155</v>
      </c>
      <c r="B23" s="455">
        <f t="shared" ca="1" si="2"/>
        <v>4170.7223681798941</v>
      </c>
      <c r="C23" s="455">
        <f t="shared" ca="1" si="3"/>
        <v>0</v>
      </c>
      <c r="D23" s="455">
        <f t="shared" ca="1" si="4"/>
        <v>4600.773743648354</v>
      </c>
      <c r="E23" s="455">
        <f t="shared" si="5"/>
        <v>15.810613651311693</v>
      </c>
      <c r="F23" s="455">
        <f t="shared" ca="1" si="6"/>
        <v>905.13482570363919</v>
      </c>
      <c r="G23" s="455">
        <f t="shared" si="7"/>
        <v>0</v>
      </c>
      <c r="H23" s="455">
        <f t="shared" si="8"/>
        <v>0</v>
      </c>
      <c r="I23" s="455">
        <f t="shared" si="9"/>
        <v>0</v>
      </c>
      <c r="J23" s="455">
        <f t="shared" si="10"/>
        <v>9.7129400234108494E-3</v>
      </c>
      <c r="K23" s="455">
        <f t="shared" si="11"/>
        <v>0</v>
      </c>
      <c r="L23" s="455">
        <f t="shared" ca="1" si="12"/>
        <v>0</v>
      </c>
      <c r="M23" s="455">
        <f t="shared" si="13"/>
        <v>0</v>
      </c>
      <c r="N23" s="455">
        <f t="shared" ca="1" si="14"/>
        <v>0</v>
      </c>
      <c r="O23" s="455">
        <f t="shared" si="15"/>
        <v>0</v>
      </c>
      <c r="P23" s="456">
        <f t="shared" si="16"/>
        <v>0</v>
      </c>
      <c r="Q23" s="454">
        <f t="shared" ref="Q23:Q31" ca="1" si="17">SUM(B23:P23)</f>
        <v>9692.4512641232232</v>
      </c>
    </row>
    <row r="24" spans="1:17">
      <c r="A24" s="454" t="s">
        <v>193</v>
      </c>
      <c r="B24" s="455">
        <f t="shared" ca="1" si="2"/>
        <v>205.9443462332913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205.9443462332913</v>
      </c>
    </row>
    <row r="25" spans="1:17">
      <c r="A25" s="454" t="s">
        <v>111</v>
      </c>
      <c r="B25" s="455">
        <f t="shared" ca="1" si="2"/>
        <v>91.238037406880139</v>
      </c>
      <c r="C25" s="455">
        <f t="shared" ca="1" si="3"/>
        <v>3076.8504201680662</v>
      </c>
      <c r="D25" s="455">
        <f t="shared" si="4"/>
        <v>0</v>
      </c>
      <c r="E25" s="455">
        <f t="shared" si="5"/>
        <v>3.8237446184434325</v>
      </c>
      <c r="F25" s="455">
        <f t="shared" si="6"/>
        <v>391.27207318279471</v>
      </c>
      <c r="G25" s="455">
        <f t="shared" si="7"/>
        <v>0</v>
      </c>
      <c r="H25" s="455">
        <f t="shared" si="8"/>
        <v>0</v>
      </c>
      <c r="I25" s="455">
        <f t="shared" si="9"/>
        <v>0</v>
      </c>
      <c r="J25" s="455">
        <f t="shared" si="10"/>
        <v>41.973554959785254</v>
      </c>
      <c r="K25" s="455">
        <f t="shared" si="11"/>
        <v>0</v>
      </c>
      <c r="L25" s="455">
        <f t="shared" si="12"/>
        <v>0</v>
      </c>
      <c r="M25" s="455">
        <f t="shared" si="13"/>
        <v>0</v>
      </c>
      <c r="N25" s="455">
        <f t="shared" si="14"/>
        <v>0</v>
      </c>
      <c r="O25" s="455">
        <f t="shared" si="15"/>
        <v>0</v>
      </c>
      <c r="P25" s="456">
        <f t="shared" si="16"/>
        <v>0</v>
      </c>
      <c r="Q25" s="454">
        <f t="shared" ca="1" si="17"/>
        <v>3605.1578303359702</v>
      </c>
    </row>
    <row r="26" spans="1:17">
      <c r="A26" s="454" t="s">
        <v>626</v>
      </c>
      <c r="B26" s="455">
        <f t="shared" ca="1" si="2"/>
        <v>1901.1574758133058</v>
      </c>
      <c r="C26" s="455">
        <f t="shared" ca="1" si="3"/>
        <v>0</v>
      </c>
      <c r="D26" s="455">
        <f t="shared" si="4"/>
        <v>1269.0141207777951</v>
      </c>
      <c r="E26" s="455">
        <f t="shared" si="5"/>
        <v>5.3301790340786841</v>
      </c>
      <c r="F26" s="455">
        <f t="shared" si="6"/>
        <v>646.33252651490773</v>
      </c>
      <c r="G26" s="455">
        <f t="shared" si="7"/>
        <v>0</v>
      </c>
      <c r="H26" s="455">
        <f t="shared" si="8"/>
        <v>0</v>
      </c>
      <c r="I26" s="455">
        <f t="shared" si="9"/>
        <v>0</v>
      </c>
      <c r="J26" s="455">
        <f t="shared" si="10"/>
        <v>0.1435501438217747</v>
      </c>
      <c r="K26" s="455">
        <f t="shared" si="11"/>
        <v>0</v>
      </c>
      <c r="L26" s="455">
        <f t="shared" si="12"/>
        <v>0</v>
      </c>
      <c r="M26" s="455">
        <f t="shared" si="13"/>
        <v>0</v>
      </c>
      <c r="N26" s="455">
        <f t="shared" si="14"/>
        <v>0</v>
      </c>
      <c r="O26" s="455">
        <f t="shared" si="15"/>
        <v>0</v>
      </c>
      <c r="P26" s="456">
        <f t="shared" si="16"/>
        <v>0</v>
      </c>
      <c r="Q26" s="454">
        <f t="shared" ca="1" si="17"/>
        <v>3821.9778522839092</v>
      </c>
    </row>
    <row r="27" spans="1:17" s="460" customFormat="1">
      <c r="A27" s="458" t="s">
        <v>552</v>
      </c>
      <c r="B27" s="778">
        <f t="shared" ca="1" si="2"/>
        <v>15.617525142605173</v>
      </c>
      <c r="C27" s="459">
        <f t="shared" ca="1" si="3"/>
        <v>0</v>
      </c>
      <c r="D27" s="459">
        <f t="shared" si="4"/>
        <v>68.415875628245431</v>
      </c>
      <c r="E27" s="459">
        <f t="shared" si="5"/>
        <v>41.79823279531994</v>
      </c>
      <c r="F27" s="459">
        <f t="shared" si="6"/>
        <v>0</v>
      </c>
      <c r="G27" s="459">
        <f t="shared" si="7"/>
        <v>19525.216337995549</v>
      </c>
      <c r="H27" s="459">
        <f t="shared" si="8"/>
        <v>5383.4685452311705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25034.51651679289</v>
      </c>
    </row>
    <row r="28" spans="1:17" ht="16.5" customHeight="1">
      <c r="A28" s="454" t="s">
        <v>542</v>
      </c>
      <c r="B28" s="455">
        <f t="shared" ca="1" si="2"/>
        <v>0</v>
      </c>
      <c r="C28" s="455">
        <f t="shared" ca="1" si="3"/>
        <v>0</v>
      </c>
      <c r="D28" s="455">
        <f t="shared" si="4"/>
        <v>0</v>
      </c>
      <c r="E28" s="455">
        <f t="shared" si="5"/>
        <v>0</v>
      </c>
      <c r="F28" s="455">
        <f t="shared" si="6"/>
        <v>0</v>
      </c>
      <c r="G28" s="455">
        <f t="shared" si="7"/>
        <v>1179.171842645708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1179.171842645708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195.51176448106793</v>
      </c>
      <c r="C32" s="455">
        <f t="shared" ca="1" si="3"/>
        <v>0</v>
      </c>
      <c r="D32" s="455">
        <f t="shared" si="4"/>
        <v>501.82298399737562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697.33474847844354</v>
      </c>
    </row>
    <row r="33" spans="1:17" s="466" customFormat="1">
      <c r="A33" s="464" t="s">
        <v>546</v>
      </c>
      <c r="B33" s="465">
        <f ca="1">SUM(B22:B32)</f>
        <v>13759.665066916221</v>
      </c>
      <c r="C33" s="465">
        <f t="shared" ref="C33:Q33" ca="1" si="19">SUM(C22:C32)</f>
        <v>3076.8504201680662</v>
      </c>
      <c r="D33" s="465">
        <f t="shared" ca="1" si="19"/>
        <v>23790.851664921262</v>
      </c>
      <c r="E33" s="465">
        <f t="shared" si="19"/>
        <v>2152.2102996431263</v>
      </c>
      <c r="F33" s="465">
        <f t="shared" ca="1" si="19"/>
        <v>4331.1107995612438</v>
      </c>
      <c r="G33" s="465">
        <f t="shared" si="19"/>
        <v>20704.388180641257</v>
      </c>
      <c r="H33" s="465">
        <f t="shared" si="19"/>
        <v>5383.4685452311705</v>
      </c>
      <c r="I33" s="465">
        <f t="shared" si="19"/>
        <v>0</v>
      </c>
      <c r="J33" s="465">
        <f t="shared" si="19"/>
        <v>42.126818043630443</v>
      </c>
      <c r="K33" s="465">
        <f t="shared" si="19"/>
        <v>0</v>
      </c>
      <c r="L33" s="465">
        <f t="shared" ca="1" si="19"/>
        <v>0</v>
      </c>
      <c r="M33" s="465">
        <f t="shared" si="19"/>
        <v>0</v>
      </c>
      <c r="N33" s="465">
        <f t="shared" ca="1" si="19"/>
        <v>0</v>
      </c>
      <c r="O33" s="465">
        <f t="shared" si="19"/>
        <v>0</v>
      </c>
      <c r="P33" s="465">
        <f t="shared" si="19"/>
        <v>0</v>
      </c>
      <c r="Q33" s="465">
        <f t="shared" ca="1" si="19"/>
        <v>73240.671795125978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6540.5451012745807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9062.9999999999982</v>
      </c>
      <c r="D8" s="1026">
        <f>'SEAP template'!D76</f>
        <v>10662.352941176468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2153.7952941176468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6540.5451012745807</v>
      </c>
      <c r="C10" s="1028">
        <f>SUM(C4:C9)</f>
        <v>9062.9999999999982</v>
      </c>
      <c r="D10" s="1028">
        <f t="shared" ref="D10:H10" si="0">SUM(D8:D9)</f>
        <v>10662.352941176468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2153.7952941176468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0.20199513926551127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12947.142857142855</v>
      </c>
      <c r="D17" s="1027">
        <f>'SEAP template'!D87</f>
        <v>15231.932773109238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3076.8504201680662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12947.142857142855</v>
      </c>
      <c r="D20" s="1028">
        <f t="shared" ref="D20:H20" si="2">SUM(D17:D19)</f>
        <v>15231.932773109238</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3076.8504201680662</v>
      </c>
    </row>
    <row r="21" spans="1:16">
      <c r="B21" s="890"/>
    </row>
    <row r="22" spans="1:16">
      <c r="A22" s="467" t="s">
        <v>773</v>
      </c>
      <c r="B22" s="784" t="s">
        <v>771</v>
      </c>
      <c r="C22" s="784">
        <f ca="1">'EF ele_warmte'!B22</f>
        <v>0.23764705882352938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0.20199513926551127</v>
      </c>
      <c r="C17" s="504">
        <f ca="1">'EF ele_warmte'!B22</f>
        <v>0.23764705882352938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0.20199513926551127</v>
      </c>
      <c r="C17" s="504">
        <f ca="1">'EF ele_warmte'!B22</f>
        <v>0.23764705882352938</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0.20199513926551127</v>
      </c>
      <c r="C29" s="505">
        <f ca="1">'EF ele_warmte'!B22</f>
        <v>0.23764705882352938</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8761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1526.84</v>
      </c>
      <c r="C14" s="332"/>
      <c r="D14" s="332"/>
      <c r="E14" s="332"/>
      <c r="F14" s="332"/>
    </row>
    <row r="15" spans="1:6">
      <c r="A15" s="1310" t="s">
        <v>183</v>
      </c>
      <c r="B15" s="1311">
        <v>9</v>
      </c>
      <c r="C15" s="332"/>
      <c r="D15" s="332"/>
      <c r="E15" s="332"/>
      <c r="F15" s="332"/>
    </row>
    <row r="16" spans="1:6">
      <c r="A16" s="1310" t="s">
        <v>6</v>
      </c>
      <c r="B16" s="1311">
        <v>83</v>
      </c>
      <c r="C16" s="332"/>
      <c r="D16" s="332"/>
      <c r="E16" s="332"/>
      <c r="F16" s="332"/>
    </row>
    <row r="17" spans="1:6">
      <c r="A17" s="1310" t="s">
        <v>7</v>
      </c>
      <c r="B17" s="1311">
        <v>407</v>
      </c>
      <c r="C17" s="332"/>
      <c r="D17" s="332"/>
      <c r="E17" s="332"/>
      <c r="F17" s="332"/>
    </row>
    <row r="18" spans="1:6">
      <c r="A18" s="1310" t="s">
        <v>8</v>
      </c>
      <c r="B18" s="1311">
        <v>321</v>
      </c>
      <c r="C18" s="332"/>
      <c r="D18" s="332"/>
      <c r="E18" s="332"/>
      <c r="F18" s="332"/>
    </row>
    <row r="19" spans="1:6">
      <c r="A19" s="1310" t="s">
        <v>9</v>
      </c>
      <c r="B19" s="1311">
        <v>336</v>
      </c>
      <c r="C19" s="332"/>
      <c r="D19" s="332"/>
      <c r="E19" s="332"/>
      <c r="F19" s="332"/>
    </row>
    <row r="20" spans="1:6">
      <c r="A20" s="1310" t="s">
        <v>10</v>
      </c>
      <c r="B20" s="1311">
        <v>189</v>
      </c>
      <c r="C20" s="332"/>
      <c r="D20" s="332"/>
      <c r="E20" s="332"/>
      <c r="F20" s="332"/>
    </row>
    <row r="21" spans="1:6">
      <c r="A21" s="1310" t="s">
        <v>11</v>
      </c>
      <c r="B21" s="1311">
        <v>0</v>
      </c>
      <c r="C21" s="332"/>
      <c r="D21" s="332"/>
      <c r="E21" s="332"/>
      <c r="F21" s="332"/>
    </row>
    <row r="22" spans="1:6">
      <c r="A22" s="1310" t="s">
        <v>12</v>
      </c>
      <c r="B22" s="1311">
        <v>7</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249</v>
      </c>
      <c r="C26" s="332"/>
      <c r="D26" s="332"/>
      <c r="E26" s="332"/>
      <c r="F26" s="332"/>
    </row>
    <row r="27" spans="1:6">
      <c r="A27" s="1310" t="s">
        <v>17</v>
      </c>
      <c r="B27" s="1311">
        <v>35</v>
      </c>
      <c r="C27" s="332"/>
      <c r="D27" s="332"/>
      <c r="E27" s="332"/>
      <c r="F27" s="332"/>
    </row>
    <row r="28" spans="1:6" s="43" customFormat="1">
      <c r="A28" s="1312" t="s">
        <v>18</v>
      </c>
      <c r="B28" s="1313">
        <v>0</v>
      </c>
      <c r="C28" s="338"/>
      <c r="D28" s="338"/>
      <c r="E28" s="338"/>
      <c r="F28" s="338"/>
    </row>
    <row r="29" spans="1:6">
      <c r="A29" s="1312" t="s">
        <v>699</v>
      </c>
      <c r="B29" s="1313">
        <v>92</v>
      </c>
      <c r="C29" s="338"/>
      <c r="D29" s="338"/>
      <c r="E29" s="338"/>
      <c r="F29" s="338"/>
    </row>
    <row r="30" spans="1:6">
      <c r="A30" s="1305" t="s">
        <v>700</v>
      </c>
      <c r="B30" s="1314">
        <v>76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7469.6425943572003</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4265</v>
      </c>
    </row>
    <row r="39" spans="1:6">
      <c r="A39" s="1310" t="s">
        <v>29</v>
      </c>
      <c r="B39" s="1310" t="s">
        <v>30</v>
      </c>
      <c r="C39" s="1311">
        <v>6082</v>
      </c>
      <c r="D39" s="1311">
        <v>95122007.723811105</v>
      </c>
      <c r="E39" s="1311">
        <v>8545</v>
      </c>
      <c r="F39" s="1311">
        <v>29652362.892953999</v>
      </c>
    </row>
    <row r="40" spans="1:6">
      <c r="A40" s="1310" t="s">
        <v>29</v>
      </c>
      <c r="B40" s="1310" t="s">
        <v>28</v>
      </c>
      <c r="C40" s="1311">
        <v>0</v>
      </c>
      <c r="D40" s="1311">
        <v>0</v>
      </c>
      <c r="E40" s="1311">
        <v>0</v>
      </c>
      <c r="F40" s="1311">
        <v>0</v>
      </c>
    </row>
    <row r="41" spans="1:6">
      <c r="A41" s="1310" t="s">
        <v>31</v>
      </c>
      <c r="B41" s="1310" t="s">
        <v>32</v>
      </c>
      <c r="C41" s="1311">
        <v>103</v>
      </c>
      <c r="D41" s="1311">
        <v>1970806.3206255001</v>
      </c>
      <c r="E41" s="1311">
        <v>182</v>
      </c>
      <c r="F41" s="1311">
        <v>3798222.80058813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124188.811255052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112815.165368425</v>
      </c>
      <c r="E47" s="1311">
        <v>7</v>
      </c>
      <c r="F47" s="1311">
        <v>671078.04571553494</v>
      </c>
    </row>
    <row r="48" spans="1:6">
      <c r="A48" s="1310" t="s">
        <v>31</v>
      </c>
      <c r="B48" s="1310" t="s">
        <v>28</v>
      </c>
      <c r="C48" s="1311">
        <v>5</v>
      </c>
      <c r="D48" s="1311">
        <v>4873463.9211626099</v>
      </c>
      <c r="E48" s="1311">
        <v>4</v>
      </c>
      <c r="F48" s="1311">
        <v>135638.23121753</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4682769.2624435201</v>
      </c>
    </row>
    <row r="51" spans="1:6">
      <c r="A51" s="1310" t="s">
        <v>41</v>
      </c>
      <c r="B51" s="1310" t="s">
        <v>42</v>
      </c>
      <c r="C51" s="1311">
        <v>4</v>
      </c>
      <c r="D51" s="1311">
        <v>27397503.212092701</v>
      </c>
      <c r="E51" s="1311">
        <v>41</v>
      </c>
      <c r="F51" s="1311">
        <v>451684.32140811498</v>
      </c>
    </row>
    <row r="52" spans="1:6">
      <c r="A52" s="1310" t="s">
        <v>41</v>
      </c>
      <c r="B52" s="1310" t="s">
        <v>28</v>
      </c>
      <c r="C52" s="1311">
        <v>0</v>
      </c>
      <c r="D52" s="1311">
        <v>0</v>
      </c>
      <c r="E52" s="1311">
        <v>0</v>
      </c>
      <c r="F52" s="1311">
        <v>0</v>
      </c>
    </row>
    <row r="53" spans="1:6">
      <c r="A53" s="1310" t="s">
        <v>43</v>
      </c>
      <c r="B53" s="1310" t="s">
        <v>44</v>
      </c>
      <c r="C53" s="1311">
        <v>129</v>
      </c>
      <c r="D53" s="1311">
        <v>2484272.1980068102</v>
      </c>
      <c r="E53" s="1311">
        <v>277</v>
      </c>
      <c r="F53" s="1311">
        <v>967903.31288159697</v>
      </c>
    </row>
    <row r="54" spans="1:6">
      <c r="A54" s="1310" t="s">
        <v>45</v>
      </c>
      <c r="B54" s="1310" t="s">
        <v>46</v>
      </c>
      <c r="C54" s="1311">
        <v>0</v>
      </c>
      <c r="D54" s="1311">
        <v>0</v>
      </c>
      <c r="E54" s="1311">
        <v>1</v>
      </c>
      <c r="F54" s="1311">
        <v>1019551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77</v>
      </c>
      <c r="D57" s="1311">
        <v>3473709.4968654499</v>
      </c>
      <c r="E57" s="1311">
        <v>154</v>
      </c>
      <c r="F57" s="1311">
        <v>2778268.8814066201</v>
      </c>
    </row>
    <row r="58" spans="1:6">
      <c r="A58" s="1310" t="s">
        <v>48</v>
      </c>
      <c r="B58" s="1310" t="s">
        <v>50</v>
      </c>
      <c r="C58" s="1311">
        <v>54</v>
      </c>
      <c r="D58" s="1311">
        <v>5334041.0848476402</v>
      </c>
      <c r="E58" s="1311">
        <v>71</v>
      </c>
      <c r="F58" s="1311">
        <v>2661474.20596956</v>
      </c>
    </row>
    <row r="59" spans="1:6">
      <c r="A59" s="1310" t="s">
        <v>48</v>
      </c>
      <c r="B59" s="1310" t="s">
        <v>51</v>
      </c>
      <c r="C59" s="1311">
        <v>104</v>
      </c>
      <c r="D59" s="1311">
        <v>6149888.4047047496</v>
      </c>
      <c r="E59" s="1311">
        <v>200</v>
      </c>
      <c r="F59" s="1311">
        <v>8103085.0377984103</v>
      </c>
    </row>
    <row r="60" spans="1:6">
      <c r="A60" s="1310" t="s">
        <v>48</v>
      </c>
      <c r="B60" s="1310" t="s">
        <v>52</v>
      </c>
      <c r="C60" s="1311">
        <v>33</v>
      </c>
      <c r="D60" s="1311">
        <v>1520990.6062622799</v>
      </c>
      <c r="E60" s="1311">
        <v>48</v>
      </c>
      <c r="F60" s="1311">
        <v>1000989.43246988</v>
      </c>
    </row>
    <row r="61" spans="1:6">
      <c r="A61" s="1310" t="s">
        <v>48</v>
      </c>
      <c r="B61" s="1310" t="s">
        <v>53</v>
      </c>
      <c r="C61" s="1311">
        <v>223</v>
      </c>
      <c r="D61" s="1311">
        <v>7563077.0193889197</v>
      </c>
      <c r="E61" s="1311">
        <v>426</v>
      </c>
      <c r="F61" s="1311">
        <v>5766108.1424543904</v>
      </c>
    </row>
    <row r="62" spans="1:6">
      <c r="A62" s="1310" t="s">
        <v>48</v>
      </c>
      <c r="B62" s="1310" t="s">
        <v>54</v>
      </c>
      <c r="C62" s="1311">
        <v>17</v>
      </c>
      <c r="D62" s="1311">
        <v>1181003.9547344299</v>
      </c>
      <c r="E62" s="1311">
        <v>25</v>
      </c>
      <c r="F62" s="1311">
        <v>337711.581398857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17</v>
      </c>
      <c r="F66" s="1311">
        <v>655921.35240222397</v>
      </c>
    </row>
    <row r="67" spans="1:6">
      <c r="A67" s="1312" t="s">
        <v>55</v>
      </c>
      <c r="B67" s="1312" t="s">
        <v>58</v>
      </c>
      <c r="C67" s="1311">
        <v>0</v>
      </c>
      <c r="D67" s="1311">
        <v>0</v>
      </c>
      <c r="E67" s="1311">
        <v>0</v>
      </c>
      <c r="F67" s="1311">
        <v>0</v>
      </c>
    </row>
    <row r="68" spans="1:6">
      <c r="A68" s="1305" t="s">
        <v>55</v>
      </c>
      <c r="B68" s="1305" t="s">
        <v>59</v>
      </c>
      <c r="C68" s="1314">
        <v>3</v>
      </c>
      <c r="D68" s="1314">
        <v>76410.974412725205</v>
      </c>
      <c r="E68" s="1314">
        <v>7</v>
      </c>
      <c r="F68" s="1314">
        <v>139158.06612079401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67345298</v>
      </c>
      <c r="E73" s="453"/>
      <c r="F73" s="332"/>
    </row>
    <row r="74" spans="1:6">
      <c r="A74" s="1310" t="s">
        <v>63</v>
      </c>
      <c r="B74" s="1310" t="s">
        <v>648</v>
      </c>
      <c r="C74" s="1324" t="s">
        <v>650</v>
      </c>
      <c r="D74" s="1325">
        <v>4695535.9659271501</v>
      </c>
      <c r="E74" s="453"/>
      <c r="F74" s="332"/>
    </row>
    <row r="75" spans="1:6">
      <c r="A75" s="1310" t="s">
        <v>64</v>
      </c>
      <c r="B75" s="1310" t="s">
        <v>647</v>
      </c>
      <c r="C75" s="1324" t="s">
        <v>651</v>
      </c>
      <c r="D75" s="1325">
        <v>34985180</v>
      </c>
      <c r="E75" s="453"/>
      <c r="F75" s="332"/>
    </row>
    <row r="76" spans="1:6">
      <c r="A76" s="1310" t="s">
        <v>64</v>
      </c>
      <c r="B76" s="1310" t="s">
        <v>648</v>
      </c>
      <c r="C76" s="1324" t="s">
        <v>652</v>
      </c>
      <c r="D76" s="1325">
        <v>872489.96592714998</v>
      </c>
      <c r="E76" s="453"/>
      <c r="F76" s="332"/>
    </row>
    <row r="77" spans="1:6">
      <c r="A77" s="1310" t="s">
        <v>65</v>
      </c>
      <c r="B77" s="1310" t="s">
        <v>647</v>
      </c>
      <c r="C77" s="1324" t="s">
        <v>653</v>
      </c>
      <c r="D77" s="1325">
        <v>12125233</v>
      </c>
      <c r="E77" s="453"/>
      <c r="F77" s="332"/>
    </row>
    <row r="78" spans="1:6">
      <c r="A78" s="1305" t="s">
        <v>65</v>
      </c>
      <c r="B78" s="1305" t="s">
        <v>648</v>
      </c>
      <c r="C78" s="1305" t="s">
        <v>654</v>
      </c>
      <c r="D78" s="1326">
        <v>1142356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1291470.0681457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5890.4406406605494</v>
      </c>
      <c r="C91" s="332"/>
      <c r="D91" s="332"/>
      <c r="E91" s="332"/>
      <c r="F91" s="332"/>
    </row>
    <row r="92" spans="1:6">
      <c r="A92" s="1305" t="s">
        <v>68</v>
      </c>
      <c r="B92" s="1306">
        <v>650.10446061403138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3149</v>
      </c>
      <c r="C97" s="332"/>
      <c r="D97" s="332"/>
      <c r="E97" s="332"/>
      <c r="F97" s="332"/>
    </row>
    <row r="98" spans="1:6">
      <c r="A98" s="1310" t="s">
        <v>71</v>
      </c>
      <c r="B98" s="1311">
        <v>2</v>
      </c>
      <c r="C98" s="332"/>
      <c r="D98" s="332"/>
      <c r="E98" s="332"/>
      <c r="F98" s="332"/>
    </row>
    <row r="99" spans="1:6">
      <c r="A99" s="1310" t="s">
        <v>72</v>
      </c>
      <c r="B99" s="1311">
        <v>74</v>
      </c>
      <c r="C99" s="332"/>
      <c r="D99" s="332"/>
      <c r="E99" s="332"/>
      <c r="F99" s="332"/>
    </row>
    <row r="100" spans="1:6">
      <c r="A100" s="1310" t="s">
        <v>73</v>
      </c>
      <c r="B100" s="1311">
        <v>495</v>
      </c>
      <c r="C100" s="332"/>
      <c r="D100" s="332"/>
      <c r="E100" s="332"/>
      <c r="F100" s="332"/>
    </row>
    <row r="101" spans="1:6">
      <c r="A101" s="1310" t="s">
        <v>74</v>
      </c>
      <c r="B101" s="1311">
        <v>56</v>
      </c>
      <c r="C101" s="332"/>
      <c r="D101" s="332"/>
      <c r="E101" s="332"/>
      <c r="F101" s="332"/>
    </row>
    <row r="102" spans="1:6">
      <c r="A102" s="1310" t="s">
        <v>75</v>
      </c>
      <c r="B102" s="1311">
        <v>86</v>
      </c>
      <c r="C102" s="332"/>
      <c r="D102" s="332"/>
      <c r="E102" s="332"/>
      <c r="F102" s="332"/>
    </row>
    <row r="103" spans="1:6">
      <c r="A103" s="1310" t="s">
        <v>76</v>
      </c>
      <c r="B103" s="1311">
        <v>107</v>
      </c>
      <c r="C103" s="332"/>
      <c r="D103" s="332"/>
      <c r="E103" s="332"/>
      <c r="F103" s="332"/>
    </row>
    <row r="104" spans="1:6">
      <c r="A104" s="1310" t="s">
        <v>77</v>
      </c>
      <c r="B104" s="1311">
        <v>3071</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58</v>
      </c>
      <c r="C123" s="1311">
        <v>63</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217</v>
      </c>
      <c r="C129" s="332"/>
      <c r="D129" s="332"/>
      <c r="E129" s="332"/>
      <c r="F129" s="332"/>
    </row>
    <row r="130" spans="1:6">
      <c r="A130" s="1310" t="s">
        <v>294</v>
      </c>
      <c r="B130" s="1311">
        <v>0</v>
      </c>
      <c r="C130" s="332"/>
      <c r="D130" s="332"/>
      <c r="E130" s="332"/>
      <c r="F130" s="332"/>
    </row>
    <row r="131" spans="1:6">
      <c r="A131" s="1310" t="s">
        <v>295</v>
      </c>
      <c r="B131" s="1311">
        <v>4</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68118.792941992113</v>
      </c>
      <c r="C3" s="43" t="s">
        <v>169</v>
      </c>
      <c r="D3" s="43"/>
      <c r="E3" s="154"/>
      <c r="F3" s="43"/>
      <c r="G3" s="43"/>
      <c r="H3" s="43"/>
      <c r="I3" s="43"/>
      <c r="J3" s="43"/>
      <c r="K3" s="96"/>
    </row>
    <row r="4" spans="1:11">
      <c r="A4" s="360" t="s">
        <v>170</v>
      </c>
      <c r="B4" s="49">
        <f>IF(ISERROR('SEAP template'!B78+'SEAP template'!C78),0,'SEAP template'!B78+'SEAP template'!C78)</f>
        <v>15603.54510127458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2153.7952941176468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0.20199513926551127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3076.8504201680662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12947.142857142855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0.23764705882352938</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1019.551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1019.551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0.20199513926551127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205.9443462332913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29652.362892953999</v>
      </c>
      <c r="C5" s="17">
        <f>IF(ISERROR('Eigen informatie GS &amp; warmtenet'!B59),0,'Eigen informatie GS &amp; warmtenet'!B59)</f>
        <v>0</v>
      </c>
      <c r="D5" s="30">
        <f>(SUM(HH_hh_gas_kWh,HH_rest_gas_kWh)/1000)*0.903</f>
        <v>85895.172974601432</v>
      </c>
      <c r="E5" s="17">
        <f>B46*B57</f>
        <v>9186.993522220142</v>
      </c>
      <c r="F5" s="17">
        <f>B51*B62</f>
        <v>8945.2111391756607</v>
      </c>
      <c r="G5" s="18"/>
      <c r="H5" s="17"/>
      <c r="I5" s="17"/>
      <c r="J5" s="17">
        <f>B50*B61+C50*C61</f>
        <v>0</v>
      </c>
      <c r="K5" s="17"/>
      <c r="L5" s="17"/>
      <c r="M5" s="17"/>
      <c r="N5" s="17">
        <f>B48*B59+C48*C59</f>
        <v>13031.084451118451</v>
      </c>
      <c r="O5" s="17">
        <f>B69*B70*B71</f>
        <v>557.49225964775599</v>
      </c>
      <c r="P5" s="17">
        <f>B77*B78*B79/1000-B77*B78*B79/1000/B80</f>
        <v>948.05633769165206</v>
      </c>
    </row>
    <row r="6" spans="1:16">
      <c r="A6" s="16" t="s">
        <v>612</v>
      </c>
      <c r="B6" s="786">
        <f>kWh_PV_kleiner_dan_10kW</f>
        <v>5890.4406406605494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35542.803533614548</v>
      </c>
      <c r="C8" s="21">
        <f>C5</f>
        <v>0</v>
      </c>
      <c r="D8" s="21">
        <f>D5</f>
        <v>85895.172974601432</v>
      </c>
      <c r="E8" s="21">
        <f>E5</f>
        <v>9186.993522220142</v>
      </c>
      <c r="F8" s="21">
        <f>F5</f>
        <v>8945.2111391756607</v>
      </c>
      <c r="G8" s="21"/>
      <c r="H8" s="21"/>
      <c r="I8" s="21"/>
      <c r="J8" s="21">
        <f>J5</f>
        <v>0</v>
      </c>
      <c r="K8" s="21"/>
      <c r="L8" s="21">
        <f>L5</f>
        <v>0</v>
      </c>
      <c r="M8" s="21">
        <f>M5</f>
        <v>0</v>
      </c>
      <c r="N8" s="21">
        <f>N5</f>
        <v>13031.084451118451</v>
      </c>
      <c r="O8" s="21">
        <f>O5</f>
        <v>557.49225964775599</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0.20199513926551127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7179.4735496591766</v>
      </c>
      <c r="C12" s="23">
        <f ca="1">C10*C8</f>
        <v>0</v>
      </c>
      <c r="D12" s="23">
        <f>D8*D10</f>
        <v>17350.82494086949</v>
      </c>
      <c r="E12" s="23">
        <f>E10*E8</f>
        <v>2085.4475295439725</v>
      </c>
      <c r="F12" s="23">
        <f>F10*F8</f>
        <v>2388.3713741599017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3149</v>
      </c>
      <c r="C18" s="166" t="s">
        <v>110</v>
      </c>
      <c r="D18" s="228"/>
      <c r="E18" s="15"/>
    </row>
    <row r="19" spans="1:7">
      <c r="A19" s="171" t="s">
        <v>71</v>
      </c>
      <c r="B19" s="37">
        <f>aantalw2001_ander</f>
        <v>2</v>
      </c>
      <c r="C19" s="166" t="s">
        <v>110</v>
      </c>
      <c r="D19" s="229"/>
      <c r="E19" s="15"/>
    </row>
    <row r="20" spans="1:7">
      <c r="A20" s="171" t="s">
        <v>72</v>
      </c>
      <c r="B20" s="37">
        <f>aantalw2001_propaan</f>
        <v>74</v>
      </c>
      <c r="C20" s="167">
        <f>IF(ISERROR(B20/SUM($B$20,$B$21,$B$22)*100),0,B20/SUM($B$20,$B$21,$B$22)*100)</f>
        <v>11.84</v>
      </c>
      <c r="D20" s="229"/>
      <c r="E20" s="15"/>
    </row>
    <row r="21" spans="1:7">
      <c r="A21" s="171" t="s">
        <v>73</v>
      </c>
      <c r="B21" s="37">
        <f>aantalw2001_elektriciteit</f>
        <v>495</v>
      </c>
      <c r="C21" s="167">
        <f>IF(ISERROR(B21/SUM($B$20,$B$21,$B$22)*100),0,B21/SUM($B$20,$B$21,$B$22)*100)</f>
        <v>79.2</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86</v>
      </c>
      <c r="C23" s="166" t="s">
        <v>110</v>
      </c>
      <c r="D23" s="228"/>
      <c r="E23" s="15"/>
    </row>
    <row r="24" spans="1:7">
      <c r="A24" s="171" t="s">
        <v>76</v>
      </c>
      <c r="B24" s="37">
        <f>aantalw2001_steenkool</f>
        <v>107</v>
      </c>
      <c r="C24" s="166" t="s">
        <v>110</v>
      </c>
      <c r="D24" s="229"/>
      <c r="E24" s="15"/>
    </row>
    <row r="25" spans="1:7">
      <c r="A25" s="171" t="s">
        <v>77</v>
      </c>
      <c r="B25" s="37">
        <f>aantalw2001_stookolie</f>
        <v>3071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8761</v>
      </c>
      <c r="C28" s="36"/>
      <c r="D28" s="228"/>
    </row>
    <row r="29" spans="1:7" s="15" customFormat="1">
      <c r="A29" s="230" t="s">
        <v>839</v>
      </c>
      <c r="B29" s="37">
        <f>SUM(HH_hh_gas_aantal,HH_rest_gas_aantal)</f>
        <v>6082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6082</v>
      </c>
      <c r="C32" s="167">
        <f>IF(ISERROR(B32/SUM($B$32,$B$34,$B$35,$B$36,$B$38,$B$39)*100),0,B32/SUM($B$32,$B$34,$B$35,$B$36,$B$38,$B$39)*100)</f>
        <v>70.141852150847669</v>
      </c>
      <c r="D32" s="233"/>
      <c r="G32" s="15"/>
    </row>
    <row r="33" spans="1:7">
      <c r="A33" s="171" t="s">
        <v>71</v>
      </c>
      <c r="B33" s="34" t="s">
        <v>110</v>
      </c>
      <c r="C33" s="167"/>
      <c r="D33" s="233"/>
      <c r="G33" s="15"/>
    </row>
    <row r="34" spans="1:7">
      <c r="A34" s="171" t="s">
        <v>72</v>
      </c>
      <c r="B34" s="33">
        <f>IF((($B$28-$B$32-$B$39-$B$77-$B$38)*C20/100)&lt;0,0,($B$28-$B$32-$B$39-$B$77-$B$38)*C20/100)</f>
        <v>255.47168000000002</v>
      </c>
      <c r="C34" s="167">
        <f>IF(ISERROR(B34/SUM($B$32,$B$34,$B$35,$B$36,$B$38,$B$39)*100),0,B34/SUM($B$32,$B$34,$B$35,$B$36,$B$38,$B$39)*100)</f>
        <v>2.9462770153384854</v>
      </c>
      <c r="D34" s="233"/>
      <c r="G34" s="15"/>
    </row>
    <row r="35" spans="1:7">
      <c r="A35" s="171" t="s">
        <v>73</v>
      </c>
      <c r="B35" s="33">
        <f>IF((($B$28-$B$32-$B$39-$B$77-$B$38)*C21/100)&lt;0,0,($B$28-$B$32-$B$39-$B$77-$B$38)*C21/100)</f>
        <v>1708.8984000000003</v>
      </c>
      <c r="C35" s="167">
        <f>IF(ISERROR(B35/SUM($B$32,$B$34,$B$35,$B$36,$B$38,$B$39)*100),0,B35/SUM($B$32,$B$34,$B$35,$B$36,$B$38,$B$39)*100)</f>
        <v>19.708204359358788</v>
      </c>
      <c r="D35" s="233"/>
      <c r="G35" s="15"/>
    </row>
    <row r="36" spans="1:7">
      <c r="A36" s="171" t="s">
        <v>74</v>
      </c>
      <c r="B36" s="33">
        <f>IF((($B$28-$B$32-$B$39-$B$77-$B$38)*C22/100)&lt;0,0,($B$28-$B$32-$B$39-$B$77-$B$38)*C22/100)</f>
        <v>193.32992000000002</v>
      </c>
      <c r="C36" s="167">
        <f>IF(ISERROR(B36/SUM($B$32,$B$34,$B$35,$B$36,$B$38,$B$39)*100),0,B36/SUM($B$32,$B$34,$B$35,$B$36,$B$38,$B$39)*100)</f>
        <v>2.2296150386345297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431.29999999999973</v>
      </c>
      <c r="C39" s="167">
        <f>IF(ISERROR(B39/SUM($B$32,$B$34,$B$35,$B$36,$B$38,$B$39)*100),0,B39/SUM($B$32,$B$34,$B$35,$B$36,$B$38,$B$39)*100)</f>
        <v>4.9740514358205496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6082</v>
      </c>
      <c r="C44" s="34" t="s">
        <v>110</v>
      </c>
      <c r="D44" s="174"/>
    </row>
    <row r="45" spans="1:7">
      <c r="A45" s="171" t="s">
        <v>71</v>
      </c>
      <c r="B45" s="33" t="str">
        <f t="shared" si="0"/>
        <v>-</v>
      </c>
      <c r="C45" s="34" t="s">
        <v>110</v>
      </c>
      <c r="D45" s="174"/>
    </row>
    <row r="46" spans="1:7">
      <c r="A46" s="171" t="s">
        <v>72</v>
      </c>
      <c r="B46" s="33">
        <f t="shared" si="0"/>
        <v>255.47168000000002</v>
      </c>
      <c r="C46" s="34" t="s">
        <v>110</v>
      </c>
      <c r="D46" s="174"/>
    </row>
    <row r="47" spans="1:7">
      <c r="A47" s="171" t="s">
        <v>73</v>
      </c>
      <c r="B47" s="33">
        <f t="shared" si="0"/>
        <v>1708.8984000000003</v>
      </c>
      <c r="C47" s="34" t="s">
        <v>110</v>
      </c>
      <c r="D47" s="174"/>
    </row>
    <row r="48" spans="1:7">
      <c r="A48" s="171" t="s">
        <v>74</v>
      </c>
      <c r="B48" s="33">
        <f t="shared" si="0"/>
        <v>193.32992000000002</v>
      </c>
      <c r="C48" s="33">
        <f>B48*10</f>
        <v>1933.2992000000002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431.29999999999973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20647.637281497719</v>
      </c>
      <c r="C5" s="17">
        <f>IF(ISERROR('Eigen informatie GS &amp; warmtenet'!B60),0,'Eigen informatie GS &amp; warmtenet'!B60)</f>
        <v>0</v>
      </c>
      <c r="D5" s="30">
        <f>SUM(D6:D12)</f>
        <v>22776.107641823535</v>
      </c>
      <c r="E5" s="17">
        <f>SUM(E6:E12)</f>
        <v>69.650280402254154</v>
      </c>
      <c r="F5" s="17">
        <f>SUM(F6:F12)</f>
        <v>3390.0180737964015</v>
      </c>
      <c r="G5" s="18"/>
      <c r="H5" s="17"/>
      <c r="I5" s="17"/>
      <c r="J5" s="17">
        <f>SUM(J6:J12)</f>
        <v>2.7437683681951555E-2</v>
      </c>
      <c r="K5" s="17"/>
      <c r="L5" s="17"/>
      <c r="M5" s="17"/>
      <c r="N5" s="17">
        <f>SUM(N6:N12)</f>
        <v>1018.3312508329324</v>
      </c>
      <c r="O5" s="17">
        <f>B38*B39*B40</f>
        <v>0</v>
      </c>
      <c r="P5" s="17">
        <f>B46*B47*B48/1000-B46*B47*B48/1000/B49</f>
        <v>210.15655322598008</v>
      </c>
      <c r="R5" s="32"/>
    </row>
    <row r="6" spans="1:18">
      <c r="A6" s="32" t="s">
        <v>53</v>
      </c>
      <c r="B6" s="37">
        <f>B26</f>
        <v>5766.10814245439</v>
      </c>
      <c r="C6" s="33"/>
      <c r="D6" s="37">
        <f>IF(ISERROR(TER_kantoor_gas_kWh/1000),0,TER_kantoor_gas_kWh/1000)*0.903</f>
        <v>6829.4585485081943</v>
      </c>
      <c r="E6" s="33">
        <f>$C$26*'E Balans VL '!I12/100/3.6*1000000</f>
        <v>1.3814224527382031</v>
      </c>
      <c r="F6" s="33">
        <f>$C$26*('E Balans VL '!L12+'E Balans VL '!N12)/100/3.6*1000000</f>
        <v>546.79326267401495</v>
      </c>
      <c r="G6" s="34"/>
      <c r="H6" s="33"/>
      <c r="I6" s="33"/>
      <c r="J6" s="33">
        <f>$C$26*('E Balans VL '!D12+'E Balans VL '!E12)/100/3.6*1000000</f>
        <v>0</v>
      </c>
      <c r="K6" s="33"/>
      <c r="L6" s="33"/>
      <c r="M6" s="33"/>
      <c r="N6" s="33">
        <f>$C$26*'E Balans VL '!Y12/100/3.6*1000000</f>
        <v>2.9288846919431735</v>
      </c>
      <c r="O6" s="33"/>
      <c r="P6" s="33"/>
      <c r="R6" s="32"/>
    </row>
    <row r="7" spans="1:18">
      <c r="A7" s="32" t="s">
        <v>52</v>
      </c>
      <c r="B7" s="37">
        <f t="shared" ref="B7:B12" si="0">B27</f>
        <v>1000.9894324698799</v>
      </c>
      <c r="C7" s="33"/>
      <c r="D7" s="37">
        <f>IF(ISERROR(TER_horeca_gas_kWh/1000),0,TER_horeca_gas_kWh/1000)*0.903</f>
        <v>1373.4545174548389</v>
      </c>
      <c r="E7" s="33">
        <f>$C$27*'E Balans VL '!I9/100/3.6*1000000</f>
        <v>0</v>
      </c>
      <c r="F7" s="33">
        <f>$C$27*('E Balans VL '!L9+'E Balans VL '!N9)/100/3.6*1000000</f>
        <v>82.07878044738348</v>
      </c>
      <c r="G7" s="34"/>
      <c r="H7" s="33"/>
      <c r="I7" s="33"/>
      <c r="J7" s="33">
        <f>$C$27*('E Balans VL '!D9+'E Balans VL '!E9)/100/3.6*1000000</f>
        <v>0</v>
      </c>
      <c r="K7" s="33"/>
      <c r="L7" s="33"/>
      <c r="M7" s="33"/>
      <c r="N7" s="33">
        <f>$C$27*'E Balans VL '!Y9/100/3.6*1000000</f>
        <v>0.3068434778581684</v>
      </c>
      <c r="O7" s="33"/>
      <c r="P7" s="33"/>
      <c r="R7" s="32"/>
    </row>
    <row r="8" spans="1:18">
      <c r="A8" s="6" t="s">
        <v>51</v>
      </c>
      <c r="B8" s="37">
        <f t="shared" si="0"/>
        <v>8103.0850377984107</v>
      </c>
      <c r="C8" s="33"/>
      <c r="D8" s="37">
        <f>IF(ISERROR(TER_handel_gas_kWh/1000),0,TER_handel_gas_kWh/1000)*0.903</f>
        <v>5553.3492294483885</v>
      </c>
      <c r="E8" s="33">
        <f>$C$28*'E Balans VL '!I13/100/3.6*1000000</f>
        <v>28.477915141595442</v>
      </c>
      <c r="F8" s="33">
        <f>$C$28*('E Balans VL '!L13+'E Balans VL '!N13)/100/3.6*1000000</f>
        <v>741.41772917589162</v>
      </c>
      <c r="G8" s="34"/>
      <c r="H8" s="33"/>
      <c r="I8" s="33"/>
      <c r="J8" s="33">
        <f>$C$28*('E Balans VL '!D13+'E Balans VL '!E13)/100/3.6*1000000</f>
        <v>0</v>
      </c>
      <c r="K8" s="33"/>
      <c r="L8" s="33"/>
      <c r="M8" s="33"/>
      <c r="N8" s="33">
        <f>$C$28*'E Balans VL '!Y13/100/3.6*1000000</f>
        <v>2.9345885498240905</v>
      </c>
      <c r="O8" s="33"/>
      <c r="P8" s="33"/>
      <c r="R8" s="32"/>
    </row>
    <row r="9" spans="1:18">
      <c r="A9" s="32" t="s">
        <v>50</v>
      </c>
      <c r="B9" s="37">
        <f t="shared" si="0"/>
        <v>2661.47420596956</v>
      </c>
      <c r="C9" s="33"/>
      <c r="D9" s="37">
        <f>IF(ISERROR(TER_gezond_gas_kWh/1000),0,TER_gezond_gas_kWh/1000)*0.903</f>
        <v>4816.6390996174196</v>
      </c>
      <c r="E9" s="33">
        <f>$C$29*'E Balans VL '!I10/100/3.6*1000000</f>
        <v>0</v>
      </c>
      <c r="F9" s="33">
        <f>$C$29*('E Balans VL '!L10+'E Balans VL '!N10)/100/3.6*1000000</f>
        <v>326.24786513867599</v>
      </c>
      <c r="G9" s="34"/>
      <c r="H9" s="33"/>
      <c r="I9" s="33"/>
      <c r="J9" s="33">
        <f>$C$29*('E Balans VL '!D10+'E Balans VL '!E10)/100/3.6*1000000</f>
        <v>0</v>
      </c>
      <c r="K9" s="33"/>
      <c r="L9" s="33"/>
      <c r="M9" s="33"/>
      <c r="N9" s="33">
        <f>$C$29*'E Balans VL '!Y10/100/3.6*1000000</f>
        <v>19.626517607855977</v>
      </c>
      <c r="O9" s="33"/>
      <c r="P9" s="33"/>
      <c r="R9" s="32"/>
    </row>
    <row r="10" spans="1:18">
      <c r="A10" s="32" t="s">
        <v>49</v>
      </c>
      <c r="B10" s="37">
        <f t="shared" si="0"/>
        <v>2778.26888140662</v>
      </c>
      <c r="C10" s="33"/>
      <c r="D10" s="37">
        <f>IF(ISERROR(TER_ander_gas_kWh/1000),0,TER_ander_gas_kWh/1000)*0.903</f>
        <v>3136.7596756695016</v>
      </c>
      <c r="E10" s="33">
        <f>$C$30*'E Balans VL '!I14/100/3.6*1000000</f>
        <v>39.790942807920509</v>
      </c>
      <c r="F10" s="33">
        <f>$C$30*('E Balans VL '!L14+'E Balans VL '!N14)/100/3.6*1000000</f>
        <v>1653.9979308859943</v>
      </c>
      <c r="G10" s="34"/>
      <c r="H10" s="33"/>
      <c r="I10" s="33"/>
      <c r="J10" s="33">
        <f>$C$30*('E Balans VL '!D14+'E Balans VL '!E14)/100/3.6*1000000</f>
        <v>2.7437683681951555E-2</v>
      </c>
      <c r="K10" s="33"/>
      <c r="L10" s="33"/>
      <c r="M10" s="33"/>
      <c r="N10" s="33">
        <f>$C$30*'E Balans VL '!Y14/100/3.6*1000000</f>
        <v>991.58345947206374</v>
      </c>
      <c r="O10" s="33"/>
      <c r="P10" s="33"/>
      <c r="R10" s="32"/>
    </row>
    <row r="11" spans="1:18">
      <c r="A11" s="32" t="s">
        <v>54</v>
      </c>
      <c r="B11" s="37">
        <f t="shared" si="0"/>
        <v>337.71158139885699</v>
      </c>
      <c r="C11" s="33"/>
      <c r="D11" s="37">
        <f>IF(ISERROR(TER_onderwijs_gas_kWh/1000),0,TER_onderwijs_gas_kWh/1000)*0.903</f>
        <v>1066.4465711251903</v>
      </c>
      <c r="E11" s="33">
        <f>$C$31*'E Balans VL '!I11/100/3.6*1000000</f>
        <v>0</v>
      </c>
      <c r="F11" s="33">
        <f>$C$31*('E Balans VL '!L11+'E Balans VL '!N11)/100/3.6*1000000</f>
        <v>39.482505474441083</v>
      </c>
      <c r="G11" s="34"/>
      <c r="H11" s="33"/>
      <c r="I11" s="33"/>
      <c r="J11" s="33">
        <f>$C$31*('E Balans VL '!D11+'E Balans VL '!E11)/100/3.6*1000000</f>
        <v>0</v>
      </c>
      <c r="K11" s="33"/>
      <c r="L11" s="33"/>
      <c r="M11" s="33"/>
      <c r="N11" s="33">
        <f>$C$31*'E Balans VL '!Y11/100/3.6*1000000</f>
        <v>0.95095703338719617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20647.637281497719</v>
      </c>
      <c r="C16" s="21">
        <f t="shared" ca="1" si="1"/>
        <v>0</v>
      </c>
      <c r="D16" s="21">
        <f t="shared" ca="1" si="1"/>
        <v>22776.107641823535</v>
      </c>
      <c r="E16" s="21">
        <f t="shared" si="1"/>
        <v>69.650280402254154</v>
      </c>
      <c r="F16" s="21">
        <f t="shared" ca="1" si="1"/>
        <v>3390.0180737964015</v>
      </c>
      <c r="G16" s="21">
        <f t="shared" si="1"/>
        <v>0</v>
      </c>
      <c r="H16" s="21">
        <f t="shared" si="1"/>
        <v>0</v>
      </c>
      <c r="I16" s="21">
        <f t="shared" si="1"/>
        <v>0</v>
      </c>
      <c r="J16" s="21">
        <f t="shared" si="1"/>
        <v>2.7437683681951555E-2</v>
      </c>
      <c r="K16" s="21">
        <f t="shared" si="1"/>
        <v>0</v>
      </c>
      <c r="L16" s="21">
        <f t="shared" ca="1" si="1"/>
        <v>0</v>
      </c>
      <c r="M16" s="21">
        <f t="shared" si="1"/>
        <v>0</v>
      </c>
      <c r="N16" s="21">
        <f t="shared" ca="1" si="1"/>
        <v>1018.3312508329324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0.20199513926551127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4170.7223681798941</v>
      </c>
      <c r="C20" s="23">
        <f t="shared" ref="C20:P20" ca="1" si="2">C16*C18</f>
        <v>0</v>
      </c>
      <c r="D20" s="23">
        <f t="shared" ca="1" si="2"/>
        <v>4600.773743648354</v>
      </c>
      <c r="E20" s="23">
        <f t="shared" si="2"/>
        <v>15.810613651311693</v>
      </c>
      <c r="F20" s="23">
        <f t="shared" ca="1" si="2"/>
        <v>905.13482570363919</v>
      </c>
      <c r="G20" s="23">
        <f t="shared" si="2"/>
        <v>0</v>
      </c>
      <c r="H20" s="23">
        <f t="shared" si="2"/>
        <v>0</v>
      </c>
      <c r="I20" s="23">
        <f t="shared" si="2"/>
        <v>0</v>
      </c>
      <c r="J20" s="23">
        <f t="shared" si="2"/>
        <v>9.7129400234108494E-3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5766.10814245439</v>
      </c>
      <c r="C26" s="39">
        <f>IF(ISERROR(B26*3.6/1000000/'E Balans VL '!Z12*100),0,B26*3.6/1000000/'E Balans VL '!Z12*100)</f>
        <v>0.16261951904466887</v>
      </c>
      <c r="D26" s="237" t="s">
        <v>702</v>
      </c>
      <c r="F26" s="6"/>
    </row>
    <row r="27" spans="1:18">
      <c r="A27" s="231" t="s">
        <v>52</v>
      </c>
      <c r="B27" s="33">
        <f>IF(ISERROR(TER_horeca_ele_kWh/1000),0,TER_horeca_ele_kWh/1000)</f>
        <v>1000.9894324698799</v>
      </c>
      <c r="C27" s="39">
        <f>IF(ISERROR(B27*3.6/1000000/'E Balans VL '!Z9*100),0,B27*3.6/1000000/'E Balans VL '!Z9*100)</f>
        <v>7.421106958555275E-2</v>
      </c>
      <c r="D27" s="237" t="s">
        <v>702</v>
      </c>
      <c r="F27" s="6"/>
    </row>
    <row r="28" spans="1:18">
      <c r="A28" s="171" t="s">
        <v>51</v>
      </c>
      <c r="B28" s="33">
        <f>IF(ISERROR(TER_handel_ele_kWh/1000),0,TER_handel_ele_kWh/1000)</f>
        <v>8103.0850377984107</v>
      </c>
      <c r="C28" s="39">
        <f>IF(ISERROR(B28*3.6/1000000/'E Balans VL '!Z13*100),0,B28*3.6/1000000/'E Balans VL '!Z13*100)</f>
        <v>0.2427491619284588</v>
      </c>
      <c r="D28" s="237" t="s">
        <v>702</v>
      </c>
      <c r="F28" s="6"/>
    </row>
    <row r="29" spans="1:18">
      <c r="A29" s="231" t="s">
        <v>50</v>
      </c>
      <c r="B29" s="33">
        <f>IF(ISERROR(TER_gezond_ele_kWh/1000),0,TER_gezond_ele_kWh/1000)</f>
        <v>2661.47420596956</v>
      </c>
      <c r="C29" s="39">
        <f>IF(ISERROR(B29*3.6/1000000/'E Balans VL '!Z10*100),0,B29*3.6/1000000/'E Balans VL '!Z10*100)</f>
        <v>0.26316761264606003</v>
      </c>
      <c r="D29" s="237" t="s">
        <v>702</v>
      </c>
      <c r="F29" s="6"/>
    </row>
    <row r="30" spans="1:18">
      <c r="A30" s="231" t="s">
        <v>49</v>
      </c>
      <c r="B30" s="33">
        <f>IF(ISERROR(TER_ander_ele_kWh/1000),0,TER_ander_ele_kWh/1000)</f>
        <v>2778.26888140662</v>
      </c>
      <c r="C30" s="39">
        <f>IF(ISERROR(B30*3.6/1000000/'E Balans VL '!Z14*100),0,B30*3.6/1000000/'E Balans VL '!Z14*100)</f>
        <v>0.11237276593290739</v>
      </c>
      <c r="D30" s="237" t="s">
        <v>702</v>
      </c>
      <c r="F30" s="6"/>
    </row>
    <row r="31" spans="1:18">
      <c r="A31" s="231" t="s">
        <v>54</v>
      </c>
      <c r="B31" s="33">
        <f>IF(ISERROR(TER_onderwijs_ele_kWh/1000),0,TER_onderwijs_ele_kWh/1000)</f>
        <v>337.71158139885699</v>
      </c>
      <c r="C31" s="39">
        <f>IF(ISERROR(B31*3.6/1000000/'E Balans VL '!Z11*100),0,B31*3.6/1000000/'E Balans VL '!Z11*100)</f>
        <v>9.2784141103364456E-2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9411.8971512197677</v>
      </c>
      <c r="C5" s="17">
        <f>IF(ISERROR('Eigen informatie GS &amp; warmtenet'!B61),0,'Eigen informatie GS &amp; warmtenet'!B61)</f>
        <v>0</v>
      </c>
      <c r="D5" s="30">
        <f>SUM(D6:D15)</f>
        <v>6282.2481226623513</v>
      </c>
      <c r="E5" s="17">
        <f>SUM(E6:E15)</f>
        <v>23.480964907835613</v>
      </c>
      <c r="F5" s="17">
        <f>SUM(F6:F15)</f>
        <v>2420.7210730895417</v>
      </c>
      <c r="G5" s="18"/>
      <c r="H5" s="17"/>
      <c r="I5" s="17"/>
      <c r="J5" s="17">
        <f>SUM(J6:J15)</f>
        <v>0.40550888085247094</v>
      </c>
      <c r="K5" s="17"/>
      <c r="L5" s="17"/>
      <c r="M5" s="17"/>
      <c r="N5" s="17">
        <f>SUM(N6:N15)</f>
        <v>311.11226442004852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124.188811255052</v>
      </c>
      <c r="C8" s="33"/>
      <c r="D8" s="37">
        <f>IF( ISERROR(IND_metaal_Gas_kWH/1000),0,IND_metaal_Gas_kWH/1000)*0.903</f>
        <v>0</v>
      </c>
      <c r="E8" s="33">
        <f>C30*'E Balans VL '!I18/100/3.6*1000000</f>
        <v>0.626181654728033</v>
      </c>
      <c r="F8" s="33">
        <f>C30*'E Balans VL '!L18/100/3.6*1000000+C30*'E Balans VL '!N18/100/3.6*1000000</f>
        <v>8.484833358699083</v>
      </c>
      <c r="G8" s="34"/>
      <c r="H8" s="33"/>
      <c r="I8" s="33"/>
      <c r="J8" s="40">
        <f>C30*'E Balans VL '!D18/100/3.6*1000000+C30*'E Balans VL '!E18/100/3.6*1000000</f>
        <v>0.11010397461967344</v>
      </c>
      <c r="K8" s="33"/>
      <c r="L8" s="33"/>
      <c r="M8" s="33"/>
      <c r="N8" s="33">
        <f>C30*'E Balans VL '!Y18/100/3.6*1000000</f>
        <v>1.6504700385815307</v>
      </c>
      <c r="O8" s="33"/>
      <c r="P8" s="33"/>
      <c r="R8" s="32"/>
    </row>
    <row r="9" spans="1:18">
      <c r="A9" s="6" t="s">
        <v>32</v>
      </c>
      <c r="B9" s="37">
        <f t="shared" si="0"/>
        <v>3798.2228005881302</v>
      </c>
      <c r="C9" s="33"/>
      <c r="D9" s="37">
        <f>IF( ISERROR(IND_andere_gas_kWh/1000),0,IND_andere_gas_kWh/1000)*0.903</f>
        <v>1779.6381075248266</v>
      </c>
      <c r="E9" s="33">
        <f>C31*'E Balans VL '!I19/100/3.6*1000000</f>
        <v>11.972895951985588</v>
      </c>
      <c r="F9" s="33">
        <f>C31*'E Balans VL '!L19/100/3.6*1000000+C31*'E Balans VL '!N19/100/3.6*1000000</f>
        <v>2325.1122501634295</v>
      </c>
      <c r="G9" s="34"/>
      <c r="H9" s="33"/>
      <c r="I9" s="33"/>
      <c r="J9" s="40">
        <f>C31*'E Balans VL '!D19/100/3.6*1000000+C31*'E Balans VL '!E19/100/3.6*1000000</f>
        <v>0</v>
      </c>
      <c r="K9" s="33"/>
      <c r="L9" s="33"/>
      <c r="M9" s="33"/>
      <c r="N9" s="33">
        <f>C31*'E Balans VL '!Y19/100/3.6*1000000</f>
        <v>159.26463933482324</v>
      </c>
      <c r="O9" s="33"/>
      <c r="P9" s="33"/>
      <c r="R9" s="32"/>
    </row>
    <row r="10" spans="1:18">
      <c r="A10" s="6" t="s">
        <v>40</v>
      </c>
      <c r="B10" s="37">
        <f t="shared" si="0"/>
        <v>4682.7692624435203</v>
      </c>
      <c r="C10" s="33"/>
      <c r="D10" s="37">
        <f>IF( ISERROR(IND_voed_gas_kWh/1000),0,IND_voed_gas_kWh/1000)*0.903</f>
        <v>0</v>
      </c>
      <c r="E10" s="33">
        <f>C32*'E Balans VL '!I20/100/3.6*1000000</f>
        <v>7.4630190804036465</v>
      </c>
      <c r="F10" s="33">
        <f>C32*'E Balans VL '!L20/100/3.6*1000000+C32*'E Balans VL '!N20/100/3.6*1000000</f>
        <v>76.083624778682207</v>
      </c>
      <c r="G10" s="34"/>
      <c r="H10" s="33"/>
      <c r="I10" s="33"/>
      <c r="J10" s="40">
        <f>C32*'E Balans VL '!D20/100/3.6*1000000+C32*'E Balans VL '!E20/100/3.6*1000000</f>
        <v>0</v>
      </c>
      <c r="K10" s="33"/>
      <c r="L10" s="33"/>
      <c r="M10" s="33"/>
      <c r="N10" s="33">
        <f>C32*'E Balans VL '!Y20/100/3.6*1000000</f>
        <v>147.90524079928502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671.07804571553493</v>
      </c>
      <c r="C13" s="33"/>
      <c r="D13" s="37">
        <f>IF( ISERROR(IND_papier_gas_kWh/1000),0,IND_papier_gas_kWh/1000)*0.903</f>
        <v>101.87209432768778</v>
      </c>
      <c r="E13" s="33">
        <f>C35*'E Balans VL '!I23/100/3.6*1000000</f>
        <v>0</v>
      </c>
      <c r="F13" s="33">
        <f>C35*'E Balans VL '!L23/100/3.6*1000000+C35*'E Balans VL '!N23/100/3.6*1000000</f>
        <v>2.9074221372686424E-2</v>
      </c>
      <c r="G13" s="34"/>
      <c r="H13" s="33"/>
      <c r="I13" s="33"/>
      <c r="J13" s="40">
        <f>C35*'E Balans VL '!D23/100/3.6*1000000+C35*'E Balans VL '!E23/100/3.6*1000000</f>
        <v>1.8491400706516347E-2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135.63823121753001</v>
      </c>
      <c r="C15" s="33"/>
      <c r="D15" s="37">
        <f>IF( ISERROR(IND_rest_gas_kWh/1000),0,IND_rest_gas_kWh/1000)*0.903</f>
        <v>4400.7379208098373</v>
      </c>
      <c r="E15" s="33">
        <f>C37*'E Balans VL '!I15/100/3.6*1000000</f>
        <v>3.4188682207183434</v>
      </c>
      <c r="F15" s="33">
        <f>C37*'E Balans VL '!L15/100/3.6*1000000+C37*'E Balans VL '!N15/100/3.6*1000000</f>
        <v>11.011290567357849</v>
      </c>
      <c r="G15" s="34"/>
      <c r="H15" s="33"/>
      <c r="I15" s="33"/>
      <c r="J15" s="40">
        <f>C37*'E Balans VL '!D15/100/3.6*1000000+C37*'E Balans VL '!E15/100/3.6*1000000</f>
        <v>0.27691350552628119</v>
      </c>
      <c r="K15" s="33"/>
      <c r="L15" s="33"/>
      <c r="M15" s="33"/>
      <c r="N15" s="33">
        <f>C37*'E Balans VL '!Y15/100/3.6*1000000</f>
        <v>2.2919142473586906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9411.8971512197677</v>
      </c>
      <c r="C18" s="21">
        <f>C5+C16</f>
        <v>0</v>
      </c>
      <c r="D18" s="21">
        <f>MAX((D5+D16),0)</f>
        <v>6282.2481226623513</v>
      </c>
      <c r="E18" s="21">
        <f>MAX((E5+E16),0)</f>
        <v>23.480964907835613</v>
      </c>
      <c r="F18" s="21">
        <f>MAX((F5+F16),0)</f>
        <v>2420.7210730895417</v>
      </c>
      <c r="G18" s="21"/>
      <c r="H18" s="21"/>
      <c r="I18" s="21"/>
      <c r="J18" s="21">
        <f>MAX((J5+J16),0)</f>
        <v>0.40550888085247094</v>
      </c>
      <c r="K18" s="21"/>
      <c r="L18" s="21">
        <f>MAX((L5+L16),0)</f>
        <v>0</v>
      </c>
      <c r="M18" s="21"/>
      <c r="N18" s="21">
        <f>MAX((N5+N16),0)</f>
        <v>311.11226442004852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0.20199513926551127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1901.1574758133058</v>
      </c>
      <c r="C22" s="23">
        <f ca="1">C18*C20</f>
        <v>0</v>
      </c>
      <c r="D22" s="23">
        <f>D18*D20</f>
        <v>1269.0141207777951</v>
      </c>
      <c r="E22" s="23">
        <f>E18*E20</f>
        <v>5.3301790340786841</v>
      </c>
      <c r="F22" s="23">
        <f>F18*F20</f>
        <v>646.33252651490773</v>
      </c>
      <c r="G22" s="23"/>
      <c r="H22" s="23"/>
      <c r="I22" s="23"/>
      <c r="J22" s="23">
        <f>J18*J20</f>
        <v>0.1435501438217747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124.188811255052</v>
      </c>
      <c r="C30" s="39">
        <f>IF(ISERROR(B30*3.6/1000000/'E Balans VL '!Z18*100),0,B30*3.6/1000000/'E Balans VL '!Z18*100)</f>
        <v>6.1644527003238449E-3</v>
      </c>
      <c r="D30" s="237" t="s">
        <v>702</v>
      </c>
    </row>
    <row r="31" spans="1:18">
      <c r="A31" s="6" t="s">
        <v>32</v>
      </c>
      <c r="B31" s="37">
        <f>IF( ISERROR(IND_ander_ele_kWh/1000),0,IND_ander_ele_kWh/1000)</f>
        <v>3798.2228005881302</v>
      </c>
      <c r="C31" s="39">
        <f>IF(ISERROR(B31*3.6/1000000/'E Balans VL '!Z19*100),0,B31*3.6/1000000/'E Balans VL '!Z19*100)</f>
        <v>0.12817055622192725</v>
      </c>
      <c r="D31" s="237" t="s">
        <v>702</v>
      </c>
    </row>
    <row r="32" spans="1:18">
      <c r="A32" s="171" t="s">
        <v>40</v>
      </c>
      <c r="B32" s="37">
        <f>IF( ISERROR(IND_voed_ele_kWh/1000),0,IND_voed_ele_kWh/1000)</f>
        <v>4682.7692624435203</v>
      </c>
      <c r="C32" s="39">
        <f>IF(ISERROR(B32*3.6/1000000/'E Balans VL '!Z20*100),0,B32*3.6/1000000/'E Balans VL '!Z20*100)</f>
        <v>0.10997161944196444</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671.07804571553493</v>
      </c>
      <c r="C35" s="39">
        <f>IF(ISERROR(B35*3.6/1000000/'E Balans VL '!Z22*100),0,B35*3.6/1000000/'E Balans VL '!Z22*100)</f>
        <v>9.5206351391221702E-2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135.63823121753001</v>
      </c>
      <c r="C37" s="39">
        <f>IF(ISERROR(B37*3.6/1000000/'E Balans VL '!Z15*100),0,B37*3.6/1000000/'E Balans VL '!Z15*100)</f>
        <v>5.0830823248881191E-4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451.68432140811495</v>
      </c>
      <c r="C5" s="17">
        <f>'Eigen informatie GS &amp; warmtenet'!B62</f>
        <v>0</v>
      </c>
      <c r="D5" s="30">
        <f>IF(ISERROR(SUM(LB_lb_gas_kWh,LB_rest_gas_kWh)/1000),0,SUM(LB_lb_gas_kWh,LB_rest_gas_kWh)/1000)*0.903</f>
        <v>24739.945400519711</v>
      </c>
      <c r="E5" s="17">
        <f>B17*'E Balans VL '!I25/3.6*1000000/100</f>
        <v>16.844689949090011</v>
      </c>
      <c r="F5" s="17">
        <f>B17*('E Balans VL '!L25/3.6*1000000+'E Balans VL '!N25/3.6*1000000)/100</f>
        <v>1465.4384763400551</v>
      </c>
      <c r="G5" s="18"/>
      <c r="H5" s="17"/>
      <c r="I5" s="17"/>
      <c r="J5" s="17">
        <f>('E Balans VL '!D25+'E Balans VL '!E25)/3.6*1000000*landbouw!B17/100</f>
        <v>118.56936429317868</v>
      </c>
      <c r="K5" s="17"/>
      <c r="L5" s="17">
        <f>L6*(-1)</f>
        <v>0</v>
      </c>
      <c r="M5" s="17"/>
      <c r="N5" s="17">
        <f>N6*(-1)</f>
        <v>0</v>
      </c>
      <c r="O5" s="17"/>
      <c r="P5" s="17"/>
      <c r="R5" s="32"/>
    </row>
    <row r="6" spans="1:18">
      <c r="A6" s="16" t="s">
        <v>479</v>
      </c>
      <c r="B6" s="17" t="s">
        <v>210</v>
      </c>
      <c r="C6" s="17">
        <f>'lokale energieproductie'!O39+'lokale energieproductie'!O32</f>
        <v>12947.142857142855</v>
      </c>
      <c r="D6" s="310">
        <f>('lokale energieproductie'!P32+'lokale energieproductie'!P39)*(-1)</f>
        <v>-25894.28571428571</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451.68432140811495</v>
      </c>
      <c r="C8" s="21">
        <f>C5+C6</f>
        <v>12947.142857142855</v>
      </c>
      <c r="D8" s="21">
        <f>MAX((D5+D6),0)</f>
        <v>0</v>
      </c>
      <c r="E8" s="21">
        <f>MAX((E5+E6),0)</f>
        <v>16.844689949090011</v>
      </c>
      <c r="F8" s="21">
        <f>MAX((F5+F6),0)</f>
        <v>1465.4384763400551</v>
      </c>
      <c r="G8" s="21"/>
      <c r="H8" s="21"/>
      <c r="I8" s="21"/>
      <c r="J8" s="21">
        <f>MAX((J5+J6),0)</f>
        <v>118.56936429317868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0.20199513926551127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91.238037406880139</v>
      </c>
      <c r="C12" s="23">
        <f ca="1">C8*C10</f>
        <v>3076.8504201680662</v>
      </c>
      <c r="D12" s="23">
        <f>D8*D10</f>
        <v>0</v>
      </c>
      <c r="E12" s="23">
        <f>E8*E10</f>
        <v>3.8237446184434325</v>
      </c>
      <c r="F12" s="23">
        <f>F8*F10</f>
        <v>391.27207318279471</v>
      </c>
      <c r="G12" s="23"/>
      <c r="H12" s="23"/>
      <c r="I12" s="23"/>
      <c r="J12" s="23">
        <f>J8*J10</f>
        <v>41.973554959785254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6.2037662866877626E-2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91.209386100890143</v>
      </c>
      <c r="C26" s="247">
        <f>B26*'GWP N2O_CH4'!B5</f>
        <v>1915.397108118693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7.4578355131862084</v>
      </c>
      <c r="C27" s="247">
        <f>B27*'GWP N2O_CH4'!B5</f>
        <v>156.61454577691038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1.2121425679381315</v>
      </c>
      <c r="C28" s="247">
        <f>B28*'GWP N2O_CH4'!B4</f>
        <v>375.76419606082078</v>
      </c>
      <c r="D28" s="50"/>
    </row>
    <row r="29" spans="1:4">
      <c r="A29" s="41" t="s">
        <v>276</v>
      </c>
      <c r="B29" s="247">
        <f>B34*'ha_N2O bodem landbouw'!B4</f>
        <v>9.9117717335437128</v>
      </c>
      <c r="C29" s="247">
        <f>B29*'GWP N2O_CH4'!B4</f>
        <v>3072.6492373985511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2.2589210842300428E-3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2.7833882893328697E-4</v>
      </c>
      <c r="C5" s="440" t="s">
        <v>210</v>
      </c>
      <c r="D5" s="425">
        <f>SUM(D6:D11)</f>
        <v>1.2192928329786315E-3</v>
      </c>
      <c r="E5" s="425">
        <f>SUM(E6:E11)</f>
        <v>6.628794628332677E-4</v>
      </c>
      <c r="F5" s="438" t="s">
        <v>210</v>
      </c>
      <c r="G5" s="425">
        <f>SUM(G6:G11)</f>
        <v>0.26326134388308603</v>
      </c>
      <c r="H5" s="425">
        <f>SUM(H6:H11)</f>
        <v>7.7833280172016919E-2</v>
      </c>
      <c r="I5" s="440" t="s">
        <v>210</v>
      </c>
      <c r="J5" s="440" t="s">
        <v>210</v>
      </c>
      <c r="K5" s="440" t="s">
        <v>210</v>
      </c>
      <c r="L5" s="440" t="s">
        <v>210</v>
      </c>
      <c r="M5" s="425">
        <f>SUM(M6:M11)</f>
        <v>2.0232703090906468E-2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1.6377349121079009E-4</v>
      </c>
      <c r="C6" s="426"/>
      <c r="D6" s="893">
        <f>vkm_GW_PW*SUMIFS(TableVerdeelsleutelVkm[CNG],TableVerdeelsleutelVkm[Voertuigtype],"Lichte voertuigen")*SUMIFS(TableECFTransport[EnergieConsumptieFactor (PJ per km)],TableECFTransport[Index],CONCATENATE($A6,"_CNG_CNG"))</f>
        <v>5.9149987151769004E-4</v>
      </c>
      <c r="E6" s="893">
        <f>vkm_GW_PW*SUMIFS(TableVerdeelsleutelVkm[LPG],TableVerdeelsleutelVkm[Voertuigtype],"Lichte voertuigen")*SUMIFS(TableECFTransport[EnergieConsumptieFactor (PJ per km)],TableECFTransport[Index],CONCATENATE($A6,"_LPG_LPG"))</f>
        <v>3.214649971500267E-4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0.10003792645720017</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3.7860338444214693E-2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8.2642208767881812E-3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4.4855536538296936E-2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4.7221859202849943E-7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2.5254369660797139E-3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8.5078620770791E-5</v>
      </c>
      <c r="C8" s="426"/>
      <c r="D8" s="428">
        <f>vkm_NGW_PW*SUMIFS(TableVerdeelsleutelVkm[CNG],TableVerdeelsleutelVkm[Voertuigtype],"Lichte voertuigen")*SUMIFS(TableECFTransport[EnergieConsumptieFactor (PJ per km)],TableECFTransport[Index],CONCATENATE($A8,"_CNG_CNG"))</f>
        <v>5.208562664636788E-4</v>
      </c>
      <c r="E8" s="428">
        <f>vkm_NGW_PW*SUMIFS(TableVerdeelsleutelVkm[LPG],TableVerdeelsleutelVkm[Voertuigtype],"Lichte voertuigen")*SUMIFS(TableECFTransport[EnergieConsumptieFactor (PJ per km)],TableECFTransport[Index],CONCATENATE($A8,"_LPG_LPG"))</f>
        <v>2.6899404537739861E-4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7.7900741931680659E-2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3.2831068552030072E-2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6.6682505267887694E-3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1.0046637118120861E-2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1.5362102305187066E-7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5.6564473298079197E-4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2.9486716951705851E-5</v>
      </c>
      <c r="C10" s="426"/>
      <c r="D10" s="428">
        <f>vkm_SW_PW*SUMIFS(TableVerdeelsleutelVkm[CNG],TableVerdeelsleutelVkm[Voertuigtype],"Lichte voertuigen")*SUMIFS(TableECFTransport[EnergieConsumptieFactor (PJ per km)],TableECFTransport[Index],CONCATENATE($A10,"_CNG_CNG"))</f>
        <v>1.0693669499726255E-4</v>
      </c>
      <c r="E10" s="428">
        <f>vkm_SW_PW*SUMIFS(TableVerdeelsleutelVkm[LPG],TableVerdeelsleutelVkm[Voertuigtype],"Lichte voertuigen")*SUMIFS(TableECFTransport[EnergieConsumptieFactor (PJ per km)],TableECFTransport[Index],CONCATENATE($A10,"_LPG_LPG"))</f>
        <v>7.242042030584231E-5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2.0027208427184275E-2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7.1411314628501248E-3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1.6239908409173161E-3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1.0393293410603108E-2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1.1587330693775912E-7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5.8515914735169598E-4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77.316341370357492</v>
      </c>
      <c r="C14" s="21"/>
      <c r="D14" s="21">
        <f t="shared" ref="D14:M14" si="0">((D5)*10^9/3600)+D12</f>
        <v>338.69245360517539</v>
      </c>
      <c r="E14" s="21">
        <f t="shared" si="0"/>
        <v>184.13318412035215</v>
      </c>
      <c r="F14" s="21"/>
      <c r="G14" s="21">
        <f t="shared" si="0"/>
        <v>73128.151078635012</v>
      </c>
      <c r="H14" s="21">
        <f t="shared" si="0"/>
        <v>21620.355603338034</v>
      </c>
      <c r="I14" s="21"/>
      <c r="J14" s="21"/>
      <c r="K14" s="21"/>
      <c r="L14" s="21"/>
      <c r="M14" s="21">
        <f t="shared" si="0"/>
        <v>5620.1953030295745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0.20199513926551127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15.617525142605173</v>
      </c>
      <c r="C18" s="23"/>
      <c r="D18" s="23">
        <f t="shared" ref="D18:M18" si="1">D14*D16</f>
        <v>68.415875628245431</v>
      </c>
      <c r="E18" s="23">
        <f t="shared" si="1"/>
        <v>41.79823279531994</v>
      </c>
      <c r="F18" s="23"/>
      <c r="G18" s="23">
        <f t="shared" si="1"/>
        <v>19525.216337995549</v>
      </c>
      <c r="H18" s="23">
        <f t="shared" si="1"/>
        <v>5383.4685452311705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1.5898946192975837E-2</v>
      </c>
      <c r="H50" s="321">
        <f t="shared" si="2"/>
        <v>0</v>
      </c>
      <c r="I50" s="321">
        <f t="shared" si="2"/>
        <v>0</v>
      </c>
      <c r="J50" s="321">
        <f t="shared" si="2"/>
        <v>0</v>
      </c>
      <c r="K50" s="321">
        <f t="shared" si="2"/>
        <v>0</v>
      </c>
      <c r="L50" s="321">
        <f t="shared" si="2"/>
        <v>0</v>
      </c>
      <c r="M50" s="321">
        <f t="shared" si="2"/>
        <v>8.6276737428359052E-4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1.5898946192975837E-2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8.6276737428359052E-4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4416.3739424932883</v>
      </c>
      <c r="H54" s="21">
        <f t="shared" si="3"/>
        <v>0</v>
      </c>
      <c r="I54" s="21">
        <f t="shared" si="3"/>
        <v>0</v>
      </c>
      <c r="J54" s="21">
        <f t="shared" si="3"/>
        <v>0</v>
      </c>
      <c r="K54" s="21">
        <f t="shared" si="3"/>
        <v>0</v>
      </c>
      <c r="L54" s="21">
        <f t="shared" si="3"/>
        <v>0</v>
      </c>
      <c r="M54" s="21">
        <f t="shared" si="3"/>
        <v>239.65760396766402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0.20199513926551127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1179.171842645708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6540.5451012745807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9062.9999999999982</v>
      </c>
      <c r="C8" s="551">
        <f>B48</f>
        <v>10662.352941176468</v>
      </c>
      <c r="D8" s="552"/>
      <c r="E8" s="552">
        <f>E48</f>
        <v>0</v>
      </c>
      <c r="F8" s="553"/>
      <c r="G8" s="554"/>
      <c r="H8" s="552">
        <f>I48</f>
        <v>0</v>
      </c>
      <c r="I8" s="552">
        <f>G48+F48</f>
        <v>0</v>
      </c>
      <c r="J8" s="552">
        <f>H48+D48+C48</f>
        <v>0</v>
      </c>
      <c r="K8" s="552"/>
      <c r="L8" s="552"/>
      <c r="M8" s="552"/>
      <c r="N8" s="555"/>
      <c r="O8" s="556">
        <f>C8*$C$12+D8*$D$12+E8*$E$12+F8*$F$12+G8*$G$12+H8*$H$12+I8*$I$12+J8*$J$12</f>
        <v>2153.7952941176468</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15603.54510127458</v>
      </c>
      <c r="C10" s="566">
        <f t="shared" ref="C10:L10" si="0">SUM(C8:C9)</f>
        <v>10662.352941176468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2153.7952941176468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12947.142857142855</v>
      </c>
      <c r="C17" s="582">
        <f>B49</f>
        <v>15231.932773109238</v>
      </c>
      <c r="D17" s="583"/>
      <c r="E17" s="583">
        <f>E49</f>
        <v>0</v>
      </c>
      <c r="F17" s="584"/>
      <c r="G17" s="585"/>
      <c r="H17" s="582">
        <f>I49</f>
        <v>0</v>
      </c>
      <c r="I17" s="583">
        <f>G49+F49</f>
        <v>0</v>
      </c>
      <c r="J17" s="583">
        <f>H49+D49+C49</f>
        <v>0</v>
      </c>
      <c r="K17" s="583"/>
      <c r="L17" s="583"/>
      <c r="M17" s="583"/>
      <c r="N17" s="970"/>
      <c r="O17" s="586">
        <f>C17*$C$22+E17*$E$22+H17*$H$22+I17*$I$22+J17*$J$22+D17*$D$22+F17*$F$22+G17*$G$22+K17*$K$22+L17*$L$22</f>
        <v>3076.8504201680662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12947.142857142855</v>
      </c>
      <c r="C20" s="565">
        <f>SUM(C17:C19)</f>
        <v>15231.932773109238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3076.8504201680662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24038</v>
      </c>
      <c r="C28" s="794">
        <v>3020</v>
      </c>
      <c r="D28" s="643" t="s">
        <v>865</v>
      </c>
      <c r="E28" s="642" t="s">
        <v>866</v>
      </c>
      <c r="F28" s="642" t="s">
        <v>867</v>
      </c>
      <c r="G28" s="642" t="s">
        <v>868</v>
      </c>
      <c r="H28" s="642" t="s">
        <v>869</v>
      </c>
      <c r="I28" s="642" t="s">
        <v>866</v>
      </c>
      <c r="J28" s="793">
        <v>40091</v>
      </c>
      <c r="K28" s="793">
        <v>40091</v>
      </c>
      <c r="L28" s="642" t="s">
        <v>870</v>
      </c>
      <c r="M28" s="642">
        <v>2014</v>
      </c>
      <c r="N28" s="642">
        <v>9062.9999999999982</v>
      </c>
      <c r="O28" s="642">
        <v>12947.142857142855</v>
      </c>
      <c r="P28" s="642">
        <v>25894.28571428571</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2014</v>
      </c>
      <c r="N29" s="600">
        <f>SUM(N28:N28)</f>
        <v>9062.9999999999982</v>
      </c>
      <c r="O29" s="600">
        <f>SUM(O28:O28)</f>
        <v>12947.142857142855</v>
      </c>
      <c r="P29" s="600">
        <f>SUM(P28:P28)</f>
        <v>25894.28571428571</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2014</v>
      </c>
      <c r="N32" s="605">
        <f>SUMIF($Z$28:$Z$28,"landbouw",N28:N28)</f>
        <v>9062.9999999999982</v>
      </c>
      <c r="O32" s="605">
        <f>SUMIF($Z$28:$Z$28,"landbouw",O28:O28)</f>
        <v>12947.142857142855</v>
      </c>
      <c r="P32" s="605">
        <f>SUMIF($Z$28:$Z$28,"landbouw",P28:P28)</f>
        <v>25894.28571428571</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0.58823529411764697</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10662.352941176468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15231.932773109238</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2020-06-20T15:20:40Z</dcterms:modified>
</cp:coreProperties>
</file>