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D6" i="17" s="1"/>
  <c r="O33" i="18"/>
  <c r="C6" i="17" s="1"/>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J15" i="16"/>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8" i="15"/>
  <c r="C20" i="15" s="1"/>
  <c r="D40" i="14" s="1"/>
  <c r="C20" i="16"/>
  <c r="C22" i="16" s="1"/>
  <c r="D43" i="14" s="1"/>
  <c r="C10" i="17"/>
  <c r="C12" i="17" s="1"/>
  <c r="D54" i="14" s="1"/>
  <c r="D56" i="14" s="1"/>
  <c r="C10" i="13"/>
  <c r="C12" i="13" s="1"/>
  <c r="D41" i="14" s="1"/>
  <c r="D46" i="14" s="1"/>
  <c r="D61" i="14" s="1"/>
  <c r="D63" i="14" s="1"/>
  <c r="C29" i="20"/>
  <c r="C17" i="49"/>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<sst xmlns="http://schemas.openxmlformats.org/spreadsheetml/2006/main" count="2384" uniqueCount="875">
  <si>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</si>
  <si>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</si>
  <si>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</si>
  <si>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</si>
  <si>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</si>
  <si>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</si>
  <si>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</si>
  <si>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</si>
  <si>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</si>
  <si>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</si>
  <si>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</si>
  <si>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</si>
  <si>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</si>
  <si>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</si>
  <si>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</si>
  <si>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</si>
  <si>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</si>
  <si>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</si>
  <si>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</si>
  <si>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</si>
  <si>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</si>
  <si>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</si>
  <si>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</si>
  <si>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</si>
  <si>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</si>
  <si>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</si>
  <si>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</si>
  <si>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</si>
  <si>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</si>
  <si>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</si>
  <si>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</si>
  <si>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</si>
  <si>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</si>
  <si>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</si>
  <si>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</si>
  <si>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</si>
  <si>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</si>
  <si>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</si>
  <si>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</si>
  <si>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</si>
  <si>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</si>
  <si>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</si>
  <si>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</si>
  <si>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</si>
  <si>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</si>
  <si>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</si>
  <si>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</si>
  <si>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</si>
  <si>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</si>
  <si>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</si>
  <si>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</si>
  <si>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</si>
  <si>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</si>
  <si>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</si>
  <si>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</si>
  <si>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</si>
  <si>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</si>
  <si>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</si>
  <si>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</si>
  <si>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</si>
  <si>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</si>
  <si>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</si>
  <si>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</si>
  <si>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</si>
  <si>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</si>
  <si>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</si>
  <si>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</si>
  <si>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</si>
  <si>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</si>
  <si>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</si>
  <si>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</si>
  <si>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</si>
  <si>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</si>
  <si>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</si>
  <si>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</si>
  <si>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</si>
  <si>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</si>
  <si>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</si>
  <si>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</si>
  <si>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</si>
  <si>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</si>
  <si>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</si>
  <si>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</si>
  <si>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</si>
  <si>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</si>
  <si>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</si>
  <si>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</si>
  <si>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</si>
  <si>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</si>
  <si>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</si>
  <si>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</si>
  <si>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</si>
  <si>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</si>
  <si>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</si>
  <si>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</si>
  <si>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</si>
  <si>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</si>
  <si>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</si>
  <si>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</si>
  <si>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</si>
  <si>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</si>
  <si>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</si>
  <si>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</si>
  <si>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</si>
  <si>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</si>
  <si>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</si>
  <si>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</si>
  <si>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</si>
  <si>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</si>
  <si>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</si>
  <si>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</si>
  <si>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</si>
  <si>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</si>
  <si>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</si>
  <si>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</si>
  <si>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</si>
  <si>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</si>
  <si>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</si>
  <si>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</si>
  <si>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</si>
  <si>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</si>
  <si>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</si>
  <si>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</si>
  <si>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</si>
  <si>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</si>
  <si>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</si>
  <si>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</si>
  <si>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</si>
  <si>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</si>
  <si>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</si>
  <si>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</si>
  <si>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</si>
  <si>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</si>
  <si>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</si>
  <si>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</si>
  <si>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</si>
  <si>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</si>
  <si>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</si>
  <si>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</si>
  <si>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</si>
  <si>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</si>
  <si>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</si>
  <si>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</si>
  <si>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</si>
  <si>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</si>
  <si>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</si>
  <si>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</si>
  <si>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</si>
  <si>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</si>
  <si>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</si>
  <si>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</si>
  <si>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</si>
  <si>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</si>
  <si>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</si>
  <si>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</si>
  <si>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</si>
  <si>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</si>
  <si>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</si>
  <si>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</si>
  <si>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</si>
  <si>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</si>
  <si>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</si>
  <si>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</si>
  <si>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</si>
  <si>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</si>
  <si>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</si>
  <si>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</si>
  <si>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</si>
  <si>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</si>
  <si>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</si>
  <si>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</si>
  <si>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</si>
  <si>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</si>
  <si>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</si>
  <si>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</si>
  <si>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</si>
  <si>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</si>
  <si>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</si>
  <si>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</si>
  <si>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</si>
  <si>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</si>
  <si>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</si>
  <si>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</si>
  <si>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</si>
  <si>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</si>
  <si>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</si>
  <si>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</si>
  <si>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</si>
  <si>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</si>
  <si>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</si>
  <si>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</si>
  <si>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</si>
  <si>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</si>
  <si>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</si>
  <si>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</si>
  <si>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</si>
  <si>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</si>
  <si>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</si>
  <si>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</si>
  <si>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</si>
  <si>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</si>
  <si>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</si>
  <si>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</si>
  <si>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</si>
  <si>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</si>
  <si>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</si>
  <si>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</si>
  <si>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</si>
  <si>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</si>
  <si>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</si>
  <si>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</si>
  <si>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</si>
  <si>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</si>
  <si>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</si>
  <si>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</si>
  <si>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</si>
  <si>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</si>
  <si>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</si>
  <si>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</si>
  <si>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</si>
  <si>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</si>
  <si>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</si>
  <si>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</si>
  <si>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</si>
  <si>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</si>
  <si>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</si>
  <si>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</si>
  <si>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</si>
  <si>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</si>
  <si>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</si>
  <si>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</si>
  <si>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</si>
  <si>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</si>
  <si>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</si>
  <si>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</si>
  <si>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</si>
  <si>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</si>
  <si>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</si>
  <si>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</si>
  <si>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</si>
  <si>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</si>
  <si>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</si>
  <si>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</si>
  <si>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</si>
  <si>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</si>
  <si>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</si>
  <si>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</si>
  <si>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</si>
  <si>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</si>
  <si>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</si>
  <si>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</si>
  <si>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</si>
  <si>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</si>
  <si>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</si>
  <si>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</si>
  <si>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</si>
  <si>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</si>
  <si>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</si>
  <si>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</si>
  <si>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</si>
  <si>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</si>
  <si>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</si>
  <si>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</si>
  <si>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</si>
  <si>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</si>
  <si>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</si>
  <si>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</si>
  <si>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</si>
  <si>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</si>
  <si>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</si>
  <si>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</si>
  <si>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</si>
  <si>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</si>
  <si>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</si>
  <si>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</si>
  <si>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</si>
  <si>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</si>
  <si>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</si>
  <si>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</si>
  <si>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</si>
  <si>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</si>
  <si>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</si>
  <si>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</si>
  <si>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</si>
  <si>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</si>
  <si>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</si>
  <si>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</si>
  <si>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</si>
  <si>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</si>
  <si>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</si>
  <si>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</si>
  <si>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</si>
  <si>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</si>
  <si>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</si>
  <si>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</si>
  <si>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</si>
  <si>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</si>
  <si>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</si>
  <si>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</si>
  <si>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</si>
  <si>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</si>
  <si>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</si>
  <si>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</si>
  <si>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</si>
  <si>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</si>
  <si>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</si>
  <si>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</si>
  <si>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</si>
  <si>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</si>
  <si>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</si>
  <si>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</si>
  <si>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</si>
  <si>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</si>
  <si>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</si>
  <si>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</si>
  <si>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</si>
  <si>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</si>
  <si>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</si>
  <si>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</si>
  <si>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</si>
  <si>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</si>
  <si>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</si>
  <si>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</si>
  <si>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</si>
  <si>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</si>
  <si>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</si>
  <si>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</si>
  <si>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</si>
  <si>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</si>
  <si>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</si>
  <si>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</si>
  <si>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</si>
  <si>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</si>
  <si>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</si>
  <si>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</si>
  <si>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</si>
  <si>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</si>
  <si>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</si>
  <si>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</si>
  <si>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</si>
  <si>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</si>
  <si>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</si>
  <si>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</si>
  <si>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</si>
  <si>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</si>
  <si>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</si>
  <si>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</si>
  <si>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</si>
  <si>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</si>
  <si>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</si>
  <si>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</si>
  <si>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</si>
  <si>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</si>
  <si>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</si>
  <si>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</si>
  <si>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</si>
  <si>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</si>
  <si>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</si>
  <si>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</si>
  <si>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</si>
  <si>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</si>
  <si>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</si>
  <si>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</si>
  <si>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</si>
  <si>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</si>
  <si>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</si>
  <si>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</si>
  <si>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</si>
  <si>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</si>
  <si>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</si>
  <si>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</si>
  <si>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</si>
  <si>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</si>
  <si>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</si>
  <si>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</si>
  <si>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</si>
  <si>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</si>
  <si>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</si>
  <si>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</si>
  <si>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</si>
  <si>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</si>
  <si>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</si>
  <si>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</si>
  <si>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</si>
  <si>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</si>
  <si>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</si>
  <si>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</si>
  <si>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</si>
  <si>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</si>
  <si>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</si>
  <si>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</si>
  <si>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</si>
  <si>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</si>
  <si>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</si>
  <si>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</si>
  <si>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</si>
  <si>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</si>
  <si>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</si>
  <si>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</si>
  <si>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</si>
  <si>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</si>
  <si>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</si>
  <si>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</si>
  <si>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</si>
  <si>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</si>
  <si>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</si>
  <si>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</si>
  <si>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</si>
  <si>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</si>
  <si>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</si>
  <si>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</si>
  <si>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</si>
  <si>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</si>
  <si>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</si>
  <si>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</si>
  <si>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</si>
  <si>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</si>
  <si>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</si>
  <si>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</si>
  <si>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</si>
  <si>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</si>
  <si>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</si>
  <si>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</si>
  <si>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</si>
  <si>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</si>
  <si>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</si>
  <si>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</si>
  <si>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</si>
  <si>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</si>
  <si>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</si>
  <si>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</si>
  <si>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</si>
  <si>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</si>
  <si>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</si>
  <si>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</si>
  <si>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</si>
  <si>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</si>
  <si>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</si>
  <si>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</si>
  <si>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</si>
  <si>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</si>
  <si>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</si>
  <si>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</si>
  <si>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</si>
  <si>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</si>
  <si>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</si>
  <si>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</si>
  <si>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</si>
  <si>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</si>
  <si>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</si>
  <si>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</si>
  <si>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</si>
  <si>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</si>
  <si>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</si>
  <si>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</si>
  <si>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</si>
  <si>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</si>
  <si>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</si>
  <si>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</si>
  <si>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</si>
  <si>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</si>
  <si>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</si>
  <si>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</si>
  <si>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</si>
  <si>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</si>
  <si>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</si>
  <si>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</si>
  <si>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</si>
  <si>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</si>
  <si>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</si>
  <si>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</si>
  <si>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</si>
  <si>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</si>
  <si>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</si>
  <si>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</si>
  <si>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</si>
  <si>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</si>
  <si>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</si>
  <si>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</si>
  <si>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</si>
  <si>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</si>
  <si>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</si>
  <si>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</si>
  <si>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</si>
  <si>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</si>
  <si>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</si>
  <si>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</si>
  <si>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</si>
  <si>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</si>
  <si>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</si>
  <si>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</si>
  <si>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</si>
  <si>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</si>
  <si>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</si>
  <si>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</si>
  <si>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</si>
  <si>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</si>
  <si>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</si>
  <si>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</si>
  <si>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</si>
  <si>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</si>
  <si>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</si>
  <si>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</si>
  <si>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</si>
  <si>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</si>
  <si>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</si>
  <si>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</si>
  <si>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</si>
  <si>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</si>
  <si>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</si>
  <si>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</si>
  <si>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</si>
  <si>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</si>
  <si>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</si>
  <si>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</si>
  <si>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</si>
  <si>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</si>
  <si>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</si>
  <si>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</si>
  <si>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</si>
  <si>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</si>
  <si>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</si>
  <si>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</si>
  <si>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</si>
  <si>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</si>
  <si>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</si>
  <si>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</si>
  <si>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</si>
  <si>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</si>
  <si>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</si>
  <si>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</si>
  <si>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</si>
  <si>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</si>
  <si>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</si>
  <si>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</si>
  <si>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</si>
  <si>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</si>
  <si>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</si>
  <si>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</si>
  <si>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</si>
  <si>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</si>
  <si>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</si>
  <si>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</si>
  <si>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</si>
  <si>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</si>
  <si>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</si>
  <si>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</si>
  <si>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</si>
  <si>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</si>
  <si>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</si>
  <si>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</si>
  <si>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</si>
  <si>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</si>
  <si>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</si>
  <si>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</si>
  <si>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</si>
  <si>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</si>
  <si>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</si>
  <si>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</si>
  <si>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</si>
  <si>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</si>
  <si>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</si>
  <si>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</si>
  <si>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</si>
  <si>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</si>
  <si>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</si>
  <si>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</si>
  <si>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</si>
  <si>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</si>
  <si>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</si>
  <si>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</si>
  <si>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</si>
  <si>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</si>
  <si>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</si>
  <si>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</si>
  <si>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</si>
  <si>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</si>
  <si>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</si>
  <si>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</si>
  <si>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</si>
  <si>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</si>
  <si>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</si>
  <si>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</si>
  <si>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</si>
  <si>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</si>
  <si>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</si>
  <si>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</si>
  <si>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</si>
  <si>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</si>
  <si>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</si>
  <si>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</si>
  <si>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</si>
  <si>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</si>
  <si>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</si>
  <si>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</si>
  <si>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</si>
  <si>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</si>
  <si>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</si>
  <si>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</si>
  <si>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</si>
  <si>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</si>
  <si>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</si>
  <si>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</si>
  <si>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</si>
  <si>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</si>
  <si>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</si>
  <si>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</si>
  <si>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</si>
  <si>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</si>
  <si>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</si>
  <si>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</si>
  <si>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</si>
  <si>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</si>
  <si>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</si>
  <si>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</si>
  <si>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</si>
  <si>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</si>
  <si>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</si>
  <si>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</si>
  <si>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</si>
  <si>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</si>
  <si>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</si>
  <si>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</si>
  <si>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</si>
  <si>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</si>
  <si>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</si>
  <si>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</si>
  <si>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</si>
  <si>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</si>
  <si>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</si>
  <si>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</si>
  <si>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</si>
  <si>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</si>
  <si>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</si>
  <si>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</si>
  <si>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</si>
  <si>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</si>
  <si>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</si>
  <si>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</si>
  <si>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</si>
  <si>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</si>
  <si>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</si>
  <si>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</si>
  <si>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</si>
  <si>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</si>
  <si>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</si>
  <si>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</si>
  <si>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</si>
  <si>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</si>
  <si>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</si>
  <si>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</si>
  <si>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</si>
  <si>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</si>
  <si>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</si>
  <si>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</si>
  <si>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</si>
  <si>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</si>
  <si>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</si>
  <si>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</si>
  <si>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</si>
  <si>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</si>
  <si>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</si>
  <si>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</si>
  <si>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</si>
  <si>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</si>
  <si>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</si>
  <si>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</si>
  <si>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</si>
  <si>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</si>
  <si>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</si>
  <si>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</si>
  <si>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</si>
  <si>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</si>
  <si>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</si>
  <si>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</si>
  <si>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</si>
  <si>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</si>
  <si>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</si>
  <si>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</si>
  <si>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</si>
  <si>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</si>
  <si>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</si>
  <si>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</si>
  <si>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</si>
  <si>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</si>
  <si>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</si>
  <si>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</si>
  <si>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</si>
  <si>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</si>
  <si>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</si>
  <si>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</si>
  <si>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</si>
  <si>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</si>
  <si>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</si>
  <si>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</si>
  <si>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</si>
  <si>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</si>
  <si>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</si>
  <si>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</si>
  <si>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</si>
  <si>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</si>
  <si>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</si>
  <si>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</si>
  <si>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</si>
  <si>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</si>
  <si>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</si>
  <si>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</si>
  <si>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</si>
  <si>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</si>
  <si>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</si>
  <si>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</si>
  <si>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</si>
  <si>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</si>
  <si>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</si>
  <si>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</si>
  <si>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</si>
  <si>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</si>
  <si>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</si>
  <si>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</si>
  <si>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</si>
  <si>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</si>
  <si>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</si>
  <si>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</si>
  <si>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</si>
  <si>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</si>
  <si>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</si>
  <si>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</si>
  <si>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</si>
  <si>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</si>
  <si>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</si>
  <si>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</si>
  <si>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</si>
  <si>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</si>
  <si>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</si>
  <si>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</si>
  <si>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</si>
  <si>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</si>
  <si>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</si>
  <si>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</si>
  <si>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</si>
  <si>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</si>
  <si>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</si>
  <si>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</si>
  <si>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</si>
  <si>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</si>
  <si>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</si>
  <si>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</si>
  <si>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</si>
  <si>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</si>
  <si>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</si>
  <si>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</si>
  <si>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</si>
  <si>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</si>
  <si>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</si>
  <si>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</si>
  <si>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</si>
  <si>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</si>
  <si>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</si>
  <si>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</si>
  <si>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</si>
  <si>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</si>
  <si>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</si>
  <si>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</si>
  <si>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</si>
  <si>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</si>
  <si>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</si>
  <si>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</si>
  <si>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</si>
  <si>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</si>
  <si>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</si>
  <si>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</si>
  <si>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</si>
  <si>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</si>
  <si>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</si>
  <si>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</si>
  <si>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</si>
  <si>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</si>
  <si>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</si>
  <si>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</si>
  <si>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</si>
  <si>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</si>
  <si>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</si>
  <si>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</si>
  <si>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</si>
  <si>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</si>
  <si>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</si>
  <si>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</si>
  <si>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</si>
  <si>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</si>
  <si>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</si>
  <si>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</si>
  <si>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</si>
  <si>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</si>
  <si>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</si>
  <si>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</si>
  <si>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</si>
  <si>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</si>
  <si>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</si>
  <si>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</si>
  <si>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</si>
  <si>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</si>
  <si>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</si>
  <si>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</si>
  <si>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</si>
  <si>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</si>
  <si>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</si>
  <si>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</si>
  <si>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</si>
  <si>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</si>
  <si>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</si>
  <si>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</si>
  <si>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</si>
  <si>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</si>
  <si>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</si>
  <si>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</si>
  <si>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</si>
  <si>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</si>
  <si>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</si>
  <si>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</si>
  <si>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</si>
  <si>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</si>
  <si>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</si>
  <si>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</si>
  <si>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</si>
  <si>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</si>
  <si>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</si>
  <si>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</si>
  <si>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</si>
  <si>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</si>
  <si>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</si>
  <si>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</si>
  <si>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</si>
  <si>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</si>
  <si>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</si>
  <si>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</si>
  <si>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</si>
  <si>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</si>
  <si>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</si>
  <si>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</si>
  <si>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</si>
  <si>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</si>
  <si>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</si>
  <si>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</si>
  <si>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</si>
  <si>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</si>
  <si>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</si>
  <si>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</si>
  <si>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</si>
  <si>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</si>
  <si>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</si>
  <si>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</si>
  <si>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</si>
  <si>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</si>
  <si>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</si>
  <si>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</si>
  <si>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</si>
  <si>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</si>
  <si>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</si>
  <si>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</si>
  <si>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</si>
  <si>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</si>
  <si>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</si>
  <si>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24020</t>
  </si>
  <si>
    <t>DIEST</t>
  </si>
  <si>
    <t>referentietaak LNE (2017); Jaarverslag De Lijn</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</si>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</sst>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184405.98766446774</c:v>
                </c:pt>
                <c:pt idx="1">
                  <c:v>105617.71447418163</c:v>
                </c:pt>
                <c:pt idx="2">
                  <c:v>2014.799</c:v>
                </c:pt>
                <c:pt idx="3">
                  <c:v>25941.614363568686</c:v>
                </c:pt>
                <c:pt idx="4">
                  <c:v>56778.674765847958</c:v>
                </c:pt>
                <c:pt idx="5">
                  <c:v>149486.96286895513</c:v>
                </c:pt>
                <c:pt idx="6">
                  <c:v>2959.6297600239868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184405.98766446774</c:v>
                </c:pt>
                <c:pt idx="1">
                  <c:v>105617.71447418163</c:v>
                </c:pt>
                <c:pt idx="2">
                  <c:v>2014.799</c:v>
                </c:pt>
                <c:pt idx="3">
                  <c:v>25941.614363568686</c:v>
                </c:pt>
                <c:pt idx="4">
                  <c:v>56778.674765847958</c:v>
                </c:pt>
                <c:pt idx="5">
                  <c:v>149486.96286895513</c:v>
                </c:pt>
                <c:pt idx="6">
                  <c:v>2959.6297600239868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35874.962823009155</c:v>
                </c:pt>
                <c:pt idx="1">
                  <c:v>19168.417213044075</c:v>
                </c:pt>
                <c:pt idx="2">
                  <c:v>301.35414934303287</c:v>
                </c:pt>
                <c:pt idx="3">
                  <c:v>6211.6689432751336</c:v>
                </c:pt>
                <c:pt idx="4">
                  <c:v>10505.762418212307</c:v>
                </c:pt>
                <c:pt idx="5">
                  <c:v>37121.983289295349</c:v>
                </c:pt>
                <c:pt idx="6">
                  <c:v>749.54648456564689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35874.962823009155</c:v>
                </c:pt>
                <c:pt idx="1">
                  <c:v>19168.417213044075</c:v>
                </c:pt>
                <c:pt idx="2">
                  <c:v>301.35414934303287</c:v>
                </c:pt>
                <c:pt idx="3">
                  <c:v>6211.6689432751336</c:v>
                </c:pt>
                <c:pt idx="4">
                  <c:v>10505.762418212307</c:v>
                </c:pt>
                <c:pt idx="5">
                  <c:v>37121.983289295349</c:v>
                </c:pt>
                <c:pt idx="6">
                  <c:v>749.54648456564689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24020</v>
      </c>
      <c r="B6" s="392"/>
      <c r="C6" s="393"/>
    </row>
    <row r="7" spans="1:7" s="390" customFormat="1" ht="15.75" customHeight="1">
      <c r="A7" s="394" t="str">
        <f>txtMunicipality</f>
        <v>DIEST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0.14957032902191875</v>
      </c>
      <c r="C17" s="504">
        <f ca="1">'EF ele_warmte'!B22</f>
        <v>0.23764705882352938</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0.14957032902191875</v>
      </c>
      <c r="C29" s="505">
        <f ca="1">'EF ele_warmte'!B22</f>
        <v>0.23764705882352938</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10269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2450.81</v>
      </c>
      <c r="C14" s="332"/>
      <c r="D14" s="332"/>
      <c r="E14" s="332"/>
      <c r="F14" s="332"/>
    </row>
    <row r="15" spans="1:6">
      <c r="A15" s="1310" t="s">
        <v>183</v>
      </c>
      <c r="B15" s="1311">
        <v>181</v>
      </c>
      <c r="C15" s="332"/>
      <c r="D15" s="332"/>
      <c r="E15" s="332"/>
      <c r="F15" s="332"/>
    </row>
    <row r="16" spans="1:6">
      <c r="A16" s="1310" t="s">
        <v>6</v>
      </c>
      <c r="B16" s="1311">
        <v>429</v>
      </c>
      <c r="C16" s="332"/>
      <c r="D16" s="332"/>
      <c r="E16" s="332"/>
      <c r="F16" s="332"/>
    </row>
    <row r="17" spans="1:6">
      <c r="A17" s="1310" t="s">
        <v>7</v>
      </c>
      <c r="B17" s="1311">
        <v>345</v>
      </c>
      <c r="C17" s="332"/>
      <c r="D17" s="332"/>
      <c r="E17" s="332"/>
      <c r="F17" s="332"/>
    </row>
    <row r="18" spans="1:6">
      <c r="A18" s="1310" t="s">
        <v>8</v>
      </c>
      <c r="B18" s="1311">
        <v>404</v>
      </c>
      <c r="C18" s="332"/>
      <c r="D18" s="332"/>
      <c r="E18" s="332"/>
      <c r="F18" s="332"/>
    </row>
    <row r="19" spans="1:6">
      <c r="A19" s="1310" t="s">
        <v>9</v>
      </c>
      <c r="B19" s="1311">
        <v>282</v>
      </c>
      <c r="C19" s="332"/>
      <c r="D19" s="332"/>
      <c r="E19" s="332"/>
      <c r="F19" s="332"/>
    </row>
    <row r="20" spans="1:6">
      <c r="A20" s="1310" t="s">
        <v>10</v>
      </c>
      <c r="B20" s="1311">
        <v>295</v>
      </c>
      <c r="C20" s="332"/>
      <c r="D20" s="332"/>
      <c r="E20" s="332"/>
      <c r="F20" s="332"/>
    </row>
    <row r="21" spans="1:6">
      <c r="A21" s="1310" t="s">
        <v>11</v>
      </c>
      <c r="B21" s="1311">
        <v>700</v>
      </c>
      <c r="C21" s="332"/>
      <c r="D21" s="332"/>
      <c r="E21" s="332"/>
      <c r="F21" s="332"/>
    </row>
    <row r="22" spans="1:6">
      <c r="A22" s="1310" t="s">
        <v>12</v>
      </c>
      <c r="B22" s="1311">
        <v>5589</v>
      </c>
      <c r="C22" s="332"/>
      <c r="D22" s="332"/>
      <c r="E22" s="332"/>
      <c r="F22" s="332"/>
    </row>
    <row r="23" spans="1:6">
      <c r="A23" s="1310" t="s">
        <v>13</v>
      </c>
      <c r="B23" s="1311">
        <v>48</v>
      </c>
      <c r="C23" s="332"/>
      <c r="D23" s="332"/>
      <c r="E23" s="332"/>
      <c r="F23" s="332"/>
    </row>
    <row r="24" spans="1:6">
      <c r="A24" s="1310" t="s">
        <v>14</v>
      </c>
      <c r="B24" s="1311">
        <v>6</v>
      </c>
      <c r="C24" s="332"/>
      <c r="D24" s="332"/>
      <c r="E24" s="332"/>
      <c r="F24" s="332"/>
    </row>
    <row r="25" spans="1:6">
      <c r="A25" s="1310" t="s">
        <v>15</v>
      </c>
      <c r="B25" s="1311">
        <v>253</v>
      </c>
      <c r="C25" s="332"/>
      <c r="D25" s="332"/>
      <c r="E25" s="332"/>
      <c r="F25" s="332"/>
    </row>
    <row r="26" spans="1:6">
      <c r="A26" s="1310" t="s">
        <v>16</v>
      </c>
      <c r="B26" s="1311">
        <v>205</v>
      </c>
      <c r="C26" s="332"/>
      <c r="D26" s="332"/>
      <c r="E26" s="332"/>
      <c r="F26" s="332"/>
    </row>
    <row r="27" spans="1:6">
      <c r="A27" s="1310" t="s">
        <v>17</v>
      </c>
      <c r="B27" s="1311">
        <v>0</v>
      </c>
      <c r="C27" s="332"/>
      <c r="D27" s="332"/>
      <c r="E27" s="332"/>
      <c r="F27" s="332"/>
    </row>
    <row r="28" spans="1:6" s="43" customFormat="1">
      <c r="A28" s="1312" t="s">
        <v>18</v>
      </c>
      <c r="B28" s="1313">
        <v>145565</v>
      </c>
      <c r="C28" s="338"/>
      <c r="D28" s="338"/>
      <c r="E28" s="338"/>
      <c r="F28" s="338"/>
    </row>
    <row r="29" spans="1:6">
      <c r="A29" s="1312" t="s">
        <v>699</v>
      </c>
      <c r="B29" s="1313">
        <v>182</v>
      </c>
      <c r="C29" s="338"/>
      <c r="D29" s="338"/>
      <c r="E29" s="338"/>
      <c r="F29" s="338"/>
    </row>
    <row r="30" spans="1:6">
      <c r="A30" s="1305" t="s">
        <v>700</v>
      </c>
      <c r="B30" s="1314">
        <v>32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30339.563999999998</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19449.050999999999</v>
      </c>
    </row>
    <row r="39" spans="1:6">
      <c r="A39" s="1310" t="s">
        <v>29</v>
      </c>
      <c r="B39" s="1310" t="s">
        <v>30</v>
      </c>
      <c r="C39" s="1311">
        <v>6025</v>
      </c>
      <c r="D39" s="1311">
        <v>85148289.515272096</v>
      </c>
      <c r="E39" s="1311">
        <v>10467</v>
      </c>
      <c r="F39" s="1311">
        <v>33320804.083000101</v>
      </c>
    </row>
    <row r="40" spans="1:6">
      <c r="A40" s="1310" t="s">
        <v>29</v>
      </c>
      <c r="B40" s="1310" t="s">
        <v>28</v>
      </c>
      <c r="C40" s="1311">
        <v>0</v>
      </c>
      <c r="D40" s="1311">
        <v>0</v>
      </c>
      <c r="E40" s="1311">
        <v>0</v>
      </c>
      <c r="F40" s="1311">
        <v>0</v>
      </c>
    </row>
    <row r="41" spans="1:6">
      <c r="A41" s="1310" t="s">
        <v>31</v>
      </c>
      <c r="B41" s="1310" t="s">
        <v>32</v>
      </c>
      <c r="C41" s="1311">
        <v>87</v>
      </c>
      <c r="D41" s="1311">
        <v>6777292.45144164</v>
      </c>
      <c r="E41" s="1311">
        <v>242</v>
      </c>
      <c r="F41" s="1311">
        <v>16384026.078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13</v>
      </c>
      <c r="D44" s="1311">
        <v>6060741.7163523296</v>
      </c>
      <c r="E44" s="1311">
        <v>32</v>
      </c>
      <c r="F44" s="1311">
        <v>4878656.5180000002</v>
      </c>
    </row>
    <row r="45" spans="1:6">
      <c r="A45" s="1310" t="s">
        <v>31</v>
      </c>
      <c r="B45" s="1310" t="s">
        <v>36</v>
      </c>
      <c r="C45" s="1311">
        <v>5</v>
      </c>
      <c r="D45" s="1311">
        <v>395922.066678654</v>
      </c>
      <c r="E45" s="1311">
        <v>6</v>
      </c>
      <c r="F45" s="1311">
        <v>608489.70299999998</v>
      </c>
    </row>
    <row r="46" spans="1:6">
      <c r="A46" s="1310" t="s">
        <v>31</v>
      </c>
      <c r="B46" s="1310" t="s">
        <v>37</v>
      </c>
      <c r="C46" s="1311">
        <v>0</v>
      </c>
      <c r="D46" s="1311">
        <v>0</v>
      </c>
      <c r="E46" s="1311">
        <v>0</v>
      </c>
      <c r="F46" s="1311">
        <v>0</v>
      </c>
    </row>
    <row r="47" spans="1:6">
      <c r="A47" s="1310" t="s">
        <v>31</v>
      </c>
      <c r="B47" s="1310" t="s">
        <v>38</v>
      </c>
      <c r="C47" s="1311">
        <v>8</v>
      </c>
      <c r="D47" s="1311">
        <v>996132.36418110202</v>
      </c>
      <c r="E47" s="1311">
        <v>11</v>
      </c>
      <c r="F47" s="1311">
        <v>1329320.3559999999</v>
      </c>
    </row>
    <row r="48" spans="1:6">
      <c r="A48" s="1310" t="s">
        <v>31</v>
      </c>
      <c r="B48" s="1310" t="s">
        <v>28</v>
      </c>
      <c r="C48" s="1311">
        <v>1</v>
      </c>
      <c r="D48" s="1311">
        <v>11620.619023568401</v>
      </c>
      <c r="E48" s="1311">
        <v>2</v>
      </c>
      <c r="F48" s="1311">
        <v>1316.6769999999999</v>
      </c>
    </row>
    <row r="49" spans="1:6">
      <c r="A49" s="1310" t="s">
        <v>31</v>
      </c>
      <c r="B49" s="1310" t="s">
        <v>39</v>
      </c>
      <c r="C49" s="1311">
        <v>3</v>
      </c>
      <c r="D49" s="1311">
        <v>54797.687920914599</v>
      </c>
      <c r="E49" s="1311">
        <v>4</v>
      </c>
      <c r="F49" s="1311">
        <v>68471.202999999994</v>
      </c>
    </row>
    <row r="50" spans="1:6">
      <c r="A50" s="1310" t="s">
        <v>31</v>
      </c>
      <c r="B50" s="1310" t="s">
        <v>40</v>
      </c>
      <c r="C50" s="1311">
        <v>17</v>
      </c>
      <c r="D50" s="1311">
        <v>5274479.0229523703</v>
      </c>
      <c r="E50" s="1311">
        <v>23</v>
      </c>
      <c r="F50" s="1311">
        <v>4293541.17</v>
      </c>
    </row>
    <row r="51" spans="1:6">
      <c r="A51" s="1310" t="s">
        <v>41</v>
      </c>
      <c r="B51" s="1310" t="s">
        <v>42</v>
      </c>
      <c r="C51" s="1311">
        <v>8</v>
      </c>
      <c r="D51" s="1311">
        <v>34212510.233674698</v>
      </c>
      <c r="E51" s="1311">
        <v>67</v>
      </c>
      <c r="F51" s="1311">
        <v>1252505.1469999999</v>
      </c>
    </row>
    <row r="52" spans="1:6">
      <c r="A52" s="1310" t="s">
        <v>41</v>
      </c>
      <c r="B52" s="1310" t="s">
        <v>28</v>
      </c>
      <c r="C52" s="1311">
        <v>0</v>
      </c>
      <c r="D52" s="1311">
        <v>0</v>
      </c>
      <c r="E52" s="1311">
        <v>0</v>
      </c>
      <c r="F52" s="1311">
        <v>0</v>
      </c>
    </row>
    <row r="53" spans="1:6">
      <c r="A53" s="1310" t="s">
        <v>43</v>
      </c>
      <c r="B53" s="1310" t="s">
        <v>44</v>
      </c>
      <c r="C53" s="1311">
        <v>150</v>
      </c>
      <c r="D53" s="1311">
        <v>2809201.42446444</v>
      </c>
      <c r="E53" s="1311">
        <v>285</v>
      </c>
      <c r="F53" s="1311">
        <v>1434905.7279999999</v>
      </c>
    </row>
    <row r="54" spans="1:6">
      <c r="A54" s="1310" t="s">
        <v>45</v>
      </c>
      <c r="B54" s="1310" t="s">
        <v>46</v>
      </c>
      <c r="C54" s="1311">
        <v>0</v>
      </c>
      <c r="D54" s="1311">
        <v>0</v>
      </c>
      <c r="E54" s="1311">
        <v>1</v>
      </c>
      <c r="F54" s="1311">
        <v>2014799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88</v>
      </c>
      <c r="D57" s="1311">
        <v>3408442.4195214598</v>
      </c>
      <c r="E57" s="1311">
        <v>153</v>
      </c>
      <c r="F57" s="1311">
        <v>2577436.227</v>
      </c>
    </row>
    <row r="58" spans="1:6">
      <c r="A58" s="1310" t="s">
        <v>48</v>
      </c>
      <c r="B58" s="1310" t="s">
        <v>50</v>
      </c>
      <c r="C58" s="1311">
        <v>92</v>
      </c>
      <c r="D58" s="1311">
        <v>9113488.7188599706</v>
      </c>
      <c r="E58" s="1311">
        <v>134</v>
      </c>
      <c r="F58" s="1311">
        <v>6155405.3990000002</v>
      </c>
    </row>
    <row r="59" spans="1:6">
      <c r="A59" s="1310" t="s">
        <v>48</v>
      </c>
      <c r="B59" s="1310" t="s">
        <v>51</v>
      </c>
      <c r="C59" s="1311">
        <v>215</v>
      </c>
      <c r="D59" s="1311">
        <v>12035730.863628</v>
      </c>
      <c r="E59" s="1311">
        <v>409</v>
      </c>
      <c r="F59" s="1311">
        <v>17741961.669</v>
      </c>
    </row>
    <row r="60" spans="1:6">
      <c r="A60" s="1310" t="s">
        <v>48</v>
      </c>
      <c r="B60" s="1310" t="s">
        <v>52</v>
      </c>
      <c r="C60" s="1311">
        <v>102</v>
      </c>
      <c r="D60" s="1311">
        <v>8465540.6331536099</v>
      </c>
      <c r="E60" s="1311">
        <v>133</v>
      </c>
      <c r="F60" s="1311">
        <v>3129938.0260000001</v>
      </c>
    </row>
    <row r="61" spans="1:6">
      <c r="A61" s="1310" t="s">
        <v>48</v>
      </c>
      <c r="B61" s="1310" t="s">
        <v>53</v>
      </c>
      <c r="C61" s="1311">
        <v>325</v>
      </c>
      <c r="D61" s="1311">
        <v>25547277.559021302</v>
      </c>
      <c r="E61" s="1311">
        <v>620</v>
      </c>
      <c r="F61" s="1311">
        <v>12896454.467</v>
      </c>
    </row>
    <row r="62" spans="1:6">
      <c r="A62" s="1310" t="s">
        <v>48</v>
      </c>
      <c r="B62" s="1310" t="s">
        <v>54</v>
      </c>
      <c r="C62" s="1311">
        <v>25</v>
      </c>
      <c r="D62" s="1311">
        <v>1897766.19397465</v>
      </c>
      <c r="E62" s="1311">
        <v>33</v>
      </c>
      <c r="F62" s="1311">
        <v>1766276.523</v>
      </c>
    </row>
    <row r="63" spans="1:6">
      <c r="A63" s="1310" t="s">
        <v>48</v>
      </c>
      <c r="B63" s="1310" t="s">
        <v>28</v>
      </c>
      <c r="C63" s="1311">
        <v>0</v>
      </c>
      <c r="D63" s="1311">
        <v>0</v>
      </c>
      <c r="E63" s="1311">
        <v>1</v>
      </c>
      <c r="F63" s="1311">
        <v>8359.2260000000006</v>
      </c>
    </row>
    <row r="64" spans="1:6">
      <c r="A64" s="1310" t="s">
        <v>55</v>
      </c>
      <c r="B64" s="1310" t="s">
        <v>56</v>
      </c>
      <c r="C64" s="1311">
        <v>0</v>
      </c>
      <c r="D64" s="1311">
        <v>0</v>
      </c>
      <c r="E64" s="1311">
        <v>0</v>
      </c>
      <c r="F64" s="1311">
        <v>0</v>
      </c>
    </row>
    <row r="65" spans="1:6">
      <c r="A65" s="1310" t="s">
        <v>55</v>
      </c>
      <c r="B65" s="1310" t="s">
        <v>28</v>
      </c>
      <c r="C65" s="1311">
        <v>2</v>
      </c>
      <c r="D65" s="1311">
        <v>43543.181339230898</v>
      </c>
      <c r="E65" s="1311">
        <v>1</v>
      </c>
      <c r="F65" s="1311">
        <v>14356.088</v>
      </c>
    </row>
    <row r="66" spans="1:6">
      <c r="A66" s="1310" t="s">
        <v>55</v>
      </c>
      <c r="B66" s="1310" t="s">
        <v>57</v>
      </c>
      <c r="C66" s="1311">
        <v>0</v>
      </c>
      <c r="D66" s="1311">
        <v>0</v>
      </c>
      <c r="E66" s="1311">
        <v>20</v>
      </c>
      <c r="F66" s="1311">
        <v>301976.19500000001</v>
      </c>
    </row>
    <row r="67" spans="1:6">
      <c r="A67" s="1312" t="s">
        <v>55</v>
      </c>
      <c r="B67" s="1312" t="s">
        <v>58</v>
      </c>
      <c r="C67" s="1311">
        <v>0</v>
      </c>
      <c r="D67" s="1311">
        <v>0</v>
      </c>
      <c r="E67" s="1311">
        <v>0</v>
      </c>
      <c r="F67" s="1311">
        <v>0</v>
      </c>
    </row>
    <row r="68" spans="1:6">
      <c r="A68" s="1305" t="s">
        <v>55</v>
      </c>
      <c r="B68" s="1305" t="s">
        <v>59</v>
      </c>
      <c r="C68" s="1314">
        <v>5</v>
      </c>
      <c r="D68" s="1314">
        <v>766075.41347055405</v>
      </c>
      <c r="E68" s="1314">
        <v>11</v>
      </c>
      <c r="F68" s="1314">
        <v>257870.55600000001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114007150</v>
      </c>
      <c r="E73" s="453"/>
      <c r="F73" s="332"/>
    </row>
    <row r="74" spans="1:6">
      <c r="A74" s="1310" t="s">
        <v>63</v>
      </c>
      <c r="B74" s="1310" t="s">
        <v>648</v>
      </c>
      <c r="C74" s="1324" t="s">
        <v>650</v>
      </c>
      <c r="D74" s="1325">
        <v>7895712.2931221519</v>
      </c>
      <c r="E74" s="453"/>
      <c r="F74" s="332"/>
    </row>
    <row r="75" spans="1:6">
      <c r="A75" s="1310" t="s">
        <v>64</v>
      </c>
      <c r="B75" s="1310" t="s">
        <v>647</v>
      </c>
      <c r="C75" s="1324" t="s">
        <v>651</v>
      </c>
      <c r="D75" s="1325">
        <v>18136659</v>
      </c>
      <c r="E75" s="453"/>
      <c r="F75" s="332"/>
    </row>
    <row r="76" spans="1:6">
      <c r="A76" s="1310" t="s">
        <v>64</v>
      </c>
      <c r="B76" s="1310" t="s">
        <v>648</v>
      </c>
      <c r="C76" s="1324" t="s">
        <v>652</v>
      </c>
      <c r="D76" s="1325">
        <v>517423.29312215152</v>
      </c>
      <c r="E76" s="453"/>
      <c r="F76" s="332"/>
    </row>
    <row r="77" spans="1:6">
      <c r="A77" s="1310" t="s">
        <v>65</v>
      </c>
      <c r="B77" s="1310" t="s">
        <v>647</v>
      </c>
      <c r="C77" s="1324" t="s">
        <v>653</v>
      </c>
      <c r="D77" s="1325">
        <v>40445221</v>
      </c>
      <c r="E77" s="453"/>
      <c r="F77" s="332"/>
    </row>
    <row r="78" spans="1:6">
      <c r="A78" s="1305" t="s">
        <v>65</v>
      </c>
      <c r="B78" s="1305" t="s">
        <v>648</v>
      </c>
      <c r="C78" s="1305" t="s">
        <v>654</v>
      </c>
      <c r="D78" s="1326">
        <v>4669532</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820929.41375569697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23686.422186752079</v>
      </c>
      <c r="C90" s="332"/>
      <c r="D90" s="332"/>
      <c r="E90" s="332"/>
      <c r="F90" s="332"/>
    </row>
    <row r="91" spans="1:6">
      <c r="A91" s="1310" t="s">
        <v>67</v>
      </c>
      <c r="B91" s="1311">
        <v>6431.1976044699632</v>
      </c>
      <c r="C91" s="332"/>
      <c r="D91" s="332"/>
      <c r="E91" s="332"/>
      <c r="F91" s="332"/>
    </row>
    <row r="92" spans="1:6">
      <c r="A92" s="1305" t="s">
        <v>68</v>
      </c>
      <c r="B92" s="1306">
        <v>8585.1502043242435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2946</v>
      </c>
      <c r="C97" s="332"/>
      <c r="D97" s="332"/>
      <c r="E97" s="332"/>
      <c r="F97" s="332"/>
    </row>
    <row r="98" spans="1:6">
      <c r="A98" s="1310" t="s">
        <v>71</v>
      </c>
      <c r="B98" s="1311">
        <v>3</v>
      </c>
      <c r="C98" s="332"/>
      <c r="D98" s="332"/>
      <c r="E98" s="332"/>
      <c r="F98" s="332"/>
    </row>
    <row r="99" spans="1:6">
      <c r="A99" s="1310" t="s">
        <v>72</v>
      </c>
      <c r="B99" s="1311">
        <v>85</v>
      </c>
      <c r="C99" s="332"/>
      <c r="D99" s="332"/>
      <c r="E99" s="332"/>
      <c r="F99" s="332"/>
    </row>
    <row r="100" spans="1:6">
      <c r="A100" s="1310" t="s">
        <v>73</v>
      </c>
      <c r="B100" s="1311">
        <v>484</v>
      </c>
      <c r="C100" s="332"/>
      <c r="D100" s="332"/>
      <c r="E100" s="332"/>
      <c r="F100" s="332"/>
    </row>
    <row r="101" spans="1:6">
      <c r="A101" s="1310" t="s">
        <v>74</v>
      </c>
      <c r="B101" s="1311">
        <v>52</v>
      </c>
      <c r="C101" s="332"/>
      <c r="D101" s="332"/>
      <c r="E101" s="332"/>
      <c r="F101" s="332"/>
    </row>
    <row r="102" spans="1:6">
      <c r="A102" s="1310" t="s">
        <v>75</v>
      </c>
      <c r="B102" s="1311">
        <v>111</v>
      </c>
      <c r="C102" s="332"/>
      <c r="D102" s="332"/>
      <c r="E102" s="332"/>
      <c r="F102" s="332"/>
    </row>
    <row r="103" spans="1:6">
      <c r="A103" s="1310" t="s">
        <v>76</v>
      </c>
      <c r="B103" s="1311">
        <v>132</v>
      </c>
      <c r="C103" s="332"/>
      <c r="D103" s="332"/>
      <c r="E103" s="332"/>
      <c r="F103" s="332"/>
    </row>
    <row r="104" spans="1:6">
      <c r="A104" s="1310" t="s">
        <v>77</v>
      </c>
      <c r="B104" s="1311">
        <v>4977</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36</v>
      </c>
      <c r="C123" s="1311">
        <v>34</v>
      </c>
      <c r="D123" s="332"/>
      <c r="E123" s="332"/>
      <c r="F123" s="332"/>
    </row>
    <row r="124" spans="1:6" s="43" customFormat="1">
      <c r="A124" s="1312" t="s">
        <v>88</v>
      </c>
      <c r="B124" s="1333">
        <v>5</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209</v>
      </c>
      <c r="C129" s="332"/>
      <c r="D129" s="332"/>
      <c r="E129" s="332"/>
      <c r="F129" s="332"/>
    </row>
    <row r="130" spans="1:6">
      <c r="A130" s="1310" t="s">
        <v>294</v>
      </c>
      <c r="B130" s="1311">
        <v>2</v>
      </c>
      <c r="C130" s="332"/>
      <c r="D130" s="332"/>
      <c r="E130" s="332"/>
      <c r="F130" s="332"/>
    </row>
    <row r="131" spans="1:6">
      <c r="A131" s="1310" t="s">
        <v>295</v>
      </c>
      <c r="B131" s="1311">
        <v>1</v>
      </c>
      <c r="C131" s="332"/>
      <c r="D131" s="332"/>
      <c r="E131" s="332"/>
      <c r="F131" s="332"/>
    </row>
    <row r="132" spans="1:6">
      <c r="A132" s="1305" t="s">
        <v>296</v>
      </c>
      <c r="B132" s="1306">
        <v>44</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116435.20096905436</v>
      </c>
      <c r="C3" s="43" t="s">
        <v>169</v>
      </c>
      <c r="D3" s="43"/>
      <c r="E3" s="154"/>
      <c r="F3" s="43"/>
      <c r="G3" s="43"/>
      <c r="H3" s="43"/>
      <c r="I3" s="43"/>
      <c r="J3" s="43"/>
      <c r="K3" s="96"/>
    </row>
    <row r="4" spans="1:11">
      <c r="A4" s="360" t="s">
        <v>170</v>
      </c>
      <c r="B4" s="49">
        <f>IF(ISERROR('SEAP template'!B78+'SEAP template'!C78),0,'SEAP template'!B78+'SEAP template'!C78)</f>
        <v>52902.519995546289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3374.5288235294115</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0.14957032902191875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4820.7554621848731</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20285.357142857141</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0.23764705882352938</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2014.799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2014.799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0.14957032902191875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301.35414934303287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33320.804083000105</v>
      </c>
      <c r="C5" s="17">
        <f>IF(ISERROR('Eigen informatie GS &amp; warmtenet'!B59),0,'Eigen informatie GS &amp; warmtenet'!B59)</f>
        <v>0</v>
      </c>
      <c r="D5" s="30">
        <f>(SUM(HH_hh_gas_kWh,HH_rest_gas_kWh)/1000)*0.903</f>
        <v>76888.905432290718</v>
      </c>
      <c r="E5" s="17">
        <f>B46*B57</f>
        <v>9613.520389702875</v>
      </c>
      <c r="F5" s="17">
        <f>B51*B62</f>
        <v>45750.617324153965</v>
      </c>
      <c r="G5" s="18"/>
      <c r="H5" s="17"/>
      <c r="I5" s="17"/>
      <c r="J5" s="17">
        <f>B50*B61+C50*C61</f>
        <v>0</v>
      </c>
      <c r="K5" s="17"/>
      <c r="L5" s="17"/>
      <c r="M5" s="17"/>
      <c r="N5" s="17">
        <f>B48*B59+C48*C59</f>
        <v>11023.454442385835</v>
      </c>
      <c r="O5" s="17">
        <f>B69*B70*B71</f>
        <v>482.10184731104874</v>
      </c>
      <c r="P5" s="17">
        <f>B77*B78*B79/1000-B77*B78*B79/1000/B80</f>
        <v>895.38654115322686</v>
      </c>
    </row>
    <row r="6" spans="1:16">
      <c r="A6" s="16" t="s">
        <v>612</v>
      </c>
      <c r="B6" s="786">
        <f>kWh_PV_kleiner_dan_10kW</f>
        <v>6431.1976044699632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39752.001687470067</v>
      </c>
      <c r="C8" s="21">
        <f>C5</f>
        <v>0</v>
      </c>
      <c r="D8" s="21">
        <f>D5</f>
        <v>76888.905432290718</v>
      </c>
      <c r="E8" s="21">
        <f>E5</f>
        <v>9613.520389702875</v>
      </c>
      <c r="F8" s="21">
        <f>F5</f>
        <v>45750.617324153965</v>
      </c>
      <c r="G8" s="21"/>
      <c r="H8" s="21"/>
      <c r="I8" s="21"/>
      <c r="J8" s="21">
        <f>J5</f>
        <v>0</v>
      </c>
      <c r="K8" s="21"/>
      <c r="L8" s="21">
        <f>L5</f>
        <v>0</v>
      </c>
      <c r="M8" s="21">
        <f>M5</f>
        <v>0</v>
      </c>
      <c r="N8" s="21">
        <f>N5</f>
        <v>11023.454442385835</v>
      </c>
      <c r="O8" s="21">
        <f>O5</f>
        <v>482.10184731104874</v>
      </c>
      <c r="P8" s="21">
        <f>P5</f>
        <v>895.38654115322686</v>
      </c>
    </row>
    <row r="9" spans="1:16">
      <c r="B9" s="19"/>
      <c r="C9" s="19"/>
      <c r="D9" s="258"/>
      <c r="E9" s="19"/>
      <c r="F9" s="19"/>
      <c r="G9" s="19"/>
      <c r="H9" s="19"/>
      <c r="I9" s="19"/>
      <c r="J9" s="19"/>
      <c r="K9" s="19"/>
      <c r="L9" s="19"/>
      <c r="M9" s="19"/>
      <c r="N9" s="19"/>
      <c r="O9" s="19"/>
      <c r="P9" s="19"/>
    </row>
    <row r="10" spans="1:16">
      <c r="A10" s="24" t="s">
        <v>213</v>
      </c>
      <c r="B10" s="25">
        <f ca="1">'EF ele_warmte'!B12</f>
        <v>0.14957032902191875</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5945.7199716747673</v>
      </c>
      <c r="C12" s="23">
        <f ca="1">C10*C8</f>
        <v>0</v>
      </c>
      <c r="D12" s="23">
        <f>D8*D10</f>
        <v>15531.558897322726</v>
      </c>
      <c r="E12" s="23">
        <f>E10*E8</f>
        <v>2182.2691284625525</v>
      </c>
      <c r="F12" s="23">
        <f>F10*F8</f>
        <v>12215.414825549109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2946</v>
      </c>
      <c r="C18" s="166" t="s">
        <v>110</v>
      </c>
      <c r="D18" s="228"/>
      <c r="E18" s="15"/>
    </row>
    <row r="19" spans="1:7">
      <c r="A19" s="171" t="s">
        <v>71</v>
      </c>
      <c r="B19" s="37">
        <f>aantalw2001_ander</f>
        <v>3</v>
      </c>
      <c r="C19" s="166" t="s">
        <v>110</v>
      </c>
      <c r="D19" s="229"/>
      <c r="E19" s="15"/>
    </row>
    <row r="20" spans="1:7">
      <c r="A20" s="171" t="s">
        <v>72</v>
      </c>
      <c r="B20" s="37">
        <f>aantalw2001_propaan</f>
        <v>85</v>
      </c>
      <c r="C20" s="167">
        <f>IF(ISERROR(B20/SUM($B$20,$B$21,$B$22)*100),0,B20/SUM($B$20,$B$21,$B$22)*100)</f>
        <v>13.687600644122384</v>
      </c>
      <c r="D20" s="229"/>
      <c r="E20" s="15"/>
    </row>
    <row r="21" spans="1:7">
      <c r="A21" s="171" t="s">
        <v>73</v>
      </c>
      <c r="B21" s="37">
        <f>aantalw2001_elektriciteit</f>
        <v>484</v>
      </c>
      <c r="C21" s="167">
        <f>IF(ISERROR(B21/SUM($B$20,$B$21,$B$22)*100),0,B21/SUM($B$20,$B$21,$B$22)*100)</f>
        <v>77.938808373590987</v>
      </c>
      <c r="D21" s="229"/>
      <c r="E21" s="15"/>
    </row>
    <row r="22" spans="1:7">
      <c r="A22" s="171" t="s">
        <v>74</v>
      </c>
      <c r="B22" s="37">
        <f>aantalw2001_hout</f>
        <v>52</v>
      </c>
      <c r="C22" s="167">
        <f>IF(ISERROR(B22/SUM($B$20,$B$21,$B$22)*100),0,B22/SUM($B$20,$B$21,$B$22)*100)</f>
        <v>8.3735909822866343</v>
      </c>
      <c r="D22" s="229"/>
      <c r="E22" s="15"/>
    </row>
    <row r="23" spans="1:7">
      <c r="A23" s="171" t="s">
        <v>75</v>
      </c>
      <c r="B23" s="37">
        <f>aantalw2001_niet_gespec</f>
        <v>111</v>
      </c>
      <c r="C23" s="166" t="s">
        <v>110</v>
      </c>
      <c r="D23" s="228"/>
      <c r="E23" s="15"/>
    </row>
    <row r="24" spans="1:7">
      <c r="A24" s="171" t="s">
        <v>76</v>
      </c>
      <c r="B24" s="37">
        <f>aantalw2001_steenkool</f>
        <v>132</v>
      </c>
      <c r="C24" s="166" t="s">
        <v>110</v>
      </c>
      <c r="D24" s="229"/>
      <c r="E24" s="15"/>
    </row>
    <row r="25" spans="1:7">
      <c r="A25" s="171" t="s">
        <v>77</v>
      </c>
      <c r="B25" s="37">
        <f>aantalw2001_stookolie</f>
        <v>4977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10269</v>
      </c>
      <c r="C28" s="36"/>
      <c r="D28" s="228"/>
    </row>
    <row r="29" spans="1:7" s="15" customFormat="1">
      <c r="A29" s="230" t="s">
        <v>839</v>
      </c>
      <c r="B29" s="37">
        <f>SUM(HH_hh_gas_aantal,HH_rest_gas_aantal)</f>
        <v>6025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6025</v>
      </c>
      <c r="C32" s="167">
        <f>IF(ISERROR(B32/SUM($B$32,$B$34,$B$35,$B$36,$B$38,$B$39)*100),0,B32/SUM($B$32,$B$34,$B$35,$B$36,$B$38,$B$39)*100)</f>
        <v>59.161429693637082</v>
      </c>
      <c r="D32" s="233"/>
      <c r="G32" s="15"/>
    </row>
    <row r="33" spans="1:7">
      <c r="A33" s="171" t="s">
        <v>71</v>
      </c>
      <c r="B33" s="34" t="s">
        <v>110</v>
      </c>
      <c r="C33" s="167"/>
      <c r="D33" s="233"/>
      <c r="G33" s="15"/>
    </row>
    <row r="34" spans="1:7">
      <c r="A34" s="171" t="s">
        <v>72</v>
      </c>
      <c r="B34" s="33">
        <f>IF((($B$28-$B$32-$B$39-$B$77-$B$38)*C20/100)&lt;0,0,($B$28-$B$32-$B$39-$B$77-$B$38)*C20/100)</f>
        <v>267.3325281803543</v>
      </c>
      <c r="C34" s="167">
        <f>IF(ISERROR(B34/SUM($B$32,$B$34,$B$35,$B$36,$B$38,$B$39)*100),0,B34/SUM($B$32,$B$34,$B$35,$B$36,$B$38,$B$39)*100)</f>
        <v>2.6250248250231176</v>
      </c>
      <c r="D34" s="233"/>
      <c r="G34" s="15"/>
    </row>
    <row r="35" spans="1:7">
      <c r="A35" s="171" t="s">
        <v>73</v>
      </c>
      <c r="B35" s="33">
        <f>IF((($B$28-$B$32-$B$39-$B$77-$B$38)*C21/100)&lt;0,0,($B$28-$B$32-$B$39-$B$77-$B$38)*C21/100)</f>
        <v>1522.2228663446056</v>
      </c>
      <c r="C35" s="167">
        <f>IF(ISERROR(B35/SUM($B$32,$B$34,$B$35,$B$36,$B$38,$B$39)*100),0,B35/SUM($B$32,$B$34,$B$35,$B$36,$B$38,$B$39)*100)</f>
        <v>14.947200180131635</v>
      </c>
      <c r="D35" s="233"/>
      <c r="G35" s="15"/>
    </row>
    <row r="36" spans="1:7">
      <c r="A36" s="171" t="s">
        <v>74</v>
      </c>
      <c r="B36" s="33">
        <f>IF((($B$28-$B$32-$B$39-$B$77-$B$38)*C22/100)&lt;0,0,($B$28-$B$32-$B$39-$B$77-$B$38)*C22/100)</f>
        <v>163.54460547504024</v>
      </c>
      <c r="C36" s="167">
        <f>IF(ISERROR(B36/SUM($B$32,$B$34,$B$35,$B$36,$B$38,$B$39)*100),0,B36/SUM($B$32,$B$34,$B$35,$B$36,$B$38,$B$39)*100)</f>
        <v>1.6058975400141424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2205.9</v>
      </c>
      <c r="C39" s="167">
        <f>IF(ISERROR(B39/SUM($B$32,$B$34,$B$35,$B$36,$B$38,$B$39)*100),0,B39/SUM($B$32,$B$34,$B$35,$B$36,$B$38,$B$39)*100)</f>
        <v>21.660447761194028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6025</v>
      </c>
      <c r="C44" s="34" t="s">
        <v>110</v>
      </c>
      <c r="D44" s="174"/>
    </row>
    <row r="45" spans="1:7">
      <c r="A45" s="171" t="s">
        <v>71</v>
      </c>
      <c r="B45" s="33" t="str">
        <f t="shared" si="0"/>
        <v>-</v>
      </c>
      <c r="C45" s="34" t="s">
        <v>110</v>
      </c>
      <c r="D45" s="174"/>
    </row>
    <row r="46" spans="1:7">
      <c r="A46" s="171" t="s">
        <v>72</v>
      </c>
      <c r="B46" s="33">
        <f t="shared" si="0"/>
        <v>267.3325281803543</v>
      </c>
      <c r="C46" s="34" t="s">
        <v>110</v>
      </c>
      <c r="D46" s="174"/>
    </row>
    <row r="47" spans="1:7">
      <c r="A47" s="171" t="s">
        <v>73</v>
      </c>
      <c r="B47" s="33">
        <f t="shared" si="0"/>
        <v>1522.2228663446056</v>
      </c>
      <c r="C47" s="34" t="s">
        <v>110</v>
      </c>
      <c r="D47" s="174"/>
    </row>
    <row r="48" spans="1:7">
      <c r="A48" s="171" t="s">
        <v>74</v>
      </c>
      <c r="B48" s="33">
        <f t="shared" si="0"/>
        <v>163.54460547504024</v>
      </c>
      <c r="C48" s="33">
        <f>B48*10</f>
        <v>1635.4460547504025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2205.9</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44275.831537000005</v>
      </c>
      <c r="C5" s="17">
        <f>IF(ISERROR('Eigen informatie GS &amp; warmtenet'!B60),0,'Eigen informatie GS &amp; warmtenet'!B60)</f>
        <v>0</v>
      </c>
      <c r="D5" s="30">
        <f>SUM(D6:D12)</f>
        <v>54602.82648850757</v>
      </c>
      <c r="E5" s="17">
        <f>SUM(E6:E12)</f>
        <v>102.39076631597554</v>
      </c>
      <c r="F5" s="17">
        <f>SUM(F6:F12)</f>
        <v>5600.0889511769883</v>
      </c>
      <c r="G5" s="18"/>
      <c r="H5" s="17"/>
      <c r="I5" s="17"/>
      <c r="J5" s="17">
        <f>SUM(J6:J12)</f>
        <v>2.5471192126150448E-2</v>
      </c>
      <c r="K5" s="17"/>
      <c r="L5" s="17"/>
      <c r="M5" s="17"/>
      <c r="N5" s="17">
        <f>SUM(N6:N12)</f>
        <v>984.82474300790602</v>
      </c>
      <c r="O5" s="17">
        <f>B38*B39*B40</f>
        <v>9.7945215316823084</v>
      </c>
      <c r="P5" s="17">
        <f>B46*B47*B48/1000-B46*B47*B48/1000/B49</f>
        <v>52.539138306495019</v>
      </c>
      <c r="R5" s="32"/>
    </row>
    <row r="6" spans="1:18">
      <c r="A6" s="32" t="s">
        <v>53</v>
      </c>
      <c r="B6" s="37">
        <f>B26</f>
        <v>12896.454467</v>
      </c>
      <c r="C6" s="33"/>
      <c r="D6" s="37">
        <f>IF(ISERROR(TER_kantoor_gas_kWh/1000),0,TER_kantoor_gas_kWh/1000)*0.903</f>
        <v>23069.191635796236</v>
      </c>
      <c r="E6" s="33">
        <f>$C$26*'E Balans VL '!I12/100/3.6*1000000</f>
        <v>3.089683946483599</v>
      </c>
      <c r="F6" s="33">
        <f>$C$26*('E Balans VL '!L12+'E Balans VL '!N12)/100/3.6*1000000</f>
        <v>1222.9556298151899</v>
      </c>
      <c r="G6" s="34"/>
      <c r="H6" s="33"/>
      <c r="I6" s="33"/>
      <c r="J6" s="33">
        <f>$C$26*('E Balans VL '!D12+'E Balans VL '!E12)/100/3.6*1000000</f>
        <v>0</v>
      </c>
      <c r="K6" s="33"/>
      <c r="L6" s="33"/>
      <c r="M6" s="33"/>
      <c r="N6" s="33">
        <f>$C$26*'E Balans VL '!Y12/100/3.6*1000000</f>
        <v>6.5507318169479216</v>
      </c>
      <c r="O6" s="33"/>
      <c r="P6" s="33"/>
      <c r="R6" s="32"/>
    </row>
    <row r="7" spans="1:18">
      <c r="A7" s="32" t="s">
        <v>52</v>
      </c>
      <c r="B7" s="37">
        <f t="shared" ref="B7:B12" si="0">B27</f>
        <v>3129.9380260000003</v>
      </c>
      <c r="C7" s="33"/>
      <c r="D7" s="37">
        <f>IF(ISERROR(TER_horeca_gas_kWh/1000),0,TER_horeca_gas_kWh/1000)*0.903</f>
        <v>7644.3831917377101</v>
      </c>
      <c r="E7" s="33">
        <f>$C$27*'E Balans VL '!I9/100/3.6*1000000</f>
        <v>0</v>
      </c>
      <c r="F7" s="33">
        <f>$C$27*('E Balans VL '!L9+'E Balans VL '!N9)/100/3.6*1000000</f>
        <v>256.64756062017779</v>
      </c>
      <c r="G7" s="34"/>
      <c r="H7" s="33"/>
      <c r="I7" s="33"/>
      <c r="J7" s="33">
        <f>$C$27*('E Balans VL '!D9+'E Balans VL '!E9)/100/3.6*1000000</f>
        <v>0</v>
      </c>
      <c r="K7" s="33"/>
      <c r="L7" s="33"/>
      <c r="M7" s="33"/>
      <c r="N7" s="33">
        <f>$C$27*'E Balans VL '!Y9/100/3.6*1000000</f>
        <v>0.95945175665705063</v>
      </c>
      <c r="O7" s="33"/>
      <c r="P7" s="33"/>
      <c r="R7" s="32"/>
    </row>
    <row r="8" spans="1:18">
      <c r="A8" s="6" t="s">
        <v>51</v>
      </c>
      <c r="B8" s="37">
        <f t="shared" si="0"/>
        <v>17741.961669</v>
      </c>
      <c r="C8" s="33"/>
      <c r="D8" s="37">
        <f>IF(ISERROR(TER_handel_gas_kWh/1000),0,TER_handel_gas_kWh/1000)*0.903</f>
        <v>10868.264969856084</v>
      </c>
      <c r="E8" s="33">
        <f>$C$28*'E Balans VL '!I13/100/3.6*1000000</f>
        <v>62.353298342343145</v>
      </c>
      <c r="F8" s="33">
        <f>$C$28*('E Balans VL '!L13+'E Balans VL '!N13)/100/3.6*1000000</f>
        <v>1623.3576311238692</v>
      </c>
      <c r="G8" s="34"/>
      <c r="H8" s="33"/>
      <c r="I8" s="33"/>
      <c r="J8" s="33">
        <f>$C$28*('E Balans VL '!D13+'E Balans VL '!E13)/100/3.6*1000000</f>
        <v>0</v>
      </c>
      <c r="K8" s="33"/>
      <c r="L8" s="33"/>
      <c r="M8" s="33"/>
      <c r="N8" s="33">
        <f>$C$28*'E Balans VL '!Y13/100/3.6*1000000</f>
        <v>6.425374696476263</v>
      </c>
      <c r="O8" s="33"/>
      <c r="P8" s="33"/>
      <c r="R8" s="32"/>
    </row>
    <row r="9" spans="1:18">
      <c r="A9" s="32" t="s">
        <v>50</v>
      </c>
      <c r="B9" s="37">
        <f t="shared" si="0"/>
        <v>6155.4053990000002</v>
      </c>
      <c r="C9" s="33"/>
      <c r="D9" s="37">
        <f>IF(ISERROR(TER_gezond_gas_kWh/1000),0,TER_gezond_gas_kWh/1000)*0.903</f>
        <v>8229.4803131305544</v>
      </c>
      <c r="E9" s="33">
        <f>$C$29*'E Balans VL '!I10/100/3.6*1000000</f>
        <v>0</v>
      </c>
      <c r="F9" s="33">
        <f>$C$29*('E Balans VL '!L10+'E Balans VL '!N10)/100/3.6*1000000</f>
        <v>754.53967052641724</v>
      </c>
      <c r="G9" s="34"/>
      <c r="H9" s="33"/>
      <c r="I9" s="33"/>
      <c r="J9" s="33">
        <f>$C$29*('E Balans VL '!D10+'E Balans VL '!E10)/100/3.6*1000000</f>
        <v>0</v>
      </c>
      <c r="K9" s="33"/>
      <c r="L9" s="33"/>
      <c r="M9" s="33"/>
      <c r="N9" s="33">
        <f>$C$29*'E Balans VL '!Y10/100/3.6*1000000</f>
        <v>45.391825393609302</v>
      </c>
      <c r="O9" s="33"/>
      <c r="P9" s="33"/>
      <c r="R9" s="32"/>
    </row>
    <row r="10" spans="1:18">
      <c r="A10" s="32" t="s">
        <v>49</v>
      </c>
      <c r="B10" s="37">
        <f t="shared" si="0"/>
        <v>2577.4362270000001</v>
      </c>
      <c r="C10" s="33"/>
      <c r="D10" s="37">
        <f>IF(ISERROR(TER_ander_gas_kWh/1000),0,TER_ander_gas_kWh/1000)*0.903</f>
        <v>3077.823504827878</v>
      </c>
      <c r="E10" s="33">
        <f>$C$30*'E Balans VL '!I14/100/3.6*1000000</f>
        <v>36.914575902277186</v>
      </c>
      <c r="F10" s="33">
        <f>$C$30*('E Balans VL '!L14+'E Balans VL '!N14)/100/3.6*1000000</f>
        <v>1534.4354230718791</v>
      </c>
      <c r="G10" s="34"/>
      <c r="H10" s="33"/>
      <c r="I10" s="33"/>
      <c r="J10" s="33">
        <f>$C$30*('E Balans VL '!D14+'E Balans VL '!E14)/100/3.6*1000000</f>
        <v>2.5454296515398531E-2</v>
      </c>
      <c r="K10" s="33"/>
      <c r="L10" s="33"/>
      <c r="M10" s="33"/>
      <c r="N10" s="33">
        <f>$C$30*'E Balans VL '!Y14/100/3.6*1000000</f>
        <v>919.90489028669072</v>
      </c>
      <c r="O10" s="33"/>
      <c r="P10" s="33"/>
      <c r="R10" s="32"/>
    </row>
    <row r="11" spans="1:18">
      <c r="A11" s="32" t="s">
        <v>54</v>
      </c>
      <c r="B11" s="37">
        <f t="shared" si="0"/>
        <v>1766.276523</v>
      </c>
      <c r="C11" s="33"/>
      <c r="D11" s="37">
        <f>IF(ISERROR(TER_onderwijs_gas_kWh/1000),0,TER_onderwijs_gas_kWh/1000)*0.903</f>
        <v>1713.682873159109</v>
      </c>
      <c r="E11" s="33">
        <f>$C$31*'E Balans VL '!I11/100/3.6*1000000</f>
        <v>0</v>
      </c>
      <c r="F11" s="33">
        <f>$C$31*('E Balans VL '!L11+'E Balans VL '!N11)/100/3.6*1000000</f>
        <v>206.49875908863427</v>
      </c>
      <c r="G11" s="34"/>
      <c r="H11" s="33"/>
      <c r="I11" s="33"/>
      <c r="J11" s="33">
        <f>$C$31*('E Balans VL '!D11+'E Balans VL '!E11)/100/3.6*1000000</f>
        <v>0</v>
      </c>
      <c r="K11" s="33"/>
      <c r="L11" s="33"/>
      <c r="M11" s="33"/>
      <c r="N11" s="33">
        <f>$C$31*'E Balans VL '!Y11/100/3.6*1000000</f>
        <v>4.9736318650847933</v>
      </c>
      <c r="O11" s="33"/>
      <c r="P11" s="33"/>
      <c r="R11" s="32"/>
    </row>
    <row r="12" spans="1:18">
      <c r="A12" s="32" t="s">
        <v>259</v>
      </c>
      <c r="B12" s="37">
        <f t="shared" si="0"/>
        <v>8.3592260000000014</v>
      </c>
      <c r="C12" s="33"/>
      <c r="D12" s="37">
        <f>IF(ISERROR(TER_rest_gas_kWh/1000),0,TER_rest_gas_kWh/1000)*0.903</f>
        <v>0</v>
      </c>
      <c r="E12" s="33">
        <f>$C$32*'E Balans VL '!I8/100/3.6*1000000</f>
        <v>3.3208124871621093E-2</v>
      </c>
      <c r="F12" s="33">
        <f>$C$32*('E Balans VL '!L8+'E Balans VL '!N8)/100/3.6*1000000</f>
        <v>1.6542769308208904</v>
      </c>
      <c r="G12" s="34"/>
      <c r="H12" s="33"/>
      <c r="I12" s="33"/>
      <c r="J12" s="33">
        <f>$C$32*('E Balans VL '!D8+'E Balans VL '!E8)/100/3.6*1000000</f>
        <v>1.6895610751917062E-5</v>
      </c>
      <c r="K12" s="33"/>
      <c r="L12" s="33"/>
      <c r="M12" s="33"/>
      <c r="N12" s="33">
        <f>$C$32*'E Balans VL '!Y8/100/3.6*1000000</f>
        <v>0.61883719244001145</v>
      </c>
      <c r="O12" s="33"/>
      <c r="P12" s="33"/>
      <c r="R12" s="32"/>
    </row>
    <row r="13" spans="1:18">
      <c r="A13" s="16" t="s">
        <v>479</v>
      </c>
      <c r="B13" s="247">
        <f ca="1">'lokale energieproductie'!N39+'lokale energieproductie'!N32</f>
        <v>24.75</v>
      </c>
      <c r="C13" s="247">
        <f ca="1">'lokale energieproductie'!O39+'lokale energieproductie'!O32</f>
        <v>35.357142857142861</v>
      </c>
      <c r="D13" s="310">
        <f ca="1">('lokale energieproductie'!P32+'lokale energieproductie'!P39)*(-1)</f>
        <v>-70.714285714285722</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44300.581537000005</v>
      </c>
      <c r="C16" s="21">
        <f t="shared" ca="1" si="1"/>
        <v>35.357142857142861</v>
      </c>
      <c r="D16" s="21">
        <f t="shared" ca="1" si="1"/>
        <v>54532.112202793287</v>
      </c>
      <c r="E16" s="21">
        <f t="shared" si="1"/>
        <v>102.39076631597554</v>
      </c>
      <c r="F16" s="21">
        <f t="shared" ca="1" si="1"/>
        <v>5600.0889511769883</v>
      </c>
      <c r="G16" s="21">
        <f t="shared" si="1"/>
        <v>0</v>
      </c>
      <c r="H16" s="21">
        <f t="shared" si="1"/>
        <v>0</v>
      </c>
      <c r="I16" s="21">
        <f t="shared" si="1"/>
        <v>0</v>
      </c>
      <c r="J16" s="21">
        <f t="shared" si="1"/>
        <v>2.5471192126150448E-2</v>
      </c>
      <c r="K16" s="21">
        <f t="shared" si="1"/>
        <v>0</v>
      </c>
      <c r="L16" s="21">
        <f t="shared" ca="1" si="1"/>
        <v>0</v>
      </c>
      <c r="M16" s="21">
        <f t="shared" si="1"/>
        <v>0</v>
      </c>
      <c r="N16" s="21">
        <f t="shared" ca="1" si="1"/>
        <v>984.82474300790602</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0.14957032902191875</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6626.0525563514293</v>
      </c>
      <c r="C20" s="23">
        <f t="shared" ref="C20:P20" ca="1" si="2">C16*C18</f>
        <v>8.4025210084033617</v>
      </c>
      <c r="D20" s="23">
        <f t="shared" ca="1" si="2"/>
        <v>11015.486664964244</v>
      </c>
      <c r="E20" s="23">
        <f t="shared" si="2"/>
        <v>23.242703953726448</v>
      </c>
      <c r="F20" s="23">
        <f t="shared" ca="1" si="2"/>
        <v>1495.2237499642561</v>
      </c>
      <c r="G20" s="23">
        <f t="shared" si="2"/>
        <v>0</v>
      </c>
      <c r="H20" s="23">
        <f t="shared" si="2"/>
        <v>0</v>
      </c>
      <c r="I20" s="23">
        <f t="shared" si="2"/>
        <v>0</v>
      </c>
      <c r="J20" s="23">
        <f t="shared" si="2"/>
        <v>9.016802012657258E-3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12896.454467</v>
      </c>
      <c r="C26" s="39">
        <f>IF(ISERROR(B26*3.6/1000000/'E Balans VL '!Z12*100),0,B26*3.6/1000000/'E Balans VL '!Z12*100)</f>
        <v>0.36371416750992713</v>
      </c>
      <c r="D26" s="237" t="s">
        <v>702</v>
      </c>
      <c r="F26" s="6"/>
    </row>
    <row r="27" spans="1:18">
      <c r="A27" s="231" t="s">
        <v>52</v>
      </c>
      <c r="B27" s="33">
        <f>IF(ISERROR(TER_horeca_ele_kWh/1000),0,TER_horeca_ele_kWh/1000)</f>
        <v>3129.9380260000003</v>
      </c>
      <c r="C27" s="39">
        <f>IF(ISERROR(B27*3.6/1000000/'E Balans VL '!Z9*100),0,B27*3.6/1000000/'E Balans VL '!Z9*100)</f>
        <v>0.23204645434949972</v>
      </c>
      <c r="D27" s="237" t="s">
        <v>702</v>
      </c>
      <c r="F27" s="6"/>
    </row>
    <row r="28" spans="1:18">
      <c r="A28" s="171" t="s">
        <v>51</v>
      </c>
      <c r="B28" s="33">
        <f>IF(ISERROR(TER_handel_ele_kWh/1000),0,TER_handel_ele_kWh/1000)</f>
        <v>17741.961669</v>
      </c>
      <c r="C28" s="39">
        <f>IF(ISERROR(B28*3.6/1000000/'E Balans VL '!Z13*100),0,B28*3.6/1000000/'E Balans VL '!Z13*100)</f>
        <v>0.53150698851443268</v>
      </c>
      <c r="D28" s="237" t="s">
        <v>702</v>
      </c>
      <c r="F28" s="6"/>
    </row>
    <row r="29" spans="1:18">
      <c r="A29" s="231" t="s">
        <v>50</v>
      </c>
      <c r="B29" s="33">
        <f>IF(ISERROR(TER_gezond_ele_kWh/1000),0,TER_gezond_ele_kWh/1000)</f>
        <v>6155.4053990000002</v>
      </c>
      <c r="C29" s="39">
        <f>IF(ISERROR(B29*3.6/1000000/'E Balans VL '!Z10*100),0,B29*3.6/1000000/'E Balans VL '!Z10*100)</f>
        <v>0.60864889845264403</v>
      </c>
      <c r="D29" s="237" t="s">
        <v>702</v>
      </c>
      <c r="F29" s="6"/>
    </row>
    <row r="30" spans="1:18">
      <c r="A30" s="231" t="s">
        <v>49</v>
      </c>
      <c r="B30" s="33">
        <f>IF(ISERROR(TER_ander_ele_kWh/1000),0,TER_ander_ele_kWh/1000)</f>
        <v>2577.4362270000001</v>
      </c>
      <c r="C30" s="39">
        <f>IF(ISERROR(B30*3.6/1000000/'E Balans VL '!Z14*100),0,B30*3.6/1000000/'E Balans VL '!Z14*100)</f>
        <v>0.10424967856135915</v>
      </c>
      <c r="D30" s="237" t="s">
        <v>702</v>
      </c>
      <c r="F30" s="6"/>
    </row>
    <row r="31" spans="1:18">
      <c r="A31" s="231" t="s">
        <v>54</v>
      </c>
      <c r="B31" s="33">
        <f>IF(ISERROR(TER_onderwijs_ele_kWh/1000),0,TER_onderwijs_ele_kWh/1000)</f>
        <v>1766.276523</v>
      </c>
      <c r="C31" s="39">
        <f>IF(ISERROR(B31*3.6/1000000/'E Balans VL '!Z11*100),0,B31*3.6/1000000/'E Balans VL '!Z11*100)</f>
        <v>0.48527340832897664</v>
      </c>
      <c r="D31" s="237" t="s">
        <v>702</v>
      </c>
    </row>
    <row r="32" spans="1:18">
      <c r="A32" s="231" t="s">
        <v>259</v>
      </c>
      <c r="B32" s="33">
        <f>IF(ISERROR(TER_rest_ele_kWh/1000),0,TER_rest_ele_kWh/1000)</f>
        <v>8.3592260000000014</v>
      </c>
      <c r="C32" s="39">
        <f>IF(ISERROR(B32*3.6/1000000/'E Balans VL '!Z8*100),0,B32*3.6/1000000/'E Balans VL '!Z8*100)</f>
        <v>6.9197040622185908E-5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27563.821704999998</v>
      </c>
      <c r="C5" s="17">
        <f>IF(ISERROR('Eigen informatie GS &amp; warmtenet'!B61),0,'Eigen informatie GS &amp; warmtenet'!B61)</f>
        <v>0</v>
      </c>
      <c r="D5" s="30">
        <f>SUM(D6:D15)</f>
        <v>17672.600293481177</v>
      </c>
      <c r="E5" s="17">
        <f>SUM(E6:E15)</f>
        <v>85.853685451125145</v>
      </c>
      <c r="F5" s="17">
        <f>SUM(F6:F15)</f>
        <v>10457.428465701018</v>
      </c>
      <c r="G5" s="18"/>
      <c r="H5" s="17"/>
      <c r="I5" s="17"/>
      <c r="J5" s="17">
        <f>SUM(J6:J15)</f>
        <v>4.3646623479560933</v>
      </c>
      <c r="K5" s="17"/>
      <c r="L5" s="17"/>
      <c r="M5" s="17"/>
      <c r="N5" s="17">
        <f>SUM(N6:N15)</f>
        <v>994.60595386667694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4878.6565179999998</v>
      </c>
      <c r="C8" s="33"/>
      <c r="D8" s="37">
        <f>IF( ISERROR(IND_metaal_Gas_kWH/1000),0,IND_metaal_Gas_kWH/1000)*0.903</f>
        <v>5472.849769866154</v>
      </c>
      <c r="E8" s="33">
        <f>C30*'E Balans VL '!I18/100/3.6*1000000</f>
        <v>24.599037388456114</v>
      </c>
      <c r="F8" s="33">
        <f>C30*'E Balans VL '!L18/100/3.6*1000000+C30*'E Balans VL '!N18/100/3.6*1000000</f>
        <v>333.3197826054332</v>
      </c>
      <c r="G8" s="34"/>
      <c r="H8" s="33"/>
      <c r="I8" s="33"/>
      <c r="J8" s="40">
        <f>C30*'E Balans VL '!D18/100/3.6*1000000+C30*'E Balans VL '!E18/100/3.6*1000000</f>
        <v>4.3253451579690898</v>
      </c>
      <c r="K8" s="33"/>
      <c r="L8" s="33"/>
      <c r="M8" s="33"/>
      <c r="N8" s="33">
        <f>C30*'E Balans VL '!Y18/100/3.6*1000000</f>
        <v>64.837374076740247</v>
      </c>
      <c r="O8" s="33"/>
      <c r="P8" s="33"/>
      <c r="R8" s="32"/>
    </row>
    <row r="9" spans="1:18">
      <c r="A9" s="6" t="s">
        <v>32</v>
      </c>
      <c r="B9" s="37">
        <f t="shared" si="0"/>
        <v>16384.026077999999</v>
      </c>
      <c r="C9" s="33"/>
      <c r="D9" s="37">
        <f>IF( ISERROR(IND_andere_gas_kWh/1000),0,IND_andere_gas_kWh/1000)*0.903</f>
        <v>6119.8950836518006</v>
      </c>
      <c r="E9" s="33">
        <f>C31*'E Balans VL '!I19/100/3.6*1000000</f>
        <v>51.646322452737024</v>
      </c>
      <c r="F9" s="33">
        <f>C31*'E Balans VL '!L19/100/3.6*1000000+C31*'E Balans VL '!N19/100/3.6*1000000</f>
        <v>10029.611673927124</v>
      </c>
      <c r="G9" s="34"/>
      <c r="H9" s="33"/>
      <c r="I9" s="33"/>
      <c r="J9" s="40">
        <f>C31*'E Balans VL '!D19/100/3.6*1000000+C31*'E Balans VL '!E19/100/3.6*1000000</f>
        <v>0</v>
      </c>
      <c r="K9" s="33"/>
      <c r="L9" s="33"/>
      <c r="M9" s="33"/>
      <c r="N9" s="33">
        <f>C31*'E Balans VL '!Y19/100/3.6*1000000</f>
        <v>687.00446002297713</v>
      </c>
      <c r="O9" s="33"/>
      <c r="P9" s="33"/>
      <c r="R9" s="32"/>
    </row>
    <row r="10" spans="1:18">
      <c r="A10" s="6" t="s">
        <v>40</v>
      </c>
      <c r="B10" s="37">
        <f t="shared" si="0"/>
        <v>4293.5411699999995</v>
      </c>
      <c r="C10" s="33"/>
      <c r="D10" s="37">
        <f>IF( ISERROR(IND_voed_gas_kWh/1000),0,IND_voed_gas_kWh/1000)*0.903</f>
        <v>4762.8545577259911</v>
      </c>
      <c r="E10" s="33">
        <f>C32*'E Balans VL '!I20/100/3.6*1000000</f>
        <v>6.8426988131139135</v>
      </c>
      <c r="F10" s="33">
        <f>C32*'E Balans VL '!L20/100/3.6*1000000+C32*'E Balans VL '!N20/100/3.6*1000000</f>
        <v>69.759613818692628</v>
      </c>
      <c r="G10" s="34"/>
      <c r="H10" s="33"/>
      <c r="I10" s="33"/>
      <c r="J10" s="40">
        <f>C32*'E Balans VL '!D20/100/3.6*1000000+C32*'E Balans VL '!E20/100/3.6*1000000</f>
        <v>0</v>
      </c>
      <c r="K10" s="33"/>
      <c r="L10" s="33"/>
      <c r="M10" s="33"/>
      <c r="N10" s="33">
        <f>C32*'E Balans VL '!Y20/100/3.6*1000000</f>
        <v>135.6114736900627</v>
      </c>
      <c r="O10" s="33"/>
      <c r="P10" s="33"/>
      <c r="R10" s="32"/>
    </row>
    <row r="11" spans="1:18">
      <c r="A11" s="6" t="s">
        <v>39</v>
      </c>
      <c r="B11" s="37">
        <f t="shared" si="0"/>
        <v>68.471202999999988</v>
      </c>
      <c r="C11" s="33"/>
      <c r="D11" s="37">
        <f>IF( ISERROR(IND_textiel_gas_kWh/1000),0,IND_textiel_gas_kWh/1000)*0.903</f>
        <v>49.48231219258588</v>
      </c>
      <c r="E11" s="33">
        <f>C33*'E Balans VL '!I21/100/3.6*1000000</f>
        <v>9.9339203902974377E-2</v>
      </c>
      <c r="F11" s="33">
        <f>C33*'E Balans VL '!L21/100/3.6*1000000+C33*'E Balans VL '!N21/100/3.6*1000000</f>
        <v>1.3400254366330084</v>
      </c>
      <c r="G11" s="34"/>
      <c r="H11" s="33"/>
      <c r="I11" s="33"/>
      <c r="J11" s="40">
        <f>C33*'E Balans VL '!D21/100/3.6*1000000+C33*'E Balans VL '!E21/100/3.6*1000000</f>
        <v>0</v>
      </c>
      <c r="K11" s="33"/>
      <c r="L11" s="33"/>
      <c r="M11" s="33"/>
      <c r="N11" s="33">
        <f>C33*'E Balans VL '!Y21/100/3.6*1000000</f>
        <v>3.3357616118169631</v>
      </c>
      <c r="O11" s="33"/>
      <c r="P11" s="33"/>
      <c r="R11" s="32"/>
    </row>
    <row r="12" spans="1:18">
      <c r="A12" s="6" t="s">
        <v>36</v>
      </c>
      <c r="B12" s="37">
        <f t="shared" si="0"/>
        <v>608.48970299999996</v>
      </c>
      <c r="C12" s="33"/>
      <c r="D12" s="37">
        <f>IF( ISERROR(IND_min_gas_kWh/1000),0,IND_min_gas_kWh/1000)*0.903</f>
        <v>357.51762621082457</v>
      </c>
      <c r="E12" s="33">
        <f>C34*'E Balans VL '!I22/100/3.6*1000000</f>
        <v>2.63309971430713</v>
      </c>
      <c r="F12" s="33">
        <f>C34*'E Balans VL '!L22/100/3.6*1000000+C34*'E Balans VL '!N22/100/3.6*1000000</f>
        <v>23.232887998086749</v>
      </c>
      <c r="G12" s="34"/>
      <c r="H12" s="33"/>
      <c r="I12" s="33"/>
      <c r="J12" s="40">
        <f>C34*'E Balans VL '!D22/100/3.6*1000000+C34*'E Balans VL '!E22/100/3.6*1000000</f>
        <v>0</v>
      </c>
      <c r="K12" s="33"/>
      <c r="L12" s="33"/>
      <c r="M12" s="33"/>
      <c r="N12" s="33">
        <f>C34*'E Balans VL '!Y22/100/3.6*1000000</f>
        <v>103.79463623352763</v>
      </c>
      <c r="O12" s="33"/>
      <c r="P12" s="33"/>
      <c r="R12" s="32"/>
    </row>
    <row r="13" spans="1:18">
      <c r="A13" s="6" t="s">
        <v>38</v>
      </c>
      <c r="B13" s="37">
        <f t="shared" si="0"/>
        <v>1329.3203559999999</v>
      </c>
      <c r="C13" s="33"/>
      <c r="D13" s="37">
        <f>IF( ISERROR(IND_papier_gas_kWh/1000),0,IND_papier_gas_kWh/1000)*0.903</f>
        <v>899.50752485553517</v>
      </c>
      <c r="E13" s="33">
        <f>C35*'E Balans VL '!I23/100/3.6*1000000</f>
        <v>0</v>
      </c>
      <c r="F13" s="33">
        <f>C35*'E Balans VL '!L23/100/3.6*1000000+C35*'E Balans VL '!N23/100/3.6*1000000</f>
        <v>5.7592339001871225E-2</v>
      </c>
      <c r="G13" s="34"/>
      <c r="H13" s="33"/>
      <c r="I13" s="33"/>
      <c r="J13" s="40">
        <f>C35*'E Balans VL '!D23/100/3.6*1000000+C35*'E Balans VL '!E23/100/3.6*1000000</f>
        <v>3.6629115684920902E-2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1.3166769999999999</v>
      </c>
      <c r="C15" s="33"/>
      <c r="D15" s="37">
        <f>IF( ISERROR(IND_rest_gas_kWh/1000),0,IND_rest_gas_kWh/1000)*0.903</f>
        <v>10.493418978282266</v>
      </c>
      <c r="E15" s="33">
        <f>C37*'E Balans VL '!I15/100/3.6*1000000</f>
        <v>3.3187878607996657E-2</v>
      </c>
      <c r="F15" s="33">
        <f>C37*'E Balans VL '!L15/100/3.6*1000000+C37*'E Balans VL '!N15/100/3.6*1000000</f>
        <v>0.106889576045159</v>
      </c>
      <c r="G15" s="34"/>
      <c r="H15" s="33"/>
      <c r="I15" s="33"/>
      <c r="J15" s="40">
        <f>C37*'E Balans VL '!D15/100/3.6*1000000+C37*'E Balans VL '!E15/100/3.6*1000000</f>
        <v>2.688074302082948E-3</v>
      </c>
      <c r="K15" s="33"/>
      <c r="L15" s="33"/>
      <c r="M15" s="33"/>
      <c r="N15" s="33">
        <f>C37*'E Balans VL '!Y15/100/3.6*1000000</f>
        <v>2.2248231552281467E-2</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27563.821704999998</v>
      </c>
      <c r="C18" s="21">
        <f>C5+C16</f>
        <v>0</v>
      </c>
      <c r="D18" s="21">
        <f>MAX((D5+D16),0)</f>
        <v>17672.600293481177</v>
      </c>
      <c r="E18" s="21">
        <f>MAX((E5+E16),0)</f>
        <v>85.853685451125145</v>
      </c>
      <c r="F18" s="21">
        <f>MAX((F5+F16),0)</f>
        <v>10457.428465701018</v>
      </c>
      <c r="G18" s="21"/>
      <c r="H18" s="21"/>
      <c r="I18" s="21"/>
      <c r="J18" s="21">
        <f>MAX((J5+J16),0)</f>
        <v>4.3646623479560933</v>
      </c>
      <c r="K18" s="21"/>
      <c r="L18" s="21">
        <f>MAX((L5+L16),0)</f>
        <v>0</v>
      </c>
      <c r="M18" s="21"/>
      <c r="N18" s="21">
        <f>MAX((N5+N16),0)</f>
        <v>994.60595386667694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0.14957032902191875</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4122.7298815183549</v>
      </c>
      <c r="C22" s="23">
        <f ca="1">C18*C20</f>
        <v>0</v>
      </c>
      <c r="D22" s="23">
        <f>D18*D20</f>
        <v>3569.8652592831982</v>
      </c>
      <c r="E22" s="23">
        <f>E18*E20</f>
        <v>19.488786597405408</v>
      </c>
      <c r="F22" s="23">
        <f>F18*F20</f>
        <v>2792.1334003421716</v>
      </c>
      <c r="G22" s="23"/>
      <c r="H22" s="23"/>
      <c r="I22" s="23"/>
      <c r="J22" s="23">
        <f>J18*J20</f>
        <v>1.545090471176457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4878.6565179999998</v>
      </c>
      <c r="C30" s="39">
        <f>IF(ISERROR(B30*3.6/1000000/'E Balans VL '!Z18*100),0,B30*3.6/1000000/'E Balans VL '!Z18*100)</f>
        <v>0.24216551428753777</v>
      </c>
      <c r="D30" s="237" t="s">
        <v>702</v>
      </c>
    </row>
    <row r="31" spans="1:18">
      <c r="A31" s="6" t="s">
        <v>32</v>
      </c>
      <c r="B31" s="37">
        <f>IF( ISERROR(IND_ander_ele_kWh/1000),0,IND_ander_ele_kWh/1000)</f>
        <v>16384.026077999999</v>
      </c>
      <c r="C31" s="39">
        <f>IF(ISERROR(B31*3.6/1000000/'E Balans VL '!Z19*100),0,B31*3.6/1000000/'E Balans VL '!Z19*100)</f>
        <v>0.55287692318803872</v>
      </c>
      <c r="D31" s="237" t="s">
        <v>702</v>
      </c>
    </row>
    <row r="32" spans="1:18">
      <c r="A32" s="171" t="s">
        <v>40</v>
      </c>
      <c r="B32" s="37">
        <f>IF( ISERROR(IND_voed_ele_kWh/1000),0,IND_voed_ele_kWh/1000)</f>
        <v>4293.5411699999995</v>
      </c>
      <c r="C32" s="39">
        <f>IF(ISERROR(B32*3.6/1000000/'E Balans VL '!Z20*100),0,B32*3.6/1000000/'E Balans VL '!Z20*100)</f>
        <v>0.10083086505937823</v>
      </c>
      <c r="D32" s="237" t="s">
        <v>702</v>
      </c>
    </row>
    <row r="33" spans="1:5">
      <c r="A33" s="171" t="s">
        <v>39</v>
      </c>
      <c r="B33" s="37">
        <f>IF( ISERROR(IND_textiel_ele_kWh/1000),0,IND_textiel_ele_kWh/1000)</f>
        <v>68.471202999999988</v>
      </c>
      <c r="C33" s="39">
        <f>IF(ISERROR(B33*3.6/1000000/'E Balans VL '!Z21*100),0,B33*3.6/1000000/'E Balans VL '!Z21*100)</f>
        <v>7.5146277379850336E-3</v>
      </c>
      <c r="D33" s="237" t="s">
        <v>702</v>
      </c>
    </row>
    <row r="34" spans="1:5">
      <c r="A34" s="171" t="s">
        <v>36</v>
      </c>
      <c r="B34" s="37">
        <f>IF( ISERROR(IND_min_ele_kWh/1000),0,IND_min_ele_kWh/1000)</f>
        <v>608.48970299999996</v>
      </c>
      <c r="C34" s="39">
        <f>IF(ISERROR(B34*3.6/1000000/'E Balans VL '!Z22*100),0,B34*3.6/1000000/'E Balans VL '!Z22*100)</f>
        <v>8.6326895733845999E-2</v>
      </c>
      <c r="D34" s="237" t="s">
        <v>702</v>
      </c>
    </row>
    <row r="35" spans="1:5">
      <c r="A35" s="171" t="s">
        <v>38</v>
      </c>
      <c r="B35" s="37">
        <f>IF( ISERROR(IND_papier_ele_kWh/1000),0,IND_papier_ele_kWh/1000)</f>
        <v>1329.3203559999999</v>
      </c>
      <c r="C35" s="39">
        <f>IF(ISERROR(B35*3.6/1000000/'E Balans VL '!Z22*100),0,B35*3.6/1000000/'E Balans VL '!Z22*100)</f>
        <v>0.18859168726030368</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1.3166769999999999</v>
      </c>
      <c r="C37" s="39">
        <f>IF(ISERROR(B37*3.6/1000000/'E Balans VL '!Z15*100),0,B37*3.6/1000000/'E Balans VL '!Z15*100)</f>
        <v>4.9342855080092901E-6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1252.5051469999999</v>
      </c>
      <c r="C5" s="17">
        <f>'Eigen informatie GS &amp; warmtenet'!B62</f>
        <v>0</v>
      </c>
      <c r="D5" s="30">
        <f>IF(ISERROR(SUM(LB_lb_gas_kWh,LB_rest_gas_kWh)/1000),0,SUM(LB_lb_gas_kWh,LB_rest_gas_kWh)/1000)*0.903</f>
        <v>30893.896741008255</v>
      </c>
      <c r="E5" s="17">
        <f>B17*'E Balans VL '!I25/3.6*1000000/100</f>
        <v>46.709748071577316</v>
      </c>
      <c r="F5" s="17">
        <f>B17*('E Balans VL '!L25/3.6*1000000+'E Balans VL '!N25/3.6*1000000)/100</f>
        <v>4063.6106839080126</v>
      </c>
      <c r="G5" s="18"/>
      <c r="H5" s="17"/>
      <c r="I5" s="17"/>
      <c r="J5" s="17">
        <f>('E Balans VL '!D25+'E Balans VL '!E25)/3.6*1000000*landbouw!B17/100</f>
        <v>328.78878458909509</v>
      </c>
      <c r="K5" s="17"/>
      <c r="L5" s="17">
        <f>L6*(-1)</f>
        <v>0</v>
      </c>
      <c r="M5" s="17"/>
      <c r="N5" s="17">
        <f>N6*(-1)</f>
        <v>0</v>
      </c>
      <c r="O5" s="17"/>
      <c r="P5" s="17"/>
      <c r="R5" s="32"/>
    </row>
    <row r="6" spans="1:18">
      <c r="A6" s="16" t="s">
        <v>479</v>
      </c>
      <c r="B6" s="17" t="s">
        <v>210</v>
      </c>
      <c r="C6" s="17">
        <f>'lokale energieproductie'!O40+'lokale energieproductie'!O33</f>
        <v>20250</v>
      </c>
      <c r="D6" s="310">
        <f>('lokale energieproductie'!P33+'lokale energieproductie'!P40)*(-1)</f>
        <v>-40500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1252.5051469999999</v>
      </c>
      <c r="C8" s="21">
        <f>C5+C6</f>
        <v>20250</v>
      </c>
      <c r="D8" s="21">
        <f>MAX((D5+D6),0)</f>
        <v>0</v>
      </c>
      <c r="E8" s="21">
        <f>MAX((E5+E6),0)</f>
        <v>46.709748071577316</v>
      </c>
      <c r="F8" s="21">
        <f>MAX((F5+F6),0)</f>
        <v>4063.6106839080126</v>
      </c>
      <c r="G8" s="21"/>
      <c r="H8" s="21"/>
      <c r="I8" s="21"/>
      <c r="J8" s="21">
        <f>MAX((J5+J6),0)</f>
        <v>328.78878458909509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0.14957032902191875</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187.33760693843669</v>
      </c>
      <c r="C12" s="23">
        <f ca="1">C8*C10</f>
        <v>4812.3529411764703</v>
      </c>
      <c r="D12" s="23">
        <f>D8*D10</f>
        <v>0</v>
      </c>
      <c r="E12" s="23">
        <f>E8*E10</f>
        <v>10.603112812248051</v>
      </c>
      <c r="F12" s="23">
        <f>F8*F10</f>
        <v>1084.9840526034395</v>
      </c>
      <c r="G12" s="23"/>
      <c r="H12" s="23"/>
      <c r="I12" s="23"/>
      <c r="J12" s="23">
        <f>J8*J10</f>
        <v>116.39122974453966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0.17202831350528031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155.88732971507278</v>
      </c>
      <c r="C26" s="247">
        <f>B26*'GWP N2O_CH4'!B5</f>
        <v>3273.6339240165285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56.675540868762702</v>
      </c>
      <c r="C27" s="247">
        <f>B27*'GWP N2O_CH4'!B5</f>
        <v>1190.1863582440167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2.1004659008317987</v>
      </c>
      <c r="C28" s="247">
        <f>B28*'GWP N2O_CH4'!B4</f>
        <v>651.14442925785761</v>
      </c>
      <c r="D28" s="50"/>
    </row>
    <row r="29" spans="1:4">
      <c r="A29" s="41" t="s">
        <v>276</v>
      </c>
      <c r="B29" s="247">
        <f>B34*'ha_N2O bodem landbouw'!B4</f>
        <v>15.909898406045341</v>
      </c>
      <c r="C29" s="247">
        <f>B29*'GWP N2O_CH4'!B4</f>
        <v>4932.0685058740555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3.62591128241455E-3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4.1971019250347345E-4</v>
      </c>
      <c r="C5" s="440" t="s">
        <v>210</v>
      </c>
      <c r="D5" s="425">
        <f>SUM(D6:D11)</f>
        <v>1.6280527640209288E-3</v>
      </c>
      <c r="E5" s="425">
        <f>SUM(E6:E11)</f>
        <v>9.252164042079968E-4</v>
      </c>
      <c r="F5" s="438" t="s">
        <v>210</v>
      </c>
      <c r="G5" s="425">
        <f>SUM(G6:G11)</f>
        <v>0.4004076624313706</v>
      </c>
      <c r="H5" s="425">
        <f>SUM(H6:H11)</f>
        <v>0.10493424497435033</v>
      </c>
      <c r="I5" s="440" t="s">
        <v>210</v>
      </c>
      <c r="J5" s="440" t="s">
        <v>210</v>
      </c>
      <c r="K5" s="440" t="s">
        <v>210</v>
      </c>
      <c r="L5" s="440" t="s">
        <v>210</v>
      </c>
      <c r="M5" s="425">
        <f>SUM(M6:M11)</f>
        <v>2.9838179561785076E-2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2.7724799700926746E-4</v>
      </c>
      <c r="C6" s="426"/>
      <c r="D6" s="893">
        <f>vkm_GW_PW*SUMIFS(TableVerdeelsleutelVkm[CNG],TableVerdeelsleutelVkm[Voertuigtype],"Lichte voertuigen")*SUMIFS(TableECFTransport[EnergieConsumptieFactor (PJ per km)],TableECFTransport[Index],CONCATENATE($A6,"_CNG_CNG"))</f>
        <v>1.0013351574611491E-3</v>
      </c>
      <c r="E6" s="893">
        <f>vkm_GW_PW*SUMIFS(TableVerdeelsleutelVkm[LPG],TableVerdeelsleutelVkm[Voertuigtype],"Lichte voertuigen")*SUMIFS(TableECFTransport[EnergieConsumptieFactor (PJ per km)],TableECFTransport[Index],CONCATENATE($A6,"_LPG_LPG"))</f>
        <v>5.4419995513024029E-4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0.16935167303432208</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6.4092808440172788E-2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1.3990290296630979E-2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7.5426194971139907E-2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7.9405251480893537E-7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4.2466129198615267E-3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4.4105587940669544E-5</v>
      </c>
      <c r="C8" s="426"/>
      <c r="D8" s="428">
        <f>vkm_NGW_PW*SUMIFS(TableVerdeelsleutelVkm[CNG],TableVerdeelsleutelVkm[Voertuigtype],"Lichte voertuigen")*SUMIFS(TableECFTransport[EnergieConsumptieFactor (PJ per km)],TableECFTransport[Index],CONCATENATE($A8,"_CNG_CNG"))</f>
        <v>2.7001697555550317E-4</v>
      </c>
      <c r="E8" s="428">
        <f>vkm_NGW_PW*SUMIFS(TableVerdeelsleutelVkm[LPG],TableVerdeelsleutelVkm[Voertuigtype],"Lichte voertuigen")*SUMIFS(TableECFTransport[EnergieConsumptieFactor (PJ per km)],TableECFTransport[Index],CONCATENATE($A8,"_LPG_LPG"))</f>
        <v>1.3944914029427331E-4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4.0384505446646075E-2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1.7019946586920322E-2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3.456886199554734E-3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5.9580789068872618E-3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9.1103736139619711E-8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3.3545114775630449E-4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9.8356607553536443E-5</v>
      </c>
      <c r="C10" s="426"/>
      <c r="D10" s="428">
        <f>vkm_SW_PW*SUMIFS(TableVerdeelsleutelVkm[CNG],TableVerdeelsleutelVkm[Voertuigtype],"Lichte voertuigen")*SUMIFS(TableECFTransport[EnergieConsumptieFactor (PJ per km)],TableECFTransport[Index],CONCATENATE($A10,"_CNG_CNG"))</f>
        <v>3.567006310042766E-4</v>
      </c>
      <c r="E10" s="428">
        <f>vkm_SW_PW*SUMIFS(TableVerdeelsleutelVkm[LPG],TableVerdeelsleutelVkm[Voertuigtype],"Lichte voertuigen")*SUMIFS(TableECFTransport[EnergieConsumptieFactor (PJ per km)],TableECFTransport[Index],CONCATENATE($A10,"_LPG_LPG"))</f>
        <v>2.4156730878348317E-4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6.680324170682167E-2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2.3820131143461459E-2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5.417023199708962E-3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4.2483968365553612E-2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4.7364754480362351E-7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2.3919157982725701E-3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116.58616458429817</v>
      </c>
      <c r="C14" s="21"/>
      <c r="D14" s="21">
        <f t="shared" ref="D14:M14" si="0">((D5)*10^9/3600)+D12</f>
        <v>452.23687889470244</v>
      </c>
      <c r="E14" s="21">
        <f t="shared" si="0"/>
        <v>257.00455672444355</v>
      </c>
      <c r="F14" s="21"/>
      <c r="G14" s="21">
        <f t="shared" si="0"/>
        <v>111224.35067538073</v>
      </c>
      <c r="H14" s="21">
        <f t="shared" si="0"/>
        <v>29148.401381763982</v>
      </c>
      <c r="I14" s="21"/>
      <c r="J14" s="21"/>
      <c r="K14" s="21"/>
      <c r="L14" s="21"/>
      <c r="M14" s="21">
        <f t="shared" si="0"/>
        <v>8288.3832116069661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0.14957032902191875</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17.43783099627705</v>
      </c>
      <c r="C18" s="23"/>
      <c r="D18" s="23">
        <f t="shared" ref="D18:M18" si="1">D14*D16</f>
        <v>91.351849536729901</v>
      </c>
      <c r="E18" s="23">
        <f t="shared" si="1"/>
        <v>58.340034376448685</v>
      </c>
      <c r="F18" s="23"/>
      <c r="G18" s="23">
        <f t="shared" si="1"/>
        <v>29696.901630326658</v>
      </c>
      <c r="H18" s="23">
        <f t="shared" si="1"/>
        <v>7257.9519440592312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1.0106244735716587E-2</v>
      </c>
      <c r="H50" s="321">
        <f t="shared" si="2"/>
        <v>0</v>
      </c>
      <c r="I50" s="321">
        <f t="shared" si="2"/>
        <v>0</v>
      </c>
      <c r="J50" s="321">
        <f t="shared" si="2"/>
        <v>0</v>
      </c>
      <c r="K50" s="321">
        <f t="shared" si="2"/>
        <v>0</v>
      </c>
      <c r="L50" s="321">
        <f t="shared" si="2"/>
        <v>0</v>
      </c>
      <c r="M50" s="321">
        <f t="shared" si="2"/>
        <v>5.4842240036976589E-4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1.0106244735716587E-2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5.4842240036976589E-4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2807.2902043657186</v>
      </c>
      <c r="H54" s="21">
        <f t="shared" si="3"/>
        <v>0</v>
      </c>
      <c r="I54" s="21">
        <f t="shared" si="3"/>
        <v>0</v>
      </c>
      <c r="J54" s="21">
        <f t="shared" si="3"/>
        <v>0</v>
      </c>
      <c r="K54" s="21">
        <f t="shared" si="3"/>
        <v>0</v>
      </c>
      <c r="L54" s="21">
        <f t="shared" si="3"/>
        <v>0</v>
      </c>
      <c r="M54" s="21">
        <f t="shared" si="3"/>
        <v>152.33955565826832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0.14957032902191875</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749.54648456564689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46315.380537000005</v>
      </c>
      <c r="D10" s="689">
        <f ca="1">tertiair!C16</f>
        <v>35.357142857142861</v>
      </c>
      <c r="E10" s="689">
        <f ca="1">tertiair!D16</f>
        <v>54532.112202793287</v>
      </c>
      <c r="F10" s="689">
        <f>tertiair!E16</f>
        <v>102.39076631597554</v>
      </c>
      <c r="G10" s="689">
        <f ca="1">tertiair!F16</f>
        <v>5600.0889511769883</v>
      </c>
      <c r="H10" s="689">
        <f>tertiair!G16</f>
        <v>0</v>
      </c>
      <c r="I10" s="689">
        <f>tertiair!H16</f>
        <v>0</v>
      </c>
      <c r="J10" s="689">
        <f>tertiair!I16</f>
        <v>0</v>
      </c>
      <c r="K10" s="689">
        <f>tertiair!J16</f>
        <v>2.5471192126150448E-2</v>
      </c>
      <c r="L10" s="689">
        <f>tertiair!K16</f>
        <v>0</v>
      </c>
      <c r="M10" s="689">
        <f ca="1">tertiair!L16</f>
        <v>0</v>
      </c>
      <c r="N10" s="689">
        <f>tertiair!M16</f>
        <v>0</v>
      </c>
      <c r="O10" s="689">
        <f ca="1">tertiair!N16</f>
        <v>984.82474300790602</v>
      </c>
      <c r="P10" s="689">
        <f>tertiair!O16</f>
        <v>9.7945215316823084</v>
      </c>
      <c r="Q10" s="690">
        <f>tertiair!P16</f>
        <v>52.539138306495019</v>
      </c>
      <c r="R10" s="692">
        <f ca="1">SUM(C10:Q10)</f>
        <v>107632.51347418163</v>
      </c>
      <c r="S10" s="67"/>
    </row>
    <row r="11" spans="1:19" s="451" customFormat="1">
      <c r="A11" s="811" t="s">
        <v>224</v>
      </c>
      <c r="B11" s="816"/>
      <c r="C11" s="689">
        <f>huishoudens!B8</f>
        <v>39752.001687470067</v>
      </c>
      <c r="D11" s="689">
        <f>huishoudens!C8</f>
        <v>0</v>
      </c>
      <c r="E11" s="689">
        <f>huishoudens!D8</f>
        <v>76888.905432290718</v>
      </c>
      <c r="F11" s="689">
        <f>huishoudens!E8</f>
        <v>9613.520389702875</v>
      </c>
      <c r="G11" s="689">
        <f>huishoudens!F8</f>
        <v>45750.617324153965</v>
      </c>
      <c r="H11" s="689">
        <f>huishoudens!G8</f>
        <v>0</v>
      </c>
      <c r="I11" s="689">
        <f>huishoudens!H8</f>
        <v>0</v>
      </c>
      <c r="J11" s="689">
        <f>huishoudens!I8</f>
        <v>0</v>
      </c>
      <c r="K11" s="689">
        <f>huishoudens!J8</f>
        <v>0</v>
      </c>
      <c r="L11" s="689">
        <f>huishoudens!K8</f>
        <v>0</v>
      </c>
      <c r="M11" s="689">
        <f>huishoudens!L8</f>
        <v>0</v>
      </c>
      <c r="N11" s="689">
        <f>huishoudens!M8</f>
        <v>0</v>
      </c>
      <c r="O11" s="689">
        <f>huishoudens!N8</f>
        <v>11023.454442385835</v>
      </c>
      <c r="P11" s="689">
        <f>huishoudens!O8</f>
        <v>482.10184731104874</v>
      </c>
      <c r="Q11" s="690">
        <f>huishoudens!P8</f>
        <v>895.38654115322686</v>
      </c>
      <c r="R11" s="692">
        <f>SUM(C11:Q11)</f>
        <v>184405.98766446774</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27563.821704999998</v>
      </c>
      <c r="D13" s="689">
        <f>industrie!C18</f>
        <v>0</v>
      </c>
      <c r="E13" s="689">
        <f>industrie!D18</f>
        <v>17672.600293481177</v>
      </c>
      <c r="F13" s="689">
        <f>industrie!E18</f>
        <v>85.853685451125145</v>
      </c>
      <c r="G13" s="689">
        <f>industrie!F18</f>
        <v>10457.428465701018</v>
      </c>
      <c r="H13" s="689">
        <f>industrie!G18</f>
        <v>0</v>
      </c>
      <c r="I13" s="689">
        <f>industrie!H18</f>
        <v>0</v>
      </c>
      <c r="J13" s="689">
        <f>industrie!I18</f>
        <v>0</v>
      </c>
      <c r="K13" s="689">
        <f>industrie!J18</f>
        <v>4.3646623479560933</v>
      </c>
      <c r="L13" s="689">
        <f>industrie!K18</f>
        <v>0</v>
      </c>
      <c r="M13" s="689">
        <f>industrie!L18</f>
        <v>0</v>
      </c>
      <c r="N13" s="689">
        <f>industrie!M18</f>
        <v>0</v>
      </c>
      <c r="O13" s="689">
        <f>industrie!N18</f>
        <v>994.60595386667694</v>
      </c>
      <c r="P13" s="689">
        <f>industrie!O18</f>
        <v>0</v>
      </c>
      <c r="Q13" s="690">
        <f>industrie!P18</f>
        <v>0</v>
      </c>
      <c r="R13" s="692">
        <f>SUM(C13:Q13)</f>
        <v>56778.674765847958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113631.20392947007</v>
      </c>
      <c r="D16" s="725">
        <f t="shared" ref="D16:R16" ca="1" si="0">SUM(D9:D15)</f>
        <v>35.357142857142861</v>
      </c>
      <c r="E16" s="725">
        <f t="shared" ca="1" si="0"/>
        <v>149093.61792856516</v>
      </c>
      <c r="F16" s="725">
        <f t="shared" si="0"/>
        <v>9801.7648414699761</v>
      </c>
      <c r="G16" s="725">
        <f t="shared" ca="1" si="0"/>
        <v>61808.134741031972</v>
      </c>
      <c r="H16" s="725">
        <f t="shared" si="0"/>
        <v>0</v>
      </c>
      <c r="I16" s="725">
        <f t="shared" si="0"/>
        <v>0</v>
      </c>
      <c r="J16" s="725">
        <f t="shared" si="0"/>
        <v>0</v>
      </c>
      <c r="K16" s="725">
        <f t="shared" si="0"/>
        <v>4.3901335400822434</v>
      </c>
      <c r="L16" s="725">
        <f t="shared" si="0"/>
        <v>0</v>
      </c>
      <c r="M16" s="725">
        <f t="shared" ca="1" si="0"/>
        <v>0</v>
      </c>
      <c r="N16" s="725">
        <f t="shared" si="0"/>
        <v>0</v>
      </c>
      <c r="O16" s="725">
        <f t="shared" ca="1" si="0"/>
        <v>13002.885139260419</v>
      </c>
      <c r="P16" s="725">
        <f t="shared" si="0"/>
        <v>491.89636884273108</v>
      </c>
      <c r="Q16" s="725">
        <f t="shared" si="0"/>
        <v>947.92567945972189</v>
      </c>
      <c r="R16" s="725">
        <f t="shared" ca="1" si="0"/>
        <v>348817.17590449733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2807.2902043657186</v>
      </c>
      <c r="I19" s="689">
        <f>transport!H54</f>
        <v>0</v>
      </c>
      <c r="J19" s="689">
        <f>transport!I54</f>
        <v>0</v>
      </c>
      <c r="K19" s="689">
        <f>transport!J54</f>
        <v>0</v>
      </c>
      <c r="L19" s="689">
        <f>transport!K54</f>
        <v>0</v>
      </c>
      <c r="M19" s="689">
        <f>transport!L54</f>
        <v>0</v>
      </c>
      <c r="N19" s="689">
        <f>transport!M54</f>
        <v>152.33955565826832</v>
      </c>
      <c r="O19" s="689">
        <f>transport!N54</f>
        <v>0</v>
      </c>
      <c r="P19" s="689">
        <f>transport!O54</f>
        <v>0</v>
      </c>
      <c r="Q19" s="690">
        <f>transport!P54</f>
        <v>0</v>
      </c>
      <c r="R19" s="692">
        <f>SUM(C19:Q19)</f>
        <v>2959.6297600239868</v>
      </c>
      <c r="S19" s="67"/>
    </row>
    <row r="20" spans="1:19" s="451" customFormat="1">
      <c r="A20" s="811" t="s">
        <v>306</v>
      </c>
      <c r="B20" s="816"/>
      <c r="C20" s="689">
        <f>transport!B14</f>
        <v>116.58616458429817</v>
      </c>
      <c r="D20" s="689">
        <f>transport!C14</f>
        <v>0</v>
      </c>
      <c r="E20" s="689">
        <f>transport!D14</f>
        <v>452.23687889470244</v>
      </c>
      <c r="F20" s="689">
        <f>transport!E14</f>
        <v>257.00455672444355</v>
      </c>
      <c r="G20" s="689">
        <f>transport!F14</f>
        <v>0</v>
      </c>
      <c r="H20" s="689">
        <f>transport!G14</f>
        <v>111224.35067538073</v>
      </c>
      <c r="I20" s="689">
        <f>transport!H14</f>
        <v>29148.401381763982</v>
      </c>
      <c r="J20" s="689">
        <f>transport!I14</f>
        <v>0</v>
      </c>
      <c r="K20" s="689">
        <f>transport!J14</f>
        <v>0</v>
      </c>
      <c r="L20" s="689">
        <f>transport!K14</f>
        <v>0</v>
      </c>
      <c r="M20" s="689">
        <f>transport!L14</f>
        <v>0</v>
      </c>
      <c r="N20" s="689">
        <f>transport!M14</f>
        <v>8288.3832116069661</v>
      </c>
      <c r="O20" s="689">
        <f>transport!N14</f>
        <v>0</v>
      </c>
      <c r="P20" s="689">
        <f>transport!O14</f>
        <v>0</v>
      </c>
      <c r="Q20" s="690">
        <f>transport!P14</f>
        <v>0</v>
      </c>
      <c r="R20" s="692">
        <f>SUM(C20:Q20)</f>
        <v>149486.96286895513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116.58616458429817</v>
      </c>
      <c r="D22" s="814">
        <f t="shared" ref="D22:R22" si="1">SUM(D18:D21)</f>
        <v>0</v>
      </c>
      <c r="E22" s="814">
        <f t="shared" si="1"/>
        <v>452.23687889470244</v>
      </c>
      <c r="F22" s="814">
        <f t="shared" si="1"/>
        <v>257.00455672444355</v>
      </c>
      <c r="G22" s="814">
        <f t="shared" si="1"/>
        <v>0</v>
      </c>
      <c r="H22" s="814">
        <f t="shared" si="1"/>
        <v>114031.64087974645</v>
      </c>
      <c r="I22" s="814">
        <f t="shared" si="1"/>
        <v>29148.401381763982</v>
      </c>
      <c r="J22" s="814">
        <f t="shared" si="1"/>
        <v>0</v>
      </c>
      <c r="K22" s="814">
        <f t="shared" si="1"/>
        <v>0</v>
      </c>
      <c r="L22" s="814">
        <f t="shared" si="1"/>
        <v>0</v>
      </c>
      <c r="M22" s="814">
        <f t="shared" si="1"/>
        <v>0</v>
      </c>
      <c r="N22" s="814">
        <f t="shared" si="1"/>
        <v>8440.7227672652352</v>
      </c>
      <c r="O22" s="814">
        <f t="shared" si="1"/>
        <v>0</v>
      </c>
      <c r="P22" s="814">
        <f t="shared" si="1"/>
        <v>0</v>
      </c>
      <c r="Q22" s="814">
        <f t="shared" si="1"/>
        <v>0</v>
      </c>
      <c r="R22" s="814">
        <f t="shared" si="1"/>
        <v>152446.59262897912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1252.5051469999999</v>
      </c>
      <c r="D24" s="689">
        <f>+landbouw!C8</f>
        <v>20250</v>
      </c>
      <c r="E24" s="689">
        <f>+landbouw!D8</f>
        <v>0</v>
      </c>
      <c r="F24" s="689">
        <f>+landbouw!E8</f>
        <v>46.709748071577316</v>
      </c>
      <c r="G24" s="689">
        <f>+landbouw!F8</f>
        <v>4063.6106839080126</v>
      </c>
      <c r="H24" s="689">
        <f>+landbouw!G8</f>
        <v>0</v>
      </c>
      <c r="I24" s="689">
        <f>+landbouw!H8</f>
        <v>0</v>
      </c>
      <c r="J24" s="689">
        <f>+landbouw!I8</f>
        <v>0</v>
      </c>
      <c r="K24" s="689">
        <f>+landbouw!J8</f>
        <v>328.78878458909509</v>
      </c>
      <c r="L24" s="689">
        <f>+landbouw!K8</f>
        <v>0</v>
      </c>
      <c r="M24" s="689">
        <f>+landbouw!L8</f>
        <v>0</v>
      </c>
      <c r="N24" s="689">
        <f>+landbouw!M8</f>
        <v>0</v>
      </c>
      <c r="O24" s="689">
        <f>+landbouw!N8</f>
        <v>0</v>
      </c>
      <c r="P24" s="689">
        <f>+landbouw!O8</f>
        <v>0</v>
      </c>
      <c r="Q24" s="690">
        <f>+landbouw!P8</f>
        <v>0</v>
      </c>
      <c r="R24" s="692">
        <f>SUM(C24:Q24)</f>
        <v>25941.614363568686</v>
      </c>
      <c r="S24" s="67"/>
    </row>
    <row r="25" spans="1:19" s="451" customFormat="1" ht="15" thickBot="1">
      <c r="A25" s="833" t="s">
        <v>714</v>
      </c>
      <c r="B25" s="947"/>
      <c r="C25" s="948">
        <f>IF(Onbekend_ele_kWh="---",0,Onbekend_ele_kWh)/1000+IF(REST_rest_ele_kWh="---",0,REST_rest_ele_kWh)/1000</f>
        <v>1434.905728</v>
      </c>
      <c r="D25" s="948"/>
      <c r="E25" s="948">
        <f>IF(onbekend_gas_kWh="---",0,onbekend_gas_kWh)/1000+IF(REST_rest_gas_kWh="---",0,REST_rest_gas_kWh)/1000</f>
        <v>2809.2014244644402</v>
      </c>
      <c r="F25" s="948"/>
      <c r="G25" s="948"/>
      <c r="H25" s="948"/>
      <c r="I25" s="948"/>
      <c r="J25" s="948"/>
      <c r="K25" s="948"/>
      <c r="L25" s="948"/>
      <c r="M25" s="948"/>
      <c r="N25" s="948"/>
      <c r="O25" s="948"/>
      <c r="P25" s="948"/>
      <c r="Q25" s="949"/>
      <c r="R25" s="692">
        <f>SUM(C25:Q25)</f>
        <v>4244.1071524644403</v>
      </c>
      <c r="S25" s="67"/>
    </row>
    <row r="26" spans="1:19" s="451" customFormat="1" ht="15.75" thickBot="1">
      <c r="A26" s="697" t="s">
        <v>715</v>
      </c>
      <c r="B26" s="819"/>
      <c r="C26" s="814">
        <f>SUM(C24:C25)</f>
        <v>2687.4108749999996</v>
      </c>
      <c r="D26" s="814">
        <f t="shared" ref="D26:R26" si="2">SUM(D24:D25)</f>
        <v>20250</v>
      </c>
      <c r="E26" s="814">
        <f t="shared" si="2"/>
        <v>2809.2014244644402</v>
      </c>
      <c r="F26" s="814">
        <f t="shared" si="2"/>
        <v>46.709748071577316</v>
      </c>
      <c r="G26" s="814">
        <f t="shared" si="2"/>
        <v>4063.6106839080126</v>
      </c>
      <c r="H26" s="814">
        <f t="shared" si="2"/>
        <v>0</v>
      </c>
      <c r="I26" s="814">
        <f t="shared" si="2"/>
        <v>0</v>
      </c>
      <c r="J26" s="814">
        <f t="shared" si="2"/>
        <v>0</v>
      </c>
      <c r="K26" s="814">
        <f t="shared" si="2"/>
        <v>328.78878458909509</v>
      </c>
      <c r="L26" s="814">
        <f t="shared" si="2"/>
        <v>0</v>
      </c>
      <c r="M26" s="814">
        <f t="shared" si="2"/>
        <v>0</v>
      </c>
      <c r="N26" s="814">
        <f t="shared" si="2"/>
        <v>0</v>
      </c>
      <c r="O26" s="814">
        <f t="shared" si="2"/>
        <v>0</v>
      </c>
      <c r="P26" s="814">
        <f t="shared" si="2"/>
        <v>0</v>
      </c>
      <c r="Q26" s="814">
        <f t="shared" si="2"/>
        <v>0</v>
      </c>
      <c r="R26" s="814">
        <f t="shared" si="2"/>
        <v>30185.721516033125</v>
      </c>
      <c r="S26" s="67"/>
    </row>
    <row r="27" spans="1:19" s="451" customFormat="1" ht="17.25" thickTop="1" thickBot="1">
      <c r="A27" s="698" t="s">
        <v>115</v>
      </c>
      <c r="B27" s="806"/>
      <c r="C27" s="699">
        <f ca="1">C22+C16+C26</f>
        <v>116435.20096905436</v>
      </c>
      <c r="D27" s="699">
        <f t="shared" ref="D27:R27" ca="1" si="3">D22+D16+D26</f>
        <v>20285.357142857141</v>
      </c>
      <c r="E27" s="699">
        <f t="shared" ca="1" si="3"/>
        <v>152355.0562319243</v>
      </c>
      <c r="F27" s="699">
        <f t="shared" si="3"/>
        <v>10105.479146265996</v>
      </c>
      <c r="G27" s="699">
        <f t="shared" ca="1" si="3"/>
        <v>65871.745424939989</v>
      </c>
      <c r="H27" s="699">
        <f t="shared" si="3"/>
        <v>114031.64087974645</v>
      </c>
      <c r="I27" s="699">
        <f t="shared" si="3"/>
        <v>29148.401381763982</v>
      </c>
      <c r="J27" s="699">
        <f t="shared" si="3"/>
        <v>0</v>
      </c>
      <c r="K27" s="699">
        <f t="shared" si="3"/>
        <v>333.1789181291773</v>
      </c>
      <c r="L27" s="699">
        <f t="shared" si="3"/>
        <v>0</v>
      </c>
      <c r="M27" s="699">
        <f t="shared" ca="1" si="3"/>
        <v>0</v>
      </c>
      <c r="N27" s="699">
        <f t="shared" si="3"/>
        <v>8440.7227672652352</v>
      </c>
      <c r="O27" s="699">
        <f t="shared" ca="1" si="3"/>
        <v>13002.885139260419</v>
      </c>
      <c r="P27" s="699">
        <f t="shared" si="3"/>
        <v>491.89636884273108</v>
      </c>
      <c r="Q27" s="699">
        <f t="shared" si="3"/>
        <v>947.92567945972189</v>
      </c>
      <c r="R27" s="699">
        <f t="shared" ca="1" si="3"/>
        <v>531449.49004950956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6927.4067056944623</v>
      </c>
      <c r="D40" s="689">
        <f ca="1">tertiair!C20</f>
        <v>8.4025210084033617</v>
      </c>
      <c r="E40" s="689">
        <f ca="1">tertiair!D20</f>
        <v>11015.486664964244</v>
      </c>
      <c r="F40" s="689">
        <f>tertiair!E20</f>
        <v>23.242703953726448</v>
      </c>
      <c r="G40" s="689">
        <f ca="1">tertiair!F20</f>
        <v>1495.2237499642561</v>
      </c>
      <c r="H40" s="689">
        <f>tertiair!G20</f>
        <v>0</v>
      </c>
      <c r="I40" s="689">
        <f>tertiair!H20</f>
        <v>0</v>
      </c>
      <c r="J40" s="689">
        <f>tertiair!I20</f>
        <v>0</v>
      </c>
      <c r="K40" s="689">
        <f>tertiair!J20</f>
        <v>9.016802012657258E-3</v>
      </c>
      <c r="L40" s="689">
        <f>tertiair!K20</f>
        <v>0</v>
      </c>
      <c r="M40" s="689">
        <f ca="1">tertiair!L20</f>
        <v>0</v>
      </c>
      <c r="N40" s="689">
        <f>tertiair!M20</f>
        <v>0</v>
      </c>
      <c r="O40" s="689">
        <f ca="1">tertiair!N20</f>
        <v>0</v>
      </c>
      <c r="P40" s="689">
        <f>tertiair!O20</f>
        <v>0</v>
      </c>
      <c r="Q40" s="772">
        <f>tertiair!P20</f>
        <v>0</v>
      </c>
      <c r="R40" s="852">
        <f t="shared" ca="1" si="4"/>
        <v>19469.771362387106</v>
      </c>
    </row>
    <row r="41" spans="1:18">
      <c r="A41" s="824" t="s">
        <v>224</v>
      </c>
      <c r="B41" s="831"/>
      <c r="C41" s="689">
        <f ca="1">huishoudens!B12</f>
        <v>5945.7199716747673</v>
      </c>
      <c r="D41" s="689">
        <f ca="1">huishoudens!C12</f>
        <v>0</v>
      </c>
      <c r="E41" s="689">
        <f>huishoudens!D12</f>
        <v>15531.558897322726</v>
      </c>
      <c r="F41" s="689">
        <f>huishoudens!E12</f>
        <v>2182.2691284625525</v>
      </c>
      <c r="G41" s="689">
        <f>huishoudens!F12</f>
        <v>12215.414825549109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35874.962823009155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4122.7298815183549</v>
      </c>
      <c r="D43" s="689">
        <f ca="1">industrie!C22</f>
        <v>0</v>
      </c>
      <c r="E43" s="689">
        <f>industrie!D22</f>
        <v>3569.8652592831982</v>
      </c>
      <c r="F43" s="689">
        <f>industrie!E22</f>
        <v>19.488786597405408</v>
      </c>
      <c r="G43" s="689">
        <f>industrie!F22</f>
        <v>2792.1334003421716</v>
      </c>
      <c r="H43" s="689">
        <f>industrie!G22</f>
        <v>0</v>
      </c>
      <c r="I43" s="689">
        <f>industrie!H22</f>
        <v>0</v>
      </c>
      <c r="J43" s="689">
        <f>industrie!I22</f>
        <v>0</v>
      </c>
      <c r="K43" s="689">
        <f>industrie!J22</f>
        <v>1.545090471176457</v>
      </c>
      <c r="L43" s="689">
        <f>industrie!K22</f>
        <v>0</v>
      </c>
      <c r="M43" s="689">
        <f>industrie!L22</f>
        <v>0</v>
      </c>
      <c r="N43" s="689">
        <f>industrie!M22</f>
        <v>0</v>
      </c>
      <c r="O43" s="689">
        <f>industrie!N22</f>
        <v>0</v>
      </c>
      <c r="P43" s="689">
        <f>industrie!O22</f>
        <v>0</v>
      </c>
      <c r="Q43" s="772">
        <f>industrie!P22</f>
        <v>0</v>
      </c>
      <c r="R43" s="851">
        <f t="shared" ca="1" si="4"/>
        <v>10505.762418212307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16995.856558887586</v>
      </c>
      <c r="D46" s="725">
        <f t="shared" ref="D46:Q46" ca="1" si="5">SUM(D39:D45)</f>
        <v>8.4025210084033617</v>
      </c>
      <c r="E46" s="725">
        <f t="shared" ca="1" si="5"/>
        <v>30116.910821570167</v>
      </c>
      <c r="F46" s="725">
        <f t="shared" si="5"/>
        <v>2225.0006190136846</v>
      </c>
      <c r="G46" s="725">
        <f t="shared" ca="1" si="5"/>
        <v>16502.771975855536</v>
      </c>
      <c r="H46" s="725">
        <f t="shared" si="5"/>
        <v>0</v>
      </c>
      <c r="I46" s="725">
        <f t="shared" si="5"/>
        <v>0</v>
      </c>
      <c r="J46" s="725">
        <f t="shared" si="5"/>
        <v>0</v>
      </c>
      <c r="K46" s="725">
        <f t="shared" si="5"/>
        <v>1.5541072731891143</v>
      </c>
      <c r="L46" s="725">
        <f t="shared" si="5"/>
        <v>0</v>
      </c>
      <c r="M46" s="725">
        <f t="shared" ca="1" si="5"/>
        <v>0</v>
      </c>
      <c r="N46" s="725">
        <f t="shared" si="5"/>
        <v>0</v>
      </c>
      <c r="O46" s="725">
        <f t="shared" ca="1" si="5"/>
        <v>0</v>
      </c>
      <c r="P46" s="725">
        <f t="shared" si="5"/>
        <v>0</v>
      </c>
      <c r="Q46" s="725">
        <f t="shared" si="5"/>
        <v>0</v>
      </c>
      <c r="R46" s="725">
        <f ca="1">SUM(R39:R45)</f>
        <v>65850.496603608568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749.54648456564689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749.54648456564689</v>
      </c>
    </row>
    <row r="50" spans="1:18">
      <c r="A50" s="827" t="s">
        <v>306</v>
      </c>
      <c r="B50" s="837"/>
      <c r="C50" s="695">
        <f ca="1">transport!B18</f>
        <v>17.43783099627705</v>
      </c>
      <c r="D50" s="695">
        <f>transport!C18</f>
        <v>0</v>
      </c>
      <c r="E50" s="695">
        <f>transport!D18</f>
        <v>91.351849536729901</v>
      </c>
      <c r="F50" s="695">
        <f>transport!E18</f>
        <v>58.340034376448685</v>
      </c>
      <c r="G50" s="695">
        <f>transport!F18</f>
        <v>0</v>
      </c>
      <c r="H50" s="695">
        <f>transport!G18</f>
        <v>29696.901630326658</v>
      </c>
      <c r="I50" s="695">
        <f>transport!H18</f>
        <v>7257.9519440592312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37121.983289295349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17.43783099627705</v>
      </c>
      <c r="D52" s="725">
        <f t="shared" ref="D52:Q52" ca="1" si="6">SUM(D48:D51)</f>
        <v>0</v>
      </c>
      <c r="E52" s="725">
        <f t="shared" si="6"/>
        <v>91.351849536729901</v>
      </c>
      <c r="F52" s="725">
        <f t="shared" si="6"/>
        <v>58.340034376448685</v>
      </c>
      <c r="G52" s="725">
        <f t="shared" si="6"/>
        <v>0</v>
      </c>
      <c r="H52" s="725">
        <f t="shared" si="6"/>
        <v>30446.448114892304</v>
      </c>
      <c r="I52" s="725">
        <f t="shared" si="6"/>
        <v>7257.9519440592312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37871.529773860995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187.33760693843669</v>
      </c>
      <c r="D54" s="695">
        <f ca="1">+landbouw!C12</f>
        <v>4812.3529411764703</v>
      </c>
      <c r="E54" s="695">
        <f>+landbouw!D12</f>
        <v>0</v>
      </c>
      <c r="F54" s="695">
        <f>+landbouw!E12</f>
        <v>10.603112812248051</v>
      </c>
      <c r="G54" s="695">
        <f>+landbouw!F12</f>
        <v>1084.9840526034395</v>
      </c>
      <c r="H54" s="695">
        <f>+landbouw!G12</f>
        <v>0</v>
      </c>
      <c r="I54" s="695">
        <f>+landbouw!H12</f>
        <v>0</v>
      </c>
      <c r="J54" s="695">
        <f>+landbouw!I12</f>
        <v>0</v>
      </c>
      <c r="K54" s="695">
        <f>+landbouw!J12</f>
        <v>116.39122974453966</v>
      </c>
      <c r="L54" s="695">
        <f>+landbouw!K12</f>
        <v>0</v>
      </c>
      <c r="M54" s="695">
        <f>+landbouw!L12</f>
        <v>0</v>
      </c>
      <c r="N54" s="695">
        <f>+landbouw!M12</f>
        <v>0</v>
      </c>
      <c r="O54" s="695">
        <f>+landbouw!N12</f>
        <v>0</v>
      </c>
      <c r="P54" s="695">
        <f>+landbouw!O12</f>
        <v>0</v>
      </c>
      <c r="Q54" s="696">
        <f>+landbouw!P12</f>
        <v>0</v>
      </c>
      <c r="R54" s="724">
        <f ca="1">SUM(C54:Q54)</f>
        <v>6211.6689432751336</v>
      </c>
    </row>
    <row r="55" spans="1:18" ht="15" thickBot="1">
      <c r="A55" s="827" t="s">
        <v>714</v>
      </c>
      <c r="B55" s="837"/>
      <c r="C55" s="695">
        <f ca="1">C25*'EF ele_warmte'!B12</f>
        <v>214.61932185239584</v>
      </c>
      <c r="D55" s="695"/>
      <c r="E55" s="695">
        <f>E25*EF_CO2_aardgas</f>
        <v>567.4586877418169</v>
      </c>
      <c r="F55" s="695"/>
      <c r="G55" s="695"/>
      <c r="H55" s="695"/>
      <c r="I55" s="695"/>
      <c r="J55" s="695"/>
      <c r="K55" s="695"/>
      <c r="L55" s="695"/>
      <c r="M55" s="695"/>
      <c r="N55" s="695"/>
      <c r="O55" s="695"/>
      <c r="P55" s="695"/>
      <c r="Q55" s="696"/>
      <c r="R55" s="724">
        <f ca="1">SUM(C55:Q55)</f>
        <v>782.07800959421274</v>
      </c>
    </row>
    <row r="56" spans="1:18" ht="15.75" thickBot="1">
      <c r="A56" s="825" t="s">
        <v>715</v>
      </c>
      <c r="B56" s="838"/>
      <c r="C56" s="725">
        <f ca="1">SUM(C54:C55)</f>
        <v>401.95692879083254</v>
      </c>
      <c r="D56" s="725">
        <f t="shared" ref="D56:Q56" ca="1" si="7">SUM(D54:D55)</f>
        <v>4812.3529411764703</v>
      </c>
      <c r="E56" s="725">
        <f t="shared" si="7"/>
        <v>567.4586877418169</v>
      </c>
      <c r="F56" s="725">
        <f t="shared" si="7"/>
        <v>10.603112812248051</v>
      </c>
      <c r="G56" s="725">
        <f t="shared" si="7"/>
        <v>1084.9840526034395</v>
      </c>
      <c r="H56" s="725">
        <f t="shared" si="7"/>
        <v>0</v>
      </c>
      <c r="I56" s="725">
        <f t="shared" si="7"/>
        <v>0</v>
      </c>
      <c r="J56" s="725">
        <f t="shared" si="7"/>
        <v>0</v>
      </c>
      <c r="K56" s="725">
        <f t="shared" si="7"/>
        <v>116.39122974453966</v>
      </c>
      <c r="L56" s="725">
        <f t="shared" si="7"/>
        <v>0</v>
      </c>
      <c r="M56" s="725">
        <f t="shared" si="7"/>
        <v>0</v>
      </c>
      <c r="N56" s="725">
        <f t="shared" si="7"/>
        <v>0</v>
      </c>
      <c r="O56" s="725">
        <f t="shared" si="7"/>
        <v>0</v>
      </c>
      <c r="P56" s="725">
        <f t="shared" si="7"/>
        <v>0</v>
      </c>
      <c r="Q56" s="726">
        <f t="shared" si="7"/>
        <v>0</v>
      </c>
      <c r="R56" s="727">
        <f ca="1">SUM(R54:R55)</f>
        <v>6993.7469528693464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17415.251318674695</v>
      </c>
      <c r="D61" s="733">
        <f t="shared" ref="D61:Q61" ca="1" si="8">D46+D52+D56</f>
        <v>4820.755462184874</v>
      </c>
      <c r="E61" s="733">
        <f t="shared" ca="1" si="8"/>
        <v>30775.721358848714</v>
      </c>
      <c r="F61" s="733">
        <f t="shared" si="8"/>
        <v>2293.9437662023815</v>
      </c>
      <c r="G61" s="733">
        <f t="shared" ca="1" si="8"/>
        <v>17587.756028458974</v>
      </c>
      <c r="H61" s="733">
        <f t="shared" si="8"/>
        <v>30446.448114892304</v>
      </c>
      <c r="I61" s="733">
        <f t="shared" si="8"/>
        <v>7257.9519440592312</v>
      </c>
      <c r="J61" s="733">
        <f t="shared" si="8"/>
        <v>0</v>
      </c>
      <c r="K61" s="733">
        <f t="shared" si="8"/>
        <v>117.94533701772878</v>
      </c>
      <c r="L61" s="733">
        <f t="shared" si="8"/>
        <v>0</v>
      </c>
      <c r="M61" s="733">
        <f t="shared" ca="1" si="8"/>
        <v>0</v>
      </c>
      <c r="N61" s="733">
        <f t="shared" si="8"/>
        <v>0</v>
      </c>
      <c r="O61" s="733">
        <f t="shared" ca="1" si="8"/>
        <v>0</v>
      </c>
      <c r="P61" s="733">
        <f t="shared" si="8"/>
        <v>0</v>
      </c>
      <c r="Q61" s="733">
        <f t="shared" si="8"/>
        <v>0</v>
      </c>
      <c r="R61" s="733">
        <f ca="1">R46+R52+R56</f>
        <v>110715.77333033891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0.14957032902191875</v>
      </c>
      <c r="D63" s="779">
        <f t="shared" ca="1" si="9"/>
        <v>0.23764705882352943</v>
      </c>
      <c r="E63" s="973">
        <f t="shared" ca="1" si="9"/>
        <v>0.20200000000000004</v>
      </c>
      <c r="F63" s="779">
        <f t="shared" si="9"/>
        <v>0.22700000000000004</v>
      </c>
      <c r="G63" s="779">
        <f t="shared" ca="1" si="9"/>
        <v>0.26699999999999996</v>
      </c>
      <c r="H63" s="779">
        <f t="shared" si="9"/>
        <v>0.26700000000000002</v>
      </c>
      <c r="I63" s="779">
        <f t="shared" si="9"/>
        <v>0.24899999999999997</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23686.422186752079</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15016.347808794206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14199.75</v>
      </c>
      <c r="D76" s="956">
        <f>'lokale energieproductie'!C8</f>
        <v>16705.588235294115</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3374.5288235294115</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38702.769995546289</v>
      </c>
      <c r="C78" s="751">
        <f>SUM(C72:C77)</f>
        <v>14199.75</v>
      </c>
      <c r="D78" s="752">
        <f t="shared" ref="D78:H78" si="10">SUM(D76:D77)</f>
        <v>16705.588235294115</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3374.5288235294115</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20285.357142857141</v>
      </c>
      <c r="D87" s="775">
        <f>'lokale energieproductie'!C17</f>
        <v>23865.126050420164</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4820.7554621848731</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20285.357142857141</v>
      </c>
      <c r="D90" s="751">
        <f t="shared" ref="D90:H90" si="12">SUM(D87:D89)</f>
        <v>23865.126050420164</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4820.7554621848731</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23686.422186752079</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15016.347808794206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14199.75</v>
      </c>
      <c r="C8" s="551">
        <f>B49</f>
        <v>16705.588235294115</v>
      </c>
      <c r="D8" s="552"/>
      <c r="E8" s="552">
        <f>E49</f>
        <v>0</v>
      </c>
      <c r="F8" s="553"/>
      <c r="G8" s="554"/>
      <c r="H8" s="552">
        <f>I49</f>
        <v>0</v>
      </c>
      <c r="I8" s="552">
        <f>G49+F49</f>
        <v>0</v>
      </c>
      <c r="J8" s="552">
        <f>H49+D49+C49</f>
        <v>0</v>
      </c>
      <c r="K8" s="552"/>
      <c r="L8" s="552"/>
      <c r="M8" s="552"/>
      <c r="N8" s="555"/>
      <c r="O8" s="556">
        <f>C8*$C$12+D8*$D$12+E8*$E$12+F8*$F$12+G8*$G$12+H8*$H$12+I8*$I$12+J8*$J$12</f>
        <v>3374.5288235294115</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52902.519995546289</v>
      </c>
      <c r="C10" s="566">
        <f t="shared" ref="C10:L10" si="0">SUM(C8:C9)</f>
        <v>16705.588235294115</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3374.5288235294115</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20285.357142857141</v>
      </c>
      <c r="C17" s="582">
        <f>B50</f>
        <v>23865.126050420164</v>
      </c>
      <c r="D17" s="583"/>
      <c r="E17" s="583">
        <f>E50</f>
        <v>0</v>
      </c>
      <c r="F17" s="584"/>
      <c r="G17" s="585"/>
      <c r="H17" s="582">
        <f>I50</f>
        <v>0</v>
      </c>
      <c r="I17" s="583">
        <f>G50+F50</f>
        <v>0</v>
      </c>
      <c r="J17" s="583">
        <f>H50+D50+C50</f>
        <v>0</v>
      </c>
      <c r="K17" s="583"/>
      <c r="L17" s="583"/>
      <c r="M17" s="583"/>
      <c r="N17" s="970"/>
      <c r="O17" s="586">
        <f>C17*$C$22+E17*$E$22+H17*$H$22+I17*$I$22+J17*$J$22+D17*$D$22+F17*$F$22+G17*$G$22+K17*$K$22+L17*$L$22</f>
        <v>4820.7554621848731</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20285.357142857141</v>
      </c>
      <c r="C20" s="565">
        <f>SUM(C17:C19)</f>
        <v>23865.126050420164</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4820.7554621848731</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24020</v>
      </c>
      <c r="C28" s="794">
        <v>3290</v>
      </c>
      <c r="D28" s="643" t="s">
        <v>865</v>
      </c>
      <c r="E28" s="642" t="s">
        <v>866</v>
      </c>
      <c r="F28" s="642" t="s">
        <v>867</v>
      </c>
      <c r="G28" s="642" t="s">
        <v>868</v>
      </c>
      <c r="H28" s="642" t="s">
        <v>869</v>
      </c>
      <c r="I28" s="642" t="s">
        <v>870</v>
      </c>
      <c r="J28" s="793">
        <v>37839</v>
      </c>
      <c r="K28" s="793">
        <v>38687</v>
      </c>
      <c r="L28" s="642" t="s">
        <v>871</v>
      </c>
      <c r="M28" s="642">
        <v>5.5</v>
      </c>
      <c r="N28" s="642">
        <v>24.75</v>
      </c>
      <c r="O28" s="642">
        <v>35.357142857142861</v>
      </c>
      <c r="P28" s="642">
        <v>70.714285714285722</v>
      </c>
      <c r="Q28" s="642">
        <v>0</v>
      </c>
      <c r="R28" s="642">
        <v>0</v>
      </c>
      <c r="S28" s="642">
        <v>0</v>
      </c>
      <c r="T28" s="642">
        <v>0</v>
      </c>
      <c r="U28" s="642">
        <v>0</v>
      </c>
      <c r="V28" s="642">
        <v>0</v>
      </c>
      <c r="W28" s="642">
        <v>0</v>
      </c>
      <c r="X28" s="642">
        <v>1600</v>
      </c>
      <c r="Y28" s="642" t="s">
        <v>49</v>
      </c>
      <c r="Z28" s="644" t="s">
        <v>155</v>
      </c>
    </row>
    <row r="29" spans="1:26" s="596" customFormat="1" ht="25.5">
      <c r="A29" s="595"/>
      <c r="B29" s="794">
        <v>24020</v>
      </c>
      <c r="C29" s="794">
        <v>3294</v>
      </c>
      <c r="D29" s="643" t="s">
        <v>872</v>
      </c>
      <c r="E29" s="642" t="s">
        <v>873</v>
      </c>
      <c r="F29" s="642" t="s">
        <v>874</v>
      </c>
      <c r="G29" s="642" t="s">
        <v>868</v>
      </c>
      <c r="H29" s="642" t="s">
        <v>869</v>
      </c>
      <c r="I29" s="642" t="s">
        <v>873</v>
      </c>
      <c r="J29" s="793">
        <v>40165</v>
      </c>
      <c r="K29" s="793">
        <v>39211</v>
      </c>
      <c r="L29" s="642" t="s">
        <v>871</v>
      </c>
      <c r="M29" s="642">
        <v>3150</v>
      </c>
      <c r="N29" s="642">
        <v>14175</v>
      </c>
      <c r="O29" s="642">
        <v>20250</v>
      </c>
      <c r="P29" s="642">
        <v>40500</v>
      </c>
      <c r="Q29" s="642">
        <v>0</v>
      </c>
      <c r="R29" s="642">
        <v>0</v>
      </c>
      <c r="S29" s="642">
        <v>0</v>
      </c>
      <c r="T29" s="642">
        <v>0</v>
      </c>
      <c r="U29" s="642">
        <v>0</v>
      </c>
      <c r="V29" s="642">
        <v>0</v>
      </c>
      <c r="W29" s="642">
        <v>0</v>
      </c>
      <c r="X29" s="642">
        <v>10</v>
      </c>
      <c r="Y29" s="642" t="s">
        <v>111</v>
      </c>
      <c r="Z29" s="644" t="s">
        <v>111</v>
      </c>
    </row>
    <row r="30" spans="1:26" s="576" customFormat="1">
      <c r="A30" s="598" t="s">
        <v>279</v>
      </c>
      <c r="B30" s="599"/>
      <c r="C30" s="599"/>
      <c r="D30" s="599"/>
      <c r="E30" s="599"/>
      <c r="F30" s="599"/>
      <c r="G30" s="599"/>
      <c r="H30" s="599"/>
      <c r="I30" s="599"/>
      <c r="J30" s="599"/>
      <c r="K30" s="599"/>
      <c r="L30" s="600"/>
      <c r="M30" s="600">
        <f>SUM(M28:M29)</f>
        <v>3155.5</v>
      </c>
      <c r="N30" s="600">
        <f>SUM(N28:N29)</f>
        <v>14199.75</v>
      </c>
      <c r="O30" s="600">
        <f>SUM(O28:O29)</f>
        <v>20285.357142857141</v>
      </c>
      <c r="P30" s="600">
        <f>SUM(P28:P29)</f>
        <v>40570.714285714283</v>
      </c>
      <c r="Q30" s="600">
        <f>SUM(Q28:Q29)</f>
        <v>0</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5.5</v>
      </c>
      <c r="N32" s="600">
        <f ca="1">SUMIF($Z$28:AD29,"tertiair",N28:N29)</f>
        <v>24.75</v>
      </c>
      <c r="O32" s="600">
        <f ca="1">SUMIF($Z$28:AE29,"tertiair",O28:O29)</f>
        <v>35.357142857142861</v>
      </c>
      <c r="P32" s="600">
        <f ca="1">SUMIF($Z$28:AF29,"tertiair",P28:P29)</f>
        <v>70.714285714285722</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3150</v>
      </c>
      <c r="N33" s="605">
        <f>SUMIF($Z$28:$Z$29,"landbouw",N28:N29)</f>
        <v>14175</v>
      </c>
      <c r="O33" s="605">
        <f>SUMIF($Z$28:$Z$29,"landbouw",O28:O29)</f>
        <v>20250</v>
      </c>
      <c r="P33" s="605">
        <f>SUMIF($Z$28:$Z$29,"landbouw",P28:P29)</f>
        <v>40500</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0.58823529411764697</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16705.588235294115</v>
      </c>
      <c r="C49" s="634">
        <f t="shared" si="2"/>
        <v>0</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23865.126050420164</v>
      </c>
      <c r="C50" s="637">
        <f t="shared" si="3"/>
        <v>0</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39752.001687470067</v>
      </c>
      <c r="C4" s="455">
        <f>huishoudens!C8</f>
        <v>0</v>
      </c>
      <c r="D4" s="455">
        <f>huishoudens!D8</f>
        <v>76888.905432290718</v>
      </c>
      <c r="E4" s="455">
        <f>huishoudens!E8</f>
        <v>9613.520389702875</v>
      </c>
      <c r="F4" s="455">
        <f>huishoudens!F8</f>
        <v>45750.617324153965</v>
      </c>
      <c r="G4" s="455">
        <f>huishoudens!G8</f>
        <v>0</v>
      </c>
      <c r="H4" s="455">
        <f>huishoudens!H8</f>
        <v>0</v>
      </c>
      <c r="I4" s="455">
        <f>huishoudens!I8</f>
        <v>0</v>
      </c>
      <c r="J4" s="455">
        <f>huishoudens!J8</f>
        <v>0</v>
      </c>
      <c r="K4" s="455">
        <f>huishoudens!K8</f>
        <v>0</v>
      </c>
      <c r="L4" s="455">
        <f>huishoudens!L8</f>
        <v>0</v>
      </c>
      <c r="M4" s="455">
        <f>huishoudens!M8</f>
        <v>0</v>
      </c>
      <c r="N4" s="455">
        <f>huishoudens!N8</f>
        <v>11023.454442385835</v>
      </c>
      <c r="O4" s="455">
        <f>huishoudens!O8</f>
        <v>482.10184731104874</v>
      </c>
      <c r="P4" s="456">
        <f>huishoudens!P8</f>
        <v>895.38654115322686</v>
      </c>
      <c r="Q4" s="457">
        <f>SUM(B4:P4)</f>
        <v>184405.98766446774</v>
      </c>
    </row>
    <row r="5" spans="1:17">
      <c r="A5" s="454" t="s">
        <v>155</v>
      </c>
      <c r="B5" s="455">
        <f ca="1">tertiair!B16</f>
        <v>44300.581537000005</v>
      </c>
      <c r="C5" s="455">
        <f ca="1">tertiair!C16</f>
        <v>35.357142857142861</v>
      </c>
      <c r="D5" s="455">
        <f ca="1">tertiair!D16</f>
        <v>54532.112202793287</v>
      </c>
      <c r="E5" s="455">
        <f>tertiair!E16</f>
        <v>102.39076631597554</v>
      </c>
      <c r="F5" s="455">
        <f ca="1">tertiair!F16</f>
        <v>5600.0889511769883</v>
      </c>
      <c r="G5" s="455">
        <f>tertiair!G16</f>
        <v>0</v>
      </c>
      <c r="H5" s="455">
        <f>tertiair!H16</f>
        <v>0</v>
      </c>
      <c r="I5" s="455">
        <f>tertiair!I16</f>
        <v>0</v>
      </c>
      <c r="J5" s="455">
        <f>tertiair!J16</f>
        <v>2.5471192126150448E-2</v>
      </c>
      <c r="K5" s="455">
        <f>tertiair!K16</f>
        <v>0</v>
      </c>
      <c r="L5" s="455">
        <f ca="1">tertiair!L16</f>
        <v>0</v>
      </c>
      <c r="M5" s="455">
        <f>tertiair!M16</f>
        <v>0</v>
      </c>
      <c r="N5" s="455">
        <f ca="1">tertiair!N16</f>
        <v>984.82474300790602</v>
      </c>
      <c r="O5" s="455">
        <f>tertiair!O16</f>
        <v>9.7945215316823084</v>
      </c>
      <c r="P5" s="456">
        <f>tertiair!P16</f>
        <v>52.539138306495019</v>
      </c>
      <c r="Q5" s="454">
        <f t="shared" ref="Q5:Q14" ca="1" si="0">SUM(B5:P5)</f>
        <v>105617.71447418163</v>
      </c>
    </row>
    <row r="6" spans="1:17">
      <c r="A6" s="454" t="s">
        <v>193</v>
      </c>
      <c r="B6" s="455">
        <f>'openbare verlichting'!B8</f>
        <v>2014.799</v>
      </c>
      <c r="C6" s="455"/>
      <c r="D6" s="455"/>
      <c r="E6" s="455"/>
      <c r="F6" s="455"/>
      <c r="G6" s="455"/>
      <c r="H6" s="455"/>
      <c r="I6" s="455"/>
      <c r="J6" s="455"/>
      <c r="K6" s="455"/>
      <c r="L6" s="455"/>
      <c r="M6" s="455"/>
      <c r="N6" s="455"/>
      <c r="O6" s="455"/>
      <c r="P6" s="456"/>
      <c r="Q6" s="454">
        <f t="shared" si="0"/>
        <v>2014.799</v>
      </c>
    </row>
    <row r="7" spans="1:17">
      <c r="A7" s="454" t="s">
        <v>111</v>
      </c>
      <c r="B7" s="455">
        <f>landbouw!B8</f>
        <v>1252.5051469999999</v>
      </c>
      <c r="C7" s="455">
        <f>landbouw!C8</f>
        <v>20250</v>
      </c>
      <c r="D7" s="455">
        <f>landbouw!D8</f>
        <v>0</v>
      </c>
      <c r="E7" s="455">
        <f>landbouw!E8</f>
        <v>46.709748071577316</v>
      </c>
      <c r="F7" s="455">
        <f>landbouw!F8</f>
        <v>4063.6106839080126</v>
      </c>
      <c r="G7" s="455">
        <f>landbouw!G8</f>
        <v>0</v>
      </c>
      <c r="H7" s="455">
        <f>landbouw!H8</f>
        <v>0</v>
      </c>
      <c r="I7" s="455">
        <f>landbouw!I8</f>
        <v>0</v>
      </c>
      <c r="J7" s="455">
        <f>landbouw!J8</f>
        <v>328.78878458909509</v>
      </c>
      <c r="K7" s="455">
        <f>landbouw!K8</f>
        <v>0</v>
      </c>
      <c r="L7" s="455">
        <f>landbouw!L8</f>
        <v>0</v>
      </c>
      <c r="M7" s="455">
        <f>landbouw!M8</f>
        <v>0</v>
      </c>
      <c r="N7" s="455">
        <f>landbouw!N8</f>
        <v>0</v>
      </c>
      <c r="O7" s="455">
        <f>landbouw!O8</f>
        <v>0</v>
      </c>
      <c r="P7" s="456">
        <f>landbouw!P8</f>
        <v>0</v>
      </c>
      <c r="Q7" s="454">
        <f t="shared" si="0"/>
        <v>25941.614363568686</v>
      </c>
    </row>
    <row r="8" spans="1:17">
      <c r="A8" s="454" t="s">
        <v>626</v>
      </c>
      <c r="B8" s="455">
        <f>industrie!B18</f>
        <v>27563.821704999998</v>
      </c>
      <c r="C8" s="455">
        <f>industrie!C18</f>
        <v>0</v>
      </c>
      <c r="D8" s="455">
        <f>industrie!D18</f>
        <v>17672.600293481177</v>
      </c>
      <c r="E8" s="455">
        <f>industrie!E18</f>
        <v>85.853685451125145</v>
      </c>
      <c r="F8" s="455">
        <f>industrie!F18</f>
        <v>10457.428465701018</v>
      </c>
      <c r="G8" s="455">
        <f>industrie!G18</f>
        <v>0</v>
      </c>
      <c r="H8" s="455">
        <f>industrie!H18</f>
        <v>0</v>
      </c>
      <c r="I8" s="455">
        <f>industrie!I18</f>
        <v>0</v>
      </c>
      <c r="J8" s="455">
        <f>industrie!J18</f>
        <v>4.3646623479560933</v>
      </c>
      <c r="K8" s="455">
        <f>industrie!K18</f>
        <v>0</v>
      </c>
      <c r="L8" s="455">
        <f>industrie!L18</f>
        <v>0</v>
      </c>
      <c r="M8" s="455">
        <f>industrie!M18</f>
        <v>0</v>
      </c>
      <c r="N8" s="455">
        <f>industrie!N18</f>
        <v>994.60595386667694</v>
      </c>
      <c r="O8" s="455">
        <f>industrie!O18</f>
        <v>0</v>
      </c>
      <c r="P8" s="456">
        <f>industrie!P18</f>
        <v>0</v>
      </c>
      <c r="Q8" s="454">
        <f t="shared" si="0"/>
        <v>56778.674765847958</v>
      </c>
    </row>
    <row r="9" spans="1:17" s="460" customFormat="1">
      <c r="A9" s="458" t="s">
        <v>552</v>
      </c>
      <c r="B9" s="459">
        <f>transport!B14</f>
        <v>116.58616458429817</v>
      </c>
      <c r="C9" s="459">
        <f>transport!C14</f>
        <v>0</v>
      </c>
      <c r="D9" s="459">
        <f>transport!D14</f>
        <v>452.23687889470244</v>
      </c>
      <c r="E9" s="459">
        <f>transport!E14</f>
        <v>257.00455672444355</v>
      </c>
      <c r="F9" s="459">
        <f>transport!F14</f>
        <v>0</v>
      </c>
      <c r="G9" s="459">
        <f>transport!G14</f>
        <v>111224.35067538073</v>
      </c>
      <c r="H9" s="459">
        <f>transport!H14</f>
        <v>29148.401381763982</v>
      </c>
      <c r="I9" s="459">
        <f>transport!I14</f>
        <v>0</v>
      </c>
      <c r="J9" s="459">
        <f>transport!J14</f>
        <v>0</v>
      </c>
      <c r="K9" s="459">
        <f>transport!K14</f>
        <v>0</v>
      </c>
      <c r="L9" s="459">
        <f>transport!L14</f>
        <v>0</v>
      </c>
      <c r="M9" s="459">
        <f>transport!M14</f>
        <v>8288.3832116069661</v>
      </c>
      <c r="N9" s="459">
        <f>transport!N14</f>
        <v>0</v>
      </c>
      <c r="O9" s="459">
        <f>transport!O14</f>
        <v>0</v>
      </c>
      <c r="P9" s="459">
        <f>transport!P14</f>
        <v>0</v>
      </c>
      <c r="Q9" s="458">
        <f>SUM(B9:P9)</f>
        <v>149486.96286895513</v>
      </c>
    </row>
    <row r="10" spans="1:17">
      <c r="A10" s="454" t="s">
        <v>542</v>
      </c>
      <c r="B10" s="455">
        <f>transport!B54</f>
        <v>0</v>
      </c>
      <c r="C10" s="455">
        <f>transport!C54</f>
        <v>0</v>
      </c>
      <c r="D10" s="455">
        <f>transport!D54</f>
        <v>0</v>
      </c>
      <c r="E10" s="455">
        <f>transport!E54</f>
        <v>0</v>
      </c>
      <c r="F10" s="455">
        <f>transport!F54</f>
        <v>0</v>
      </c>
      <c r="G10" s="455">
        <f>transport!G54</f>
        <v>2807.2902043657186</v>
      </c>
      <c r="H10" s="455">
        <f>transport!H54</f>
        <v>0</v>
      </c>
      <c r="I10" s="455">
        <f>transport!I54</f>
        <v>0</v>
      </c>
      <c r="J10" s="455">
        <f>transport!J54</f>
        <v>0</v>
      </c>
      <c r="K10" s="455">
        <f>transport!K54</f>
        <v>0</v>
      </c>
      <c r="L10" s="455">
        <f>transport!L54</f>
        <v>0</v>
      </c>
      <c r="M10" s="455">
        <f>transport!M54</f>
        <v>152.33955565826832</v>
      </c>
      <c r="N10" s="455">
        <f>transport!N54</f>
        <v>0</v>
      </c>
      <c r="O10" s="455">
        <f>transport!O54</f>
        <v>0</v>
      </c>
      <c r="P10" s="456">
        <f>transport!P54</f>
        <v>0</v>
      </c>
      <c r="Q10" s="454">
        <f t="shared" si="0"/>
        <v>2959.6297600239868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1434.905728</v>
      </c>
      <c r="C14" s="462"/>
      <c r="D14" s="462">
        <f>'SEAP template'!E25</f>
        <v>2809.2014244644402</v>
      </c>
      <c r="E14" s="462"/>
      <c r="F14" s="462"/>
      <c r="G14" s="462"/>
      <c r="H14" s="462"/>
      <c r="I14" s="462"/>
      <c r="J14" s="462"/>
      <c r="K14" s="462"/>
      <c r="L14" s="462"/>
      <c r="M14" s="462"/>
      <c r="N14" s="462"/>
      <c r="O14" s="462"/>
      <c r="P14" s="463"/>
      <c r="Q14" s="454">
        <f t="shared" si="0"/>
        <v>4244.1071524644403</v>
      </c>
    </row>
    <row r="15" spans="1:17" s="466" customFormat="1">
      <c r="A15" s="464" t="s">
        <v>546</v>
      </c>
      <c r="B15" s="465">
        <f ca="1">SUM(B4:B14)</f>
        <v>116435.20096905436</v>
      </c>
      <c r="C15" s="465">
        <f t="shared" ref="C15:Q15" ca="1" si="1">SUM(C4:C14)</f>
        <v>20285.357142857141</v>
      </c>
      <c r="D15" s="465">
        <f t="shared" ca="1" si="1"/>
        <v>152355.0562319243</v>
      </c>
      <c r="E15" s="465">
        <f t="shared" si="1"/>
        <v>10105.479146265996</v>
      </c>
      <c r="F15" s="465">
        <f t="shared" ca="1" si="1"/>
        <v>65871.745424939974</v>
      </c>
      <c r="G15" s="465">
        <f t="shared" si="1"/>
        <v>114031.64087974645</v>
      </c>
      <c r="H15" s="465">
        <f t="shared" si="1"/>
        <v>29148.401381763982</v>
      </c>
      <c r="I15" s="465">
        <f t="shared" si="1"/>
        <v>0</v>
      </c>
      <c r="J15" s="465">
        <f t="shared" si="1"/>
        <v>333.1789181291773</v>
      </c>
      <c r="K15" s="465">
        <f t="shared" si="1"/>
        <v>0</v>
      </c>
      <c r="L15" s="465">
        <f t="shared" ca="1" si="1"/>
        <v>0</v>
      </c>
      <c r="M15" s="465">
        <f t="shared" si="1"/>
        <v>8440.7227672652352</v>
      </c>
      <c r="N15" s="465">
        <f t="shared" ca="1" si="1"/>
        <v>13002.885139260419</v>
      </c>
      <c r="O15" s="465">
        <f t="shared" si="1"/>
        <v>491.89636884273108</v>
      </c>
      <c r="P15" s="465">
        <f t="shared" si="1"/>
        <v>947.92567945972189</v>
      </c>
      <c r="Q15" s="465">
        <f t="shared" ca="1" si="1"/>
        <v>531449.49004950956</v>
      </c>
    </row>
    <row r="17" spans="1:17">
      <c r="A17" s="467" t="s">
        <v>547</v>
      </c>
      <c r="B17" s="784">
        <f ca="1">huishoudens!B10</f>
        <v>0.14957032902191875</v>
      </c>
      <c r="C17" s="784">
        <f ca="1">huishoudens!C10</f>
        <v>0.23764705882352938</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5945.7199716747673</v>
      </c>
      <c r="C22" s="455">
        <f t="shared" ref="C22:C32" ca="1" si="3">C4*$C$17</f>
        <v>0</v>
      </c>
      <c r="D22" s="455">
        <f t="shared" ref="D22:D32" si="4">D4*$D$17</f>
        <v>15531.558897322726</v>
      </c>
      <c r="E22" s="455">
        <f t="shared" ref="E22:E32" si="5">E4*$E$17</f>
        <v>2182.2691284625525</v>
      </c>
      <c r="F22" s="455">
        <f t="shared" ref="F22:F32" si="6">F4*$F$17</f>
        <v>12215.414825549109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35874.962823009155</v>
      </c>
    </row>
    <row r="23" spans="1:17">
      <c r="A23" s="454" t="s">
        <v>155</v>
      </c>
      <c r="B23" s="455">
        <f t="shared" ca="1" si="2"/>
        <v>6626.0525563514293</v>
      </c>
      <c r="C23" s="455">
        <f t="shared" ca="1" si="3"/>
        <v>8.4025210084033617</v>
      </c>
      <c r="D23" s="455">
        <f t="shared" ca="1" si="4"/>
        <v>11015.486664964244</v>
      </c>
      <c r="E23" s="455">
        <f t="shared" si="5"/>
        <v>23.242703953726448</v>
      </c>
      <c r="F23" s="455">
        <f t="shared" ca="1" si="6"/>
        <v>1495.2237499642561</v>
      </c>
      <c r="G23" s="455">
        <f t="shared" si="7"/>
        <v>0</v>
      </c>
      <c r="H23" s="455">
        <f t="shared" si="8"/>
        <v>0</v>
      </c>
      <c r="I23" s="455">
        <f t="shared" si="9"/>
        <v>0</v>
      </c>
      <c r="J23" s="455">
        <f t="shared" si="10"/>
        <v>9.016802012657258E-3</v>
      </c>
      <c r="K23" s="455">
        <f t="shared" si="11"/>
        <v>0</v>
      </c>
      <c r="L23" s="455">
        <f t="shared" ca="1" si="12"/>
        <v>0</v>
      </c>
      <c r="M23" s="455">
        <f t="shared" si="13"/>
        <v>0</v>
      </c>
      <c r="N23" s="455">
        <f t="shared" ca="1" si="14"/>
        <v>0</v>
      </c>
      <c r="O23" s="455">
        <f t="shared" si="15"/>
        <v>0</v>
      </c>
      <c r="P23" s="456">
        <f t="shared" si="16"/>
        <v>0</v>
      </c>
      <c r="Q23" s="454">
        <f t="shared" ref="Q23:Q31" ca="1" si="17">SUM(B23:P23)</f>
        <v>19168.417213044075</v>
      </c>
    </row>
    <row r="24" spans="1:17">
      <c r="A24" s="454" t="s">
        <v>193</v>
      </c>
      <c r="B24" s="455">
        <f t="shared" ca="1" si="2"/>
        <v>301.35414934303287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301.35414934303287</v>
      </c>
    </row>
    <row r="25" spans="1:17">
      <c r="A25" s="454" t="s">
        <v>111</v>
      </c>
      <c r="B25" s="455">
        <f t="shared" ca="1" si="2"/>
        <v>187.33760693843669</v>
      </c>
      <c r="C25" s="455">
        <f t="shared" ca="1" si="3"/>
        <v>4812.3529411764703</v>
      </c>
      <c r="D25" s="455">
        <f t="shared" si="4"/>
        <v>0</v>
      </c>
      <c r="E25" s="455">
        <f t="shared" si="5"/>
        <v>10.603112812248051</v>
      </c>
      <c r="F25" s="455">
        <f t="shared" si="6"/>
        <v>1084.9840526034395</v>
      </c>
      <c r="G25" s="455">
        <f t="shared" si="7"/>
        <v>0</v>
      </c>
      <c r="H25" s="455">
        <f t="shared" si="8"/>
        <v>0</v>
      </c>
      <c r="I25" s="455">
        <f t="shared" si="9"/>
        <v>0</v>
      </c>
      <c r="J25" s="455">
        <f t="shared" si="10"/>
        <v>116.39122974453966</v>
      </c>
      <c r="K25" s="455">
        <f t="shared" si="11"/>
        <v>0</v>
      </c>
      <c r="L25" s="455">
        <f t="shared" si="12"/>
        <v>0</v>
      </c>
      <c r="M25" s="455">
        <f t="shared" si="13"/>
        <v>0</v>
      </c>
      <c r="N25" s="455">
        <f t="shared" si="14"/>
        <v>0</v>
      </c>
      <c r="O25" s="455">
        <f t="shared" si="15"/>
        <v>0</v>
      </c>
      <c r="P25" s="456">
        <f t="shared" si="16"/>
        <v>0</v>
      </c>
      <c r="Q25" s="454">
        <f t="shared" ca="1" si="17"/>
        <v>6211.6689432751336</v>
      </c>
    </row>
    <row r="26" spans="1:17">
      <c r="A26" s="454" t="s">
        <v>626</v>
      </c>
      <c r="B26" s="455">
        <f t="shared" ca="1" si="2"/>
        <v>4122.7298815183549</v>
      </c>
      <c r="C26" s="455">
        <f t="shared" ca="1" si="3"/>
        <v>0</v>
      </c>
      <c r="D26" s="455">
        <f t="shared" si="4"/>
        <v>3569.8652592831982</v>
      </c>
      <c r="E26" s="455">
        <f t="shared" si="5"/>
        <v>19.488786597405408</v>
      </c>
      <c r="F26" s="455">
        <f t="shared" si="6"/>
        <v>2792.1334003421716</v>
      </c>
      <c r="G26" s="455">
        <f t="shared" si="7"/>
        <v>0</v>
      </c>
      <c r="H26" s="455">
        <f t="shared" si="8"/>
        <v>0</v>
      </c>
      <c r="I26" s="455">
        <f t="shared" si="9"/>
        <v>0</v>
      </c>
      <c r="J26" s="455">
        <f t="shared" si="10"/>
        <v>1.545090471176457</v>
      </c>
      <c r="K26" s="455">
        <f t="shared" si="11"/>
        <v>0</v>
      </c>
      <c r="L26" s="455">
        <f t="shared" si="12"/>
        <v>0</v>
      </c>
      <c r="M26" s="455">
        <f t="shared" si="13"/>
        <v>0</v>
      </c>
      <c r="N26" s="455">
        <f t="shared" si="14"/>
        <v>0</v>
      </c>
      <c r="O26" s="455">
        <f t="shared" si="15"/>
        <v>0</v>
      </c>
      <c r="P26" s="456">
        <f t="shared" si="16"/>
        <v>0</v>
      </c>
      <c r="Q26" s="454">
        <f t="shared" ca="1" si="17"/>
        <v>10505.762418212307</v>
      </c>
    </row>
    <row r="27" spans="1:17" s="460" customFormat="1">
      <c r="A27" s="458" t="s">
        <v>552</v>
      </c>
      <c r="B27" s="778">
        <f t="shared" ca="1" si="2"/>
        <v>17.43783099627705</v>
      </c>
      <c r="C27" s="459">
        <f t="shared" ca="1" si="3"/>
        <v>0</v>
      </c>
      <c r="D27" s="459">
        <f t="shared" si="4"/>
        <v>91.351849536729901</v>
      </c>
      <c r="E27" s="459">
        <f t="shared" si="5"/>
        <v>58.340034376448685</v>
      </c>
      <c r="F27" s="459">
        <f t="shared" si="6"/>
        <v>0</v>
      </c>
      <c r="G27" s="459">
        <f t="shared" si="7"/>
        <v>29696.901630326658</v>
      </c>
      <c r="H27" s="459">
        <f t="shared" si="8"/>
        <v>7257.9519440592312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37121.983289295349</v>
      </c>
    </row>
    <row r="28" spans="1:17" ht="16.5" customHeight="1">
      <c r="A28" s="454" t="s">
        <v>542</v>
      </c>
      <c r="B28" s="455">
        <f t="shared" ca="1" si="2"/>
        <v>0</v>
      </c>
      <c r="C28" s="455">
        <f t="shared" ca="1" si="3"/>
        <v>0</v>
      </c>
      <c r="D28" s="455">
        <f t="shared" si="4"/>
        <v>0</v>
      </c>
      <c r="E28" s="455">
        <f t="shared" si="5"/>
        <v>0</v>
      </c>
      <c r="F28" s="455">
        <f t="shared" si="6"/>
        <v>0</v>
      </c>
      <c r="G28" s="455">
        <f t="shared" si="7"/>
        <v>749.54648456564689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749.54648456564689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214.61932185239584</v>
      </c>
      <c r="C32" s="455">
        <f t="shared" ca="1" si="3"/>
        <v>0</v>
      </c>
      <c r="D32" s="455">
        <f t="shared" si="4"/>
        <v>567.4586877418169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782.07800959421274</v>
      </c>
    </row>
    <row r="33" spans="1:17" s="466" customFormat="1">
      <c r="A33" s="464" t="s">
        <v>546</v>
      </c>
      <c r="B33" s="465">
        <f ca="1">SUM(B22:B32)</f>
        <v>17415.251318674691</v>
      </c>
      <c r="C33" s="465">
        <f t="shared" ref="C33:Q33" ca="1" si="19">SUM(C22:C32)</f>
        <v>4820.755462184874</v>
      </c>
      <c r="D33" s="465">
        <f t="shared" ca="1" si="19"/>
        <v>30775.721358848714</v>
      </c>
      <c r="E33" s="465">
        <f t="shared" si="19"/>
        <v>2293.9437662023815</v>
      </c>
      <c r="F33" s="465">
        <f t="shared" ca="1" si="19"/>
        <v>17587.756028458978</v>
      </c>
      <c r="G33" s="465">
        <f t="shared" si="19"/>
        <v>30446.448114892304</v>
      </c>
      <c r="H33" s="465">
        <f t="shared" si="19"/>
        <v>7257.9519440592312</v>
      </c>
      <c r="I33" s="465">
        <f t="shared" si="19"/>
        <v>0</v>
      </c>
      <c r="J33" s="465">
        <f t="shared" si="19"/>
        <v>117.94533701772876</v>
      </c>
      <c r="K33" s="465">
        <f t="shared" si="19"/>
        <v>0</v>
      </c>
      <c r="L33" s="465">
        <f t="shared" ca="1" si="19"/>
        <v>0</v>
      </c>
      <c r="M33" s="465">
        <f t="shared" si="19"/>
        <v>0</v>
      </c>
      <c r="N33" s="465">
        <f t="shared" ca="1" si="19"/>
        <v>0</v>
      </c>
      <c r="O33" s="465">
        <f t="shared" si="19"/>
        <v>0</v>
      </c>
      <c r="P33" s="465">
        <f t="shared" si="19"/>
        <v>0</v>
      </c>
      <c r="Q33" s="465">
        <f t="shared" ca="1" si="19"/>
        <v>110715.77333033893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23686.422186752079</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15016.347808794206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14199.75</v>
      </c>
      <c r="D8" s="1026">
        <f>'SEAP template'!D76</f>
        <v>16705.588235294115</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3374.5288235294115</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38702.769995546289</v>
      </c>
      <c r="C10" s="1028">
        <f>SUM(C4:C9)</f>
        <v>14199.75</v>
      </c>
      <c r="D10" s="1028">
        <f t="shared" ref="D10:H10" si="0">SUM(D8:D9)</f>
        <v>16705.588235294115</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3374.5288235294115</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0.14957032902191875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20285.357142857141</v>
      </c>
      <c r="D17" s="1027">
        <f>'SEAP template'!D87</f>
        <v>23865.126050420164</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4820.7554621848731</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20285.357142857141</v>
      </c>
      <c r="D20" s="1028">
        <f t="shared" ref="D20:H20" si="2">SUM(D17:D19)</f>
        <v>23865.126050420164</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4820.7554621848731</v>
      </c>
    </row>
    <row r="21" spans="1:16">
      <c r="B21" s="890"/>
    </row>
    <row r="22" spans="1:16">
      <c r="A22" s="467" t="s">
        <v>773</v>
      </c>
      <c r="B22" s="784" t="s">
        <v>771</v>
      </c>
      <c r="C22" s="784">
        <f ca="1">'EF ele_warmte'!B22</f>
        <v>0.23764705882352938</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0.14957032902191875</v>
      </c>
      <c r="C17" s="504">
        <f ca="1">'EF ele_warmte'!B22</f>
        <v>0.23764705882352938</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2020-06-20T15:20:34Z</dcterms:modified>
</cp:coreProperties>
</file>