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16" i="16" l="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8" i="15"/>
  <c r="C20" i="15" s="1"/>
  <c r="D40" i="14" s="1"/>
  <c r="C10" i="13"/>
  <c r="C12" i="13" s="1"/>
  <c r="D41" i="14" s="1"/>
  <c r="D46" i="14" s="1"/>
  <c r="D61" i="14" s="1"/>
  <c r="D63" i="14" s="1"/>
  <c r="C29" i="20"/>
  <c r="C20" i="16"/>
  <c r="C22" i="16" s="1"/>
  <c r="D43" i="14" s="1"/>
  <c r="C17" i="49"/>
  <c r="C17" i="19"/>
  <c r="C19" i="19" s="1"/>
  <c r="D39"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<sst xmlns="http://schemas.openxmlformats.org/spreadsheetml/2006/main" count="2375" uniqueCount="871">
  <si>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</si>
  <si>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</si>
  <si>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</si>
  <si>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</si>
  <si>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</si>
  <si>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</si>
  <si>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</si>
  <si>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</si>
  <si>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</si>
  <si>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</si>
  <si>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</si>
  <si>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</si>
  <si>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</si>
  <si>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</si>
  <si>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</si>
  <si>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</si>
  <si>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</si>
  <si>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</si>
  <si>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</si>
  <si>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</si>
  <si>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</si>
  <si>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</si>
  <si>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</si>
  <si>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</si>
  <si>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</si>
  <si>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</si>
  <si>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</si>
  <si>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</si>
  <si>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</si>
  <si>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</si>
  <si>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</si>
  <si>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</si>
  <si>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</si>
  <si>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</si>
  <si>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</si>
  <si>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</si>
  <si>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</si>
  <si>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</si>
  <si>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</si>
  <si>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</si>
  <si>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</si>
  <si>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</si>
  <si>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</si>
  <si>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</si>
  <si>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</si>
  <si>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</si>
  <si>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</si>
  <si>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</si>
  <si>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</si>
  <si>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</si>
  <si>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</si>
  <si>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</si>
  <si>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</si>
  <si>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</si>
  <si>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</si>
  <si>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</si>
  <si>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</si>
  <si>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</si>
  <si>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</si>
  <si>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</si>
  <si>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</si>
  <si>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</si>
  <si>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</si>
  <si>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</si>
  <si>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</si>
  <si>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</si>
  <si>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</si>
  <si>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</si>
  <si>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</si>
  <si>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</si>
  <si>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</si>
  <si>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</si>
  <si>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</si>
  <si>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</si>
  <si>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</si>
  <si>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</si>
  <si>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</si>
  <si>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</si>
  <si>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</si>
  <si>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</si>
  <si>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</si>
  <si>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</si>
  <si>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</si>
  <si>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</si>
  <si>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</si>
  <si>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</si>
  <si>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</si>
  <si>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</si>
  <si>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</si>
  <si>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</si>
  <si>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</si>
  <si>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</si>
  <si>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</si>
  <si>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</si>
  <si>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</si>
  <si>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</si>
  <si>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</si>
  <si>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</si>
  <si>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</si>
  <si>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</si>
  <si>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</si>
  <si>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</si>
  <si>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</si>
  <si>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</si>
  <si>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</si>
  <si>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</si>
  <si>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</si>
  <si>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</si>
  <si>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</si>
  <si>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</si>
  <si>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</si>
  <si>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</si>
  <si>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</si>
  <si>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</si>
  <si>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</si>
  <si>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</si>
  <si>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</si>
  <si>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</si>
  <si>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</si>
  <si>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</si>
  <si>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</si>
  <si>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</si>
  <si>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</si>
  <si>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</si>
  <si>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</si>
  <si>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</si>
  <si>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</si>
  <si>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</si>
  <si>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</si>
  <si>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</si>
  <si>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</si>
  <si>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</si>
  <si>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</si>
  <si>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</si>
  <si>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</si>
  <si>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</si>
  <si>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</si>
  <si>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</si>
  <si>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</si>
  <si>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</si>
  <si>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</si>
  <si>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</si>
  <si>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</si>
  <si>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</si>
  <si>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</si>
  <si>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</si>
  <si>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</si>
  <si>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</si>
  <si>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</si>
  <si>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</si>
  <si>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</si>
  <si>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</si>
  <si>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</si>
  <si>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</si>
  <si>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</si>
  <si>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</si>
  <si>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</si>
  <si>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</si>
  <si>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</si>
  <si>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</si>
  <si>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</si>
  <si>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</si>
  <si>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</si>
  <si>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</si>
  <si>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</si>
  <si>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</si>
  <si>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</si>
  <si>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</si>
  <si>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</si>
  <si>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</si>
  <si>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</si>
  <si>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</si>
  <si>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</si>
  <si>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</si>
  <si>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</si>
  <si>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</si>
  <si>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</si>
  <si>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</si>
  <si>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</si>
  <si>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</si>
  <si>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</si>
  <si>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</si>
  <si>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</si>
  <si>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</si>
  <si>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</si>
  <si>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</si>
  <si>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</si>
  <si>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</si>
  <si>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</si>
  <si>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</si>
  <si>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</si>
  <si>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</si>
  <si>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</si>
  <si>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</si>
  <si>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</si>
  <si>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</si>
  <si>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</si>
  <si>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</si>
  <si>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</si>
  <si>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</si>
  <si>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</si>
  <si>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</si>
  <si>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</si>
  <si>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</si>
  <si>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</si>
  <si>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</si>
  <si>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</si>
  <si>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</si>
  <si>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</si>
  <si>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</si>
  <si>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</si>
  <si>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</si>
  <si>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</si>
  <si>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</si>
  <si>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</si>
  <si>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</si>
  <si>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</si>
  <si>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</si>
  <si>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</si>
  <si>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</si>
  <si>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</si>
  <si>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</si>
  <si>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</si>
  <si>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</si>
  <si>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</si>
  <si>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</si>
  <si>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</si>
  <si>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</si>
  <si>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</si>
  <si>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</si>
  <si>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</si>
  <si>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</si>
  <si>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</si>
  <si>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</si>
  <si>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</si>
  <si>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</si>
  <si>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</si>
  <si>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</si>
  <si>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</si>
  <si>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</si>
  <si>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</si>
  <si>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</si>
  <si>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</si>
  <si>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</si>
  <si>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</si>
  <si>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</si>
  <si>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</si>
  <si>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</si>
  <si>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</si>
  <si>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</si>
  <si>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</si>
  <si>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</si>
  <si>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</si>
  <si>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</si>
  <si>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</si>
  <si>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</si>
  <si>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</si>
  <si>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</si>
  <si>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</si>
  <si>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</si>
  <si>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</si>
  <si>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</si>
  <si>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</si>
  <si>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</si>
  <si>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</si>
  <si>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</si>
  <si>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</si>
  <si>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</si>
  <si>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</si>
  <si>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</si>
  <si>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</si>
  <si>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</si>
  <si>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</si>
  <si>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</si>
  <si>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</si>
  <si>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</si>
  <si>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</si>
  <si>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</si>
  <si>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</si>
  <si>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</si>
  <si>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</si>
  <si>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</si>
  <si>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</si>
  <si>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</si>
  <si>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</si>
  <si>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</si>
  <si>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</si>
  <si>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</si>
  <si>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</si>
  <si>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</si>
  <si>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</si>
  <si>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</si>
  <si>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</si>
  <si>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</si>
  <si>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</si>
  <si>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</si>
  <si>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</si>
  <si>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</si>
  <si>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</si>
  <si>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</si>
  <si>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</si>
  <si>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</si>
  <si>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</si>
  <si>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</si>
  <si>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</si>
  <si>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</si>
  <si>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</si>
  <si>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</si>
  <si>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</si>
  <si>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</si>
  <si>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</si>
  <si>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</si>
  <si>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</si>
  <si>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</si>
  <si>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</si>
  <si>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</si>
  <si>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</si>
  <si>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</si>
  <si>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</si>
  <si>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</si>
  <si>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</si>
  <si>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</si>
  <si>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</si>
  <si>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</si>
  <si>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</si>
  <si>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</si>
  <si>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</si>
  <si>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</si>
  <si>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</si>
  <si>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</si>
  <si>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</si>
  <si>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</si>
  <si>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</si>
  <si>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</si>
  <si>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</si>
  <si>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</si>
  <si>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</si>
  <si>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</si>
  <si>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</si>
  <si>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</si>
  <si>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</si>
  <si>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</si>
  <si>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</si>
  <si>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</si>
  <si>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</si>
  <si>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</si>
  <si>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</si>
  <si>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</si>
  <si>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</si>
  <si>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</si>
  <si>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</si>
  <si>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</si>
  <si>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</si>
  <si>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</si>
  <si>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</si>
  <si>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</si>
  <si>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</si>
  <si>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</si>
  <si>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</si>
  <si>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</si>
  <si>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</si>
  <si>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</si>
  <si>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</si>
  <si>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</si>
  <si>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</si>
  <si>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</si>
  <si>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</si>
  <si>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</si>
  <si>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</si>
  <si>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</si>
  <si>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</si>
  <si>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</si>
  <si>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</si>
  <si>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</si>
  <si>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</si>
  <si>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</si>
  <si>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</si>
  <si>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</si>
  <si>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</si>
  <si>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</si>
  <si>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</si>
  <si>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</si>
  <si>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</si>
  <si>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</si>
  <si>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</si>
  <si>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</si>
  <si>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</si>
  <si>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</si>
  <si>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</si>
  <si>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</si>
  <si>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</si>
  <si>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</si>
  <si>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</si>
  <si>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</si>
  <si>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</si>
  <si>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</si>
  <si>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</si>
  <si>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</si>
  <si>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</si>
  <si>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</si>
  <si>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</si>
  <si>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</si>
  <si>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</si>
  <si>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</si>
  <si>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</si>
  <si>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</si>
  <si>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</si>
  <si>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</si>
  <si>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</si>
  <si>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</si>
  <si>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</si>
  <si>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</si>
  <si>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</si>
  <si>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</si>
  <si>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</si>
  <si>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</si>
  <si>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</si>
  <si>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</si>
  <si>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</si>
  <si>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</si>
  <si>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</si>
  <si>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</si>
  <si>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</si>
  <si>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</si>
  <si>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</si>
  <si>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</si>
  <si>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</si>
  <si>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</si>
  <si>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</si>
  <si>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</si>
  <si>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</si>
  <si>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</si>
  <si>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</si>
  <si>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</si>
  <si>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</si>
  <si>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</si>
  <si>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</si>
  <si>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</si>
  <si>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</si>
  <si>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</si>
  <si>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</si>
  <si>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</si>
  <si>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</si>
  <si>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</si>
  <si>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</si>
  <si>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</si>
  <si>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</si>
  <si>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</si>
  <si>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</si>
  <si>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</si>
  <si>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</si>
  <si>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</si>
  <si>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</si>
  <si>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</si>
  <si>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</si>
  <si>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</si>
  <si>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</si>
  <si>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</si>
  <si>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</si>
  <si>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</si>
  <si>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</si>
  <si>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</si>
  <si>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</si>
  <si>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</si>
  <si>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</si>
  <si>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</si>
  <si>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</si>
  <si>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</si>
  <si>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</si>
  <si>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</si>
  <si>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</si>
  <si>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</si>
  <si>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</si>
  <si>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</si>
  <si>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</si>
  <si>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</si>
  <si>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</si>
  <si>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</si>
  <si>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</si>
  <si>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</si>
  <si>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</si>
  <si>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</si>
  <si>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</si>
  <si>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</si>
  <si>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</si>
  <si>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</si>
  <si>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</si>
  <si>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</si>
  <si>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</si>
  <si>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</si>
  <si>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</si>
  <si>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</si>
  <si>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</si>
  <si>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</si>
  <si>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</si>
  <si>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</si>
  <si>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</si>
  <si>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</si>
  <si>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</si>
  <si>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</si>
  <si>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</si>
  <si>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</si>
  <si>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</si>
  <si>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</si>
  <si>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</si>
  <si>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</si>
  <si>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</si>
  <si>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</si>
  <si>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</si>
  <si>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</si>
  <si>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</si>
  <si>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</si>
  <si>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</si>
  <si>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</si>
  <si>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</si>
  <si>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</si>
  <si>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</si>
  <si>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</si>
  <si>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</si>
  <si>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</si>
  <si>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</si>
  <si>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</si>
  <si>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</si>
  <si>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</si>
  <si>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</si>
  <si>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</si>
  <si>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</si>
  <si>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</si>
  <si>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</si>
  <si>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</si>
  <si>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</si>
  <si>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</si>
  <si>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</si>
  <si>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</si>
  <si>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</si>
  <si>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</si>
  <si>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</si>
  <si>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</si>
  <si>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</si>
  <si>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</si>
  <si>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</si>
  <si>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</si>
  <si>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</si>
  <si>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</si>
  <si>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</si>
  <si>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</si>
  <si>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</si>
  <si>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</si>
  <si>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</si>
  <si>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</si>
  <si>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</si>
  <si>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</si>
  <si>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</si>
  <si>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</si>
  <si>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</si>
  <si>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</si>
  <si>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</si>
  <si>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</si>
  <si>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</si>
  <si>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</si>
  <si>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</si>
  <si>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</si>
  <si>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</si>
  <si>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</si>
  <si>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</si>
  <si>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</si>
  <si>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</si>
  <si>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</si>
  <si>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</si>
  <si>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</si>
  <si>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</si>
  <si>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</si>
  <si>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</si>
  <si>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</si>
  <si>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</si>
  <si>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</si>
  <si>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</si>
  <si>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</si>
  <si>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</si>
  <si>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</si>
  <si>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</si>
  <si>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</si>
  <si>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</si>
  <si>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</si>
  <si>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</si>
  <si>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</si>
  <si>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</si>
  <si>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</si>
  <si>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</si>
  <si>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</si>
  <si>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</si>
  <si>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</si>
  <si>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</si>
  <si>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</si>
  <si>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</si>
  <si>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</si>
  <si>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</si>
  <si>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</si>
  <si>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</si>
  <si>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</si>
  <si>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</si>
  <si>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</si>
  <si>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</si>
  <si>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</si>
  <si>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</si>
  <si>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</si>
  <si>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</si>
  <si>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</si>
  <si>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</si>
  <si>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</si>
  <si>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</si>
  <si>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</si>
  <si>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</si>
  <si>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</si>
  <si>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</si>
  <si>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</si>
  <si>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</si>
  <si>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</si>
  <si>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</si>
  <si>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</si>
  <si>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</si>
  <si>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</si>
  <si>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</si>
  <si>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</si>
  <si>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</si>
  <si>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</si>
  <si>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</si>
  <si>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</si>
  <si>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</si>
  <si>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</si>
  <si>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</si>
  <si>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</si>
  <si>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</si>
  <si>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</si>
  <si>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</si>
  <si>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</si>
  <si>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</si>
  <si>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</si>
  <si>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</si>
  <si>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</si>
  <si>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</si>
  <si>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</si>
  <si>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</si>
  <si>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</si>
  <si>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</si>
  <si>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</si>
  <si>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</si>
  <si>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</si>
  <si>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</si>
  <si>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</si>
  <si>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</si>
  <si>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</si>
  <si>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</si>
  <si>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</si>
  <si>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</si>
  <si>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</si>
  <si>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</si>
  <si>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</si>
  <si>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</si>
  <si>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</si>
  <si>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</si>
  <si>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</si>
  <si>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</si>
  <si>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</si>
  <si>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</si>
  <si>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</si>
  <si>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</si>
  <si>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</si>
  <si>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</si>
  <si>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</si>
  <si>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</si>
  <si>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</si>
  <si>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</si>
  <si>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</si>
  <si>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</si>
  <si>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</si>
  <si>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</si>
  <si>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</si>
  <si>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</si>
  <si>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</si>
  <si>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</si>
  <si>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</si>
  <si>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</si>
  <si>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</si>
  <si>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</si>
  <si>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</si>
  <si>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</si>
  <si>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</si>
  <si>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</si>
  <si>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</si>
  <si>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</si>
  <si>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</si>
  <si>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</si>
  <si>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</si>
  <si>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</si>
  <si>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</si>
  <si>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</si>
  <si>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</si>
  <si>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</si>
  <si>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</si>
  <si>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</si>
  <si>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</si>
  <si>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</si>
  <si>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</si>
  <si>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</si>
  <si>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</si>
  <si>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</si>
  <si>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</si>
  <si>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</si>
  <si>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</si>
  <si>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</si>
  <si>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</si>
  <si>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</si>
  <si>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</si>
  <si>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</si>
  <si>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</si>
  <si>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</si>
  <si>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</si>
  <si>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</si>
  <si>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</si>
  <si>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</si>
  <si>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</si>
  <si>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</si>
  <si>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</si>
  <si>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</si>
  <si>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</si>
  <si>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</si>
  <si>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</si>
  <si>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</si>
  <si>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</si>
  <si>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</si>
  <si>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</si>
  <si>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</si>
  <si>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</si>
  <si>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</si>
  <si>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</si>
  <si>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</si>
  <si>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</si>
  <si>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</si>
  <si>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</si>
  <si>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</si>
  <si>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</si>
  <si>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</si>
  <si>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</si>
  <si>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</si>
  <si>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</si>
  <si>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</si>
  <si>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</si>
  <si>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</si>
  <si>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</si>
  <si>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</si>
  <si>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</si>
  <si>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</si>
  <si>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</si>
  <si>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</si>
  <si>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</si>
  <si>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</si>
  <si>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</si>
  <si>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</si>
  <si>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</si>
  <si>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</si>
  <si>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</si>
  <si>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</si>
  <si>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</si>
  <si>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</si>
  <si>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</si>
  <si>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</si>
  <si>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</si>
  <si>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</si>
  <si>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</si>
  <si>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</si>
  <si>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</si>
  <si>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</si>
  <si>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</si>
  <si>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</si>
  <si>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</si>
  <si>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</si>
  <si>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</si>
  <si>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</si>
  <si>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</si>
  <si>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</si>
  <si>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</si>
  <si>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</si>
  <si>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</si>
  <si>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</si>
  <si>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</si>
  <si>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</si>
  <si>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</si>
  <si>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</si>
  <si>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</si>
  <si>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</si>
  <si>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</si>
  <si>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</si>
  <si>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</si>
  <si>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</si>
  <si>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</si>
  <si>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</si>
  <si>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</si>
  <si>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</si>
  <si>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</si>
  <si>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</si>
  <si>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</si>
  <si>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</si>
  <si>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</si>
  <si>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</si>
  <si>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</si>
  <si>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</si>
  <si>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</si>
  <si>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</si>
  <si>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</si>
  <si>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</si>
  <si>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</si>
  <si>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</si>
  <si>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</si>
  <si>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</si>
  <si>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</si>
  <si>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</si>
  <si>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</si>
  <si>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</si>
  <si>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</si>
  <si>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</si>
  <si>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</si>
  <si>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</si>
  <si>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</si>
  <si>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</si>
  <si>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</si>
  <si>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</si>
  <si>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</si>
  <si>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</si>
  <si>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</si>
  <si>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</si>
  <si>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</si>
  <si>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</si>
  <si>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</si>
  <si>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</si>
  <si>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</si>
  <si>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</si>
  <si>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</si>
  <si>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</si>
  <si>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</si>
  <si>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</si>
  <si>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</si>
  <si>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</si>
  <si>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</si>
  <si>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</si>
  <si>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</si>
  <si>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</si>
  <si>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</si>
  <si>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</si>
  <si>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</si>
  <si>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</si>
  <si>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</si>
  <si>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</si>
  <si>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</si>
  <si>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</si>
  <si>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</si>
  <si>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</si>
  <si>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</si>
  <si>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</si>
  <si>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</si>
  <si>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</si>
  <si>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</si>
  <si>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23104</t>
  </si>
  <si>
    <t>LENNIK</t>
  </si>
  <si>
    <t>referentietaak LNE (2017); Jaarverslag De Lijn</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</si>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</sst>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76946.296590827333</c:v>
                </c:pt>
                <c:pt idx="1">
                  <c:v>17294.102979447362</c:v>
                </c:pt>
                <c:pt idx="2">
                  <c:v>568.79700000000003</c:v>
                </c:pt>
                <c:pt idx="3">
                  <c:v>6099.5973042983469</c:v>
                </c:pt>
                <c:pt idx="4">
                  <c:v>4935.5872809202374</c:v>
                </c:pt>
                <c:pt idx="5">
                  <c:v>95401.982802319442</c:v>
                </c:pt>
                <c:pt idx="6">
                  <c:v>1779.7418598189756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76946.296590827333</c:v>
                </c:pt>
                <c:pt idx="1">
                  <c:v>17294.102979447362</c:v>
                </c:pt>
                <c:pt idx="2">
                  <c:v>568.79700000000003</c:v>
                </c:pt>
                <c:pt idx="3">
                  <c:v>6099.5973042983469</c:v>
                </c:pt>
                <c:pt idx="4">
                  <c:v>4935.5872809202374</c:v>
                </c:pt>
                <c:pt idx="5">
                  <c:v>95401.982802319442</c:v>
                </c:pt>
                <c:pt idx="6">
                  <c:v>1779.7418598189756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16172.191454684813</c:v>
                </c:pt>
                <c:pt idx="1">
                  <c:v>3506.4524169817064</c:v>
                </c:pt>
                <c:pt idx="2">
                  <c:v>113.97661455879992</c:v>
                </c:pt>
                <c:pt idx="3">
                  <c:v>1397.88219765197</c:v>
                </c:pt>
                <c:pt idx="4">
                  <c:v>1017.0455868287078</c:v>
                </c:pt>
                <c:pt idx="5">
                  <c:v>23620.542079020983</c:v>
                </c:pt>
                <c:pt idx="6">
                  <c:v>450.73180182200485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16172.191454684813</c:v>
                </c:pt>
                <c:pt idx="1">
                  <c:v>3506.4524169817064</c:v>
                </c:pt>
                <c:pt idx="2">
                  <c:v>113.97661455879992</c:v>
                </c:pt>
                <c:pt idx="3">
                  <c:v>1397.88219765197</c:v>
                </c:pt>
                <c:pt idx="4">
                  <c:v>1017.0455868287078</c:v>
                </c:pt>
                <c:pt idx="5">
                  <c:v>23620.542079020983</c:v>
                </c:pt>
                <c:pt idx="6">
                  <c:v>450.73180182200485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23104</v>
      </c>
      <c r="B6" s="392"/>
      <c r="C6" s="393"/>
    </row>
    <row r="7" spans="1:7" s="390" customFormat="1" ht="15.75" customHeight="1">
      <c r="A7" s="394" t="str">
        <f>txtMunicipality</f>
        <v>LENNIK</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0.20038188414988109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0.20038188414988109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3567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1856.01</v>
      </c>
      <c r="C14" s="332"/>
      <c r="D14" s="332"/>
      <c r="E14" s="332"/>
      <c r="F14" s="332"/>
    </row>
    <row r="15" spans="1:6">
      <c r="A15" s="1310" t="s">
        <v>183</v>
      </c>
      <c r="B15" s="1311">
        <v>14</v>
      </c>
      <c r="C15" s="332"/>
      <c r="D15" s="332"/>
      <c r="E15" s="332"/>
      <c r="F15" s="332"/>
    </row>
    <row r="16" spans="1:6">
      <c r="A16" s="1310" t="s">
        <v>6</v>
      </c>
      <c r="B16" s="1311">
        <v>612</v>
      </c>
      <c r="C16" s="332"/>
      <c r="D16" s="332"/>
      <c r="E16" s="332"/>
      <c r="F16" s="332"/>
    </row>
    <row r="17" spans="1:6">
      <c r="A17" s="1310" t="s">
        <v>7</v>
      </c>
      <c r="B17" s="1311">
        <v>586</v>
      </c>
      <c r="C17" s="332"/>
      <c r="D17" s="332"/>
      <c r="E17" s="332"/>
      <c r="F17" s="332"/>
    </row>
    <row r="18" spans="1:6">
      <c r="A18" s="1310" t="s">
        <v>8</v>
      </c>
      <c r="B18" s="1311">
        <v>719</v>
      </c>
      <c r="C18" s="332"/>
      <c r="D18" s="332"/>
      <c r="E18" s="332"/>
      <c r="F18" s="332"/>
    </row>
    <row r="19" spans="1:6">
      <c r="A19" s="1310" t="s">
        <v>9</v>
      </c>
      <c r="B19" s="1311">
        <v>613</v>
      </c>
      <c r="C19" s="332"/>
      <c r="D19" s="332"/>
      <c r="E19" s="332"/>
      <c r="F19" s="332"/>
    </row>
    <row r="20" spans="1:6">
      <c r="A20" s="1310" t="s">
        <v>10</v>
      </c>
      <c r="B20" s="1311">
        <v>479</v>
      </c>
      <c r="C20" s="332"/>
      <c r="D20" s="332"/>
      <c r="E20" s="332"/>
      <c r="F20" s="332"/>
    </row>
    <row r="21" spans="1:6">
      <c r="A21" s="1310" t="s">
        <v>11</v>
      </c>
      <c r="B21" s="1311">
        <v>3</v>
      </c>
      <c r="C21" s="332"/>
      <c r="D21" s="332"/>
      <c r="E21" s="332"/>
      <c r="F21" s="332"/>
    </row>
    <row r="22" spans="1:6">
      <c r="A22" s="1310" t="s">
        <v>12</v>
      </c>
      <c r="B22" s="1311">
        <v>3</v>
      </c>
      <c r="C22" s="332"/>
      <c r="D22" s="332"/>
      <c r="E22" s="332"/>
      <c r="F22" s="332"/>
    </row>
    <row r="23" spans="1:6">
      <c r="A23" s="1310" t="s">
        <v>13</v>
      </c>
      <c r="B23" s="1311">
        <v>3</v>
      </c>
      <c r="C23" s="332"/>
      <c r="D23" s="332"/>
      <c r="E23" s="332"/>
      <c r="F23" s="332"/>
    </row>
    <row r="24" spans="1:6">
      <c r="A24" s="1310" t="s">
        <v>14</v>
      </c>
      <c r="B24" s="1311">
        <v>0</v>
      </c>
      <c r="C24" s="332"/>
      <c r="D24" s="332"/>
      <c r="E24" s="332"/>
      <c r="F24" s="332"/>
    </row>
    <row r="25" spans="1:6">
      <c r="A25" s="1310" t="s">
        <v>15</v>
      </c>
      <c r="B25" s="1311">
        <v>1</v>
      </c>
      <c r="C25" s="332"/>
      <c r="D25" s="332"/>
      <c r="E25" s="332"/>
      <c r="F25" s="332"/>
    </row>
    <row r="26" spans="1:6">
      <c r="A26" s="1310" t="s">
        <v>16</v>
      </c>
      <c r="B26" s="1311">
        <v>629</v>
      </c>
      <c r="C26" s="332"/>
      <c r="D26" s="332"/>
      <c r="E26" s="332"/>
      <c r="F26" s="332"/>
    </row>
    <row r="27" spans="1:6">
      <c r="A27" s="1310" t="s">
        <v>17</v>
      </c>
      <c r="B27" s="1311">
        <v>9</v>
      </c>
      <c r="C27" s="332"/>
      <c r="D27" s="332"/>
      <c r="E27" s="332"/>
      <c r="F27" s="332"/>
    </row>
    <row r="28" spans="1:6" s="43" customFormat="1">
      <c r="A28" s="1312" t="s">
        <v>18</v>
      </c>
      <c r="B28" s="1313">
        <v>8036</v>
      </c>
      <c r="C28" s="338"/>
      <c r="D28" s="338"/>
      <c r="E28" s="338"/>
      <c r="F28" s="338"/>
    </row>
    <row r="29" spans="1:6">
      <c r="A29" s="1312" t="s">
        <v>699</v>
      </c>
      <c r="B29" s="1313">
        <v>134</v>
      </c>
      <c r="C29" s="338"/>
      <c r="D29" s="338"/>
      <c r="E29" s="338"/>
      <c r="F29" s="338"/>
    </row>
    <row r="30" spans="1:6">
      <c r="A30" s="1305" t="s">
        <v>700</v>
      </c>
      <c r="B30" s="1314">
        <v>14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1541</v>
      </c>
      <c r="D39" s="1311">
        <v>27536232.072345801</v>
      </c>
      <c r="E39" s="1311">
        <v>3445</v>
      </c>
      <c r="F39" s="1311">
        <v>15391608.7424183</v>
      </c>
    </row>
    <row r="40" spans="1:6">
      <c r="A40" s="1310" t="s">
        <v>29</v>
      </c>
      <c r="B40" s="1310" t="s">
        <v>28</v>
      </c>
      <c r="C40" s="1311">
        <v>0</v>
      </c>
      <c r="D40" s="1311">
        <v>0</v>
      </c>
      <c r="E40" s="1311">
        <v>0</v>
      </c>
      <c r="F40" s="1311">
        <v>0</v>
      </c>
    </row>
    <row r="41" spans="1:6">
      <c r="A41" s="1310" t="s">
        <v>31</v>
      </c>
      <c r="B41" s="1310" t="s">
        <v>32</v>
      </c>
      <c r="C41" s="1311">
        <v>37</v>
      </c>
      <c r="D41" s="1311">
        <v>2241121.5228276998</v>
      </c>
      <c r="E41" s="1311">
        <v>106</v>
      </c>
      <c r="F41" s="1311">
        <v>922568.95351058606</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7</v>
      </c>
      <c r="F44" s="1311">
        <v>48882.182168106003</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5</v>
      </c>
      <c r="F47" s="1311">
        <v>156083.98011082699</v>
      </c>
    </row>
    <row r="48" spans="1:6">
      <c r="A48" s="1310" t="s">
        <v>31</v>
      </c>
      <c r="B48" s="1310" t="s">
        <v>28</v>
      </c>
      <c r="C48" s="1311">
        <v>5</v>
      </c>
      <c r="D48" s="1311">
        <v>66620.140305442401</v>
      </c>
      <c r="E48" s="1311">
        <v>2</v>
      </c>
      <c r="F48" s="1311">
        <v>16066.577478965501</v>
      </c>
    </row>
    <row r="49" spans="1:6">
      <c r="A49" s="1310" t="s">
        <v>31</v>
      </c>
      <c r="B49" s="1310" t="s">
        <v>39</v>
      </c>
      <c r="C49" s="1311">
        <v>0</v>
      </c>
      <c r="D49" s="1311">
        <v>0</v>
      </c>
      <c r="E49" s="1311">
        <v>0</v>
      </c>
      <c r="F49" s="1311">
        <v>0</v>
      </c>
    </row>
    <row r="50" spans="1:6">
      <c r="A50" s="1310" t="s">
        <v>31</v>
      </c>
      <c r="B50" s="1310" t="s">
        <v>40</v>
      </c>
      <c r="C50" s="1311">
        <v>0</v>
      </c>
      <c r="D50" s="1311">
        <v>0</v>
      </c>
      <c r="E50" s="1311">
        <v>10</v>
      </c>
      <c r="F50" s="1311">
        <v>1043846.9467901801</v>
      </c>
    </row>
    <row r="51" spans="1:6">
      <c r="A51" s="1310" t="s">
        <v>41</v>
      </c>
      <c r="B51" s="1310" t="s">
        <v>42</v>
      </c>
      <c r="C51" s="1311">
        <v>5</v>
      </c>
      <c r="D51" s="1311">
        <v>3096943.8001711802</v>
      </c>
      <c r="E51" s="1311">
        <v>58</v>
      </c>
      <c r="F51" s="1311">
        <v>713153.25630572403</v>
      </c>
    </row>
    <row r="52" spans="1:6">
      <c r="A52" s="1310" t="s">
        <v>41</v>
      </c>
      <c r="B52" s="1310" t="s">
        <v>28</v>
      </c>
      <c r="C52" s="1311">
        <v>0</v>
      </c>
      <c r="D52" s="1311">
        <v>0</v>
      </c>
      <c r="E52" s="1311">
        <v>0</v>
      </c>
      <c r="F52" s="1311">
        <v>0</v>
      </c>
    </row>
    <row r="53" spans="1:6">
      <c r="A53" s="1310" t="s">
        <v>43</v>
      </c>
      <c r="B53" s="1310" t="s">
        <v>44</v>
      </c>
      <c r="C53" s="1311">
        <v>57</v>
      </c>
      <c r="D53" s="1311">
        <v>1130555.4262401799</v>
      </c>
      <c r="E53" s="1311">
        <v>124</v>
      </c>
      <c r="F53" s="1311">
        <v>499212.387107599</v>
      </c>
    </row>
    <row r="54" spans="1:6">
      <c r="A54" s="1310" t="s">
        <v>45</v>
      </c>
      <c r="B54" s="1310" t="s">
        <v>46</v>
      </c>
      <c r="C54" s="1311">
        <v>0</v>
      </c>
      <c r="D54" s="1311">
        <v>0</v>
      </c>
      <c r="E54" s="1311">
        <v>1</v>
      </c>
      <c r="F54" s="1311">
        <v>568797</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27</v>
      </c>
      <c r="D57" s="1311">
        <v>803700.66764142795</v>
      </c>
      <c r="E57" s="1311">
        <v>52</v>
      </c>
      <c r="F57" s="1311">
        <v>511687.316737146</v>
      </c>
    </row>
    <row r="58" spans="1:6">
      <c r="A58" s="1310" t="s">
        <v>48</v>
      </c>
      <c r="B58" s="1310" t="s">
        <v>50</v>
      </c>
      <c r="C58" s="1311">
        <v>23</v>
      </c>
      <c r="D58" s="1311">
        <v>1694774.17250464</v>
      </c>
      <c r="E58" s="1311">
        <v>39</v>
      </c>
      <c r="F58" s="1311">
        <v>1196304.02836946</v>
      </c>
    </row>
    <row r="59" spans="1:6">
      <c r="A59" s="1310" t="s">
        <v>48</v>
      </c>
      <c r="B59" s="1310" t="s">
        <v>51</v>
      </c>
      <c r="C59" s="1311">
        <v>52</v>
      </c>
      <c r="D59" s="1311">
        <v>1758407.3861598501</v>
      </c>
      <c r="E59" s="1311">
        <v>128</v>
      </c>
      <c r="F59" s="1311">
        <v>2370327.0583386398</v>
      </c>
    </row>
    <row r="60" spans="1:6">
      <c r="A60" s="1310" t="s">
        <v>48</v>
      </c>
      <c r="B60" s="1310" t="s">
        <v>52</v>
      </c>
      <c r="C60" s="1311">
        <v>23</v>
      </c>
      <c r="D60" s="1311">
        <v>801975.30470889504</v>
      </c>
      <c r="E60" s="1311">
        <v>46</v>
      </c>
      <c r="F60" s="1311">
        <v>864632.67636686598</v>
      </c>
    </row>
    <row r="61" spans="1:6">
      <c r="A61" s="1310" t="s">
        <v>48</v>
      </c>
      <c r="B61" s="1310" t="s">
        <v>53</v>
      </c>
      <c r="C61" s="1311">
        <v>88</v>
      </c>
      <c r="D61" s="1311">
        <v>2686567.5291339499</v>
      </c>
      <c r="E61" s="1311">
        <v>189</v>
      </c>
      <c r="F61" s="1311">
        <v>1961265.5115634101</v>
      </c>
    </row>
    <row r="62" spans="1:6">
      <c r="A62" s="1310" t="s">
        <v>48</v>
      </c>
      <c r="B62" s="1310" t="s">
        <v>54</v>
      </c>
      <c r="C62" s="1311">
        <v>10</v>
      </c>
      <c r="D62" s="1311">
        <v>1401779.8159344301</v>
      </c>
      <c r="E62" s="1311">
        <v>14</v>
      </c>
      <c r="F62" s="1311">
        <v>880064.69069038599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3945.2848046996</v>
      </c>
      <c r="E65" s="1311">
        <v>0</v>
      </c>
      <c r="F65" s="1311">
        <v>0</v>
      </c>
    </row>
    <row r="66" spans="1:6">
      <c r="A66" s="1310" t="s">
        <v>55</v>
      </c>
      <c r="B66" s="1310" t="s">
        <v>57</v>
      </c>
      <c r="C66" s="1311">
        <v>0</v>
      </c>
      <c r="D66" s="1311">
        <v>0</v>
      </c>
      <c r="E66" s="1311">
        <v>12</v>
      </c>
      <c r="F66" s="1311">
        <v>81169.754981771999</v>
      </c>
    </row>
    <row r="67" spans="1:6">
      <c r="A67" s="1312" t="s">
        <v>55</v>
      </c>
      <c r="B67" s="1312" t="s">
        <v>58</v>
      </c>
      <c r="C67" s="1311">
        <v>0</v>
      </c>
      <c r="D67" s="1311">
        <v>0</v>
      </c>
      <c r="E67" s="1311">
        <v>0</v>
      </c>
      <c r="F67" s="1311">
        <v>0</v>
      </c>
    </row>
    <row r="68" spans="1:6">
      <c r="A68" s="1305" t="s">
        <v>55</v>
      </c>
      <c r="B68" s="1305" t="s">
        <v>59</v>
      </c>
      <c r="C68" s="1314">
        <v>0</v>
      </c>
      <c r="D68" s="1314">
        <v>0</v>
      </c>
      <c r="E68" s="1314">
        <v>8</v>
      </c>
      <c r="F68" s="1314">
        <v>56442.408948473698</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54816246</v>
      </c>
      <c r="E73" s="453"/>
      <c r="F73" s="332"/>
    </row>
    <row r="74" spans="1:6">
      <c r="A74" s="1310" t="s">
        <v>63</v>
      </c>
      <c r="B74" s="1310" t="s">
        <v>648</v>
      </c>
      <c r="C74" s="1324" t="s">
        <v>650</v>
      </c>
      <c r="D74" s="1325">
        <v>3065891.4166832436</v>
      </c>
      <c r="E74" s="453"/>
      <c r="F74" s="332"/>
    </row>
    <row r="75" spans="1:6">
      <c r="A75" s="1310" t="s">
        <v>64</v>
      </c>
      <c r="B75" s="1310" t="s">
        <v>647</v>
      </c>
      <c r="C75" s="1324" t="s">
        <v>651</v>
      </c>
      <c r="D75" s="1325">
        <v>51304643</v>
      </c>
      <c r="E75" s="453"/>
      <c r="F75" s="332"/>
    </row>
    <row r="76" spans="1:6">
      <c r="A76" s="1310" t="s">
        <v>64</v>
      </c>
      <c r="B76" s="1310" t="s">
        <v>648</v>
      </c>
      <c r="C76" s="1324" t="s">
        <v>652</v>
      </c>
      <c r="D76" s="1325">
        <v>1579904.4166832436</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493657.166633513</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2464.3341598443112</v>
      </c>
      <c r="C91" s="332"/>
      <c r="D91" s="332"/>
      <c r="E91" s="332"/>
      <c r="F91" s="332"/>
    </row>
    <row r="92" spans="1:6">
      <c r="A92" s="1305" t="s">
        <v>68</v>
      </c>
      <c r="B92" s="1306">
        <v>261.04946611366069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622</v>
      </c>
      <c r="C97" s="332"/>
      <c r="D97" s="332"/>
      <c r="E97" s="332"/>
      <c r="F97" s="332"/>
    </row>
    <row r="98" spans="1:6">
      <c r="A98" s="1310" t="s">
        <v>71</v>
      </c>
      <c r="B98" s="1311">
        <v>2</v>
      </c>
      <c r="C98" s="332"/>
      <c r="D98" s="332"/>
      <c r="E98" s="332"/>
      <c r="F98" s="332"/>
    </row>
    <row r="99" spans="1:6">
      <c r="A99" s="1310" t="s">
        <v>72</v>
      </c>
      <c r="B99" s="1311">
        <v>79</v>
      </c>
      <c r="C99" s="332"/>
      <c r="D99" s="332"/>
      <c r="E99" s="332"/>
      <c r="F99" s="332"/>
    </row>
    <row r="100" spans="1:6">
      <c r="A100" s="1310" t="s">
        <v>73</v>
      </c>
      <c r="B100" s="1311">
        <v>385</v>
      </c>
      <c r="C100" s="332"/>
      <c r="D100" s="332"/>
      <c r="E100" s="332"/>
      <c r="F100" s="332"/>
    </row>
    <row r="101" spans="1:6">
      <c r="A101" s="1310" t="s">
        <v>74</v>
      </c>
      <c r="B101" s="1311">
        <v>43</v>
      </c>
      <c r="C101" s="332"/>
      <c r="D101" s="332"/>
      <c r="E101" s="332"/>
      <c r="F101" s="332"/>
    </row>
    <row r="102" spans="1:6">
      <c r="A102" s="1310" t="s">
        <v>75</v>
      </c>
      <c r="B102" s="1311">
        <v>42</v>
      </c>
      <c r="C102" s="332"/>
      <c r="D102" s="332"/>
      <c r="E102" s="332"/>
      <c r="F102" s="332"/>
    </row>
    <row r="103" spans="1:6">
      <c r="A103" s="1310" t="s">
        <v>76</v>
      </c>
      <c r="B103" s="1311">
        <v>96</v>
      </c>
      <c r="C103" s="332"/>
      <c r="D103" s="332"/>
      <c r="E103" s="332"/>
      <c r="F103" s="332"/>
    </row>
    <row r="104" spans="1:6">
      <c r="A104" s="1310" t="s">
        <v>77</v>
      </c>
      <c r="B104" s="1311">
        <v>2009</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23</v>
      </c>
      <c r="C123" s="1311">
        <v>19</v>
      </c>
      <c r="D123" s="332"/>
      <c r="E123" s="332"/>
      <c r="F123" s="332"/>
    </row>
    <row r="124" spans="1:6" s="43" customFormat="1">
      <c r="A124" s="1312" t="s">
        <v>88</v>
      </c>
      <c r="B124" s="1333">
        <v>1</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73</v>
      </c>
      <c r="C129" s="332"/>
      <c r="D129" s="332"/>
      <c r="E129" s="332"/>
      <c r="F129" s="332"/>
    </row>
    <row r="130" spans="1:6">
      <c r="A130" s="1310" t="s">
        <v>294</v>
      </c>
      <c r="B130" s="1311">
        <v>2</v>
      </c>
      <c r="C130" s="332"/>
      <c r="D130" s="332"/>
      <c r="E130" s="332"/>
      <c r="F130" s="332"/>
    </row>
    <row r="131" spans="1:6">
      <c r="A131" s="1310" t="s">
        <v>295</v>
      </c>
      <c r="B131" s="1311">
        <v>0</v>
      </c>
      <c r="C131" s="332"/>
      <c r="D131" s="332"/>
      <c r="E131" s="332"/>
      <c r="F131" s="332"/>
    </row>
    <row r="132" spans="1:6">
      <c r="A132" s="1305" t="s">
        <v>296</v>
      </c>
      <c r="B132" s="1306">
        <v>25</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29680.521527052282</v>
      </c>
      <c r="C3" s="43" t="s">
        <v>169</v>
      </c>
      <c r="D3" s="43"/>
      <c r="E3" s="154"/>
      <c r="F3" s="43"/>
      <c r="G3" s="43"/>
      <c r="H3" s="43"/>
      <c r="I3" s="43"/>
      <c r="J3" s="43"/>
      <c r="K3" s="96"/>
    </row>
    <row r="4" spans="1:11">
      <c r="A4" s="360" t="s">
        <v>170</v>
      </c>
      <c r="B4" s="49">
        <f>IF(ISERROR('SEAP template'!B78+'SEAP template'!C78),0,'SEAP template'!B78+'SEAP template'!C78)</f>
        <v>2769.0336259579722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0.20038188414988109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568.79700000000003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568.79700000000003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0.20038188414988109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113.97661455879992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15391.608742418301</v>
      </c>
      <c r="C5" s="17">
        <f>IF(ISERROR('Eigen informatie GS &amp; warmtenet'!B59),0,'Eigen informatie GS &amp; warmtenet'!B59)</f>
        <v>0</v>
      </c>
      <c r="D5" s="30">
        <f>(SUM(HH_hh_gas_kWh,HH_rest_gas_kWh)/1000)*0.903</f>
        <v>24865.217561328256</v>
      </c>
      <c r="E5" s="17">
        <f>B46*B57</f>
        <v>4432.2705436161796</v>
      </c>
      <c r="F5" s="17">
        <f>B51*B62</f>
        <v>24512.740657064041</v>
      </c>
      <c r="G5" s="18"/>
      <c r="H5" s="17"/>
      <c r="I5" s="17"/>
      <c r="J5" s="17">
        <f>B50*B61+C50*C61</f>
        <v>57.578690484331815</v>
      </c>
      <c r="K5" s="17"/>
      <c r="L5" s="17"/>
      <c r="M5" s="17"/>
      <c r="N5" s="17">
        <f>B48*B59+C48*C59</f>
        <v>4521.8741155923417</v>
      </c>
      <c r="O5" s="17">
        <f>B69*B70*B71</f>
        <v>184.50811440299395</v>
      </c>
      <c r="P5" s="17">
        <f>B77*B78*B79/1000-B77*B78*B79/1000/B80</f>
        <v>516.16400607656612</v>
      </c>
    </row>
    <row r="6" spans="1:16">
      <c r="A6" s="16" t="s">
        <v>612</v>
      </c>
      <c r="B6" s="786">
        <f>kWh_PV_kleiner_dan_10kW</f>
        <v>2464.3341598443112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17855.942902262614</v>
      </c>
      <c r="C8" s="21">
        <f>C5</f>
        <v>0</v>
      </c>
      <c r="D8" s="21">
        <f>D5</f>
        <v>24865.217561328256</v>
      </c>
      <c r="E8" s="21">
        <f>E5</f>
        <v>4432.2705436161796</v>
      </c>
      <c r="F8" s="21">
        <f>F5</f>
        <v>24512.740657064041</v>
      </c>
      <c r="G8" s="21"/>
      <c r="H8" s="21"/>
      <c r="I8" s="21"/>
      <c r="J8" s="21">
        <f>J5</f>
        <v>57.578690484331815</v>
      </c>
      <c r="K8" s="21"/>
      <c r="L8" s="21">
        <f>L5</f>
        <v>0</v>
      </c>
      <c r="M8" s="21">
        <f>M5</f>
        <v>0</v>
      </c>
      <c r="N8" s="21">
        <f>N5</f>
        <v>4521.8741155923417</v>
      </c>
      <c r="O8" s="21">
        <f>O5</f>
        <v>184.50811440299395</v>
      </c>
      <c r="P8" s="21">
        <f>P5</f>
        <v>516.16400607656612</v>
      </c>
    </row>
    <row r="9" spans="1:16">
      <c r="B9" s="19"/>
      <c r="C9" s="19"/>
      <c r="D9" s="258"/>
      <c r="E9" s="19"/>
      <c r="F9" s="19"/>
      <c r="G9" s="19"/>
      <c r="H9" s="19"/>
      <c r="I9" s="19"/>
      <c r="J9" s="19"/>
      <c r="K9" s="19"/>
      <c r="L9" s="19"/>
      <c r="M9" s="19"/>
      <c r="N9" s="19"/>
      <c r="O9" s="19"/>
      <c r="P9" s="19"/>
    </row>
    <row r="10" spans="1:16">
      <c r="A10" s="24" t="s">
        <v>213</v>
      </c>
      <c r="B10" s="25">
        <f ca="1">'EF ele_warmte'!B12</f>
        <v>0.20038188414988109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3578.0074820280784</v>
      </c>
      <c r="C12" s="23">
        <f ca="1">C10*C8</f>
        <v>0</v>
      </c>
      <c r="D12" s="23">
        <f>D8*D10</f>
        <v>5022.7739473883084</v>
      </c>
      <c r="E12" s="23">
        <f>E10*E8</f>
        <v>1006.1254134008728</v>
      </c>
      <c r="F12" s="23">
        <f>F10*F8</f>
        <v>6544.9017554360998</v>
      </c>
      <c r="G12" s="23"/>
      <c r="H12" s="23"/>
      <c r="I12" s="23"/>
      <c r="J12" s="23">
        <f>J10*J8</f>
        <v>20.382856431453462</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622</v>
      </c>
      <c r="C18" s="166" t="s">
        <v>110</v>
      </c>
      <c r="D18" s="228"/>
      <c r="E18" s="15"/>
    </row>
    <row r="19" spans="1:7">
      <c r="A19" s="171" t="s">
        <v>71</v>
      </c>
      <c r="B19" s="37">
        <f>aantalw2001_ander</f>
        <v>2</v>
      </c>
      <c r="C19" s="166" t="s">
        <v>110</v>
      </c>
      <c r="D19" s="229"/>
      <c r="E19" s="15"/>
    </row>
    <row r="20" spans="1:7">
      <c r="A20" s="171" t="s">
        <v>72</v>
      </c>
      <c r="B20" s="37">
        <f>aantalw2001_propaan</f>
        <v>79</v>
      </c>
      <c r="C20" s="167">
        <f>IF(ISERROR(B20/SUM($B$20,$B$21,$B$22)*100),0,B20/SUM($B$20,$B$21,$B$22)*100)</f>
        <v>15.581854043392504</v>
      </c>
      <c r="D20" s="229"/>
      <c r="E20" s="15"/>
    </row>
    <row r="21" spans="1:7">
      <c r="A21" s="171" t="s">
        <v>73</v>
      </c>
      <c r="B21" s="37">
        <f>aantalw2001_elektriciteit</f>
        <v>385</v>
      </c>
      <c r="C21" s="167">
        <f>IF(ISERROR(B21/SUM($B$20,$B$21,$B$22)*100),0,B21/SUM($B$20,$B$21,$B$22)*100)</f>
        <v>75.936883629191314</v>
      </c>
      <c r="D21" s="229"/>
      <c r="E21" s="15"/>
    </row>
    <row r="22" spans="1:7">
      <c r="A22" s="171" t="s">
        <v>74</v>
      </c>
      <c r="B22" s="37">
        <f>aantalw2001_hout</f>
        <v>43</v>
      </c>
      <c r="C22" s="167">
        <f>IF(ISERROR(B22/SUM($B$20,$B$21,$B$22)*100),0,B22/SUM($B$20,$B$21,$B$22)*100)</f>
        <v>8.4812623274161734</v>
      </c>
      <c r="D22" s="229"/>
      <c r="E22" s="15"/>
    </row>
    <row r="23" spans="1:7">
      <c r="A23" s="171" t="s">
        <v>75</v>
      </c>
      <c r="B23" s="37">
        <f>aantalw2001_niet_gespec</f>
        <v>42</v>
      </c>
      <c r="C23" s="166" t="s">
        <v>110</v>
      </c>
      <c r="D23" s="228"/>
      <c r="E23" s="15"/>
    </row>
    <row r="24" spans="1:7">
      <c r="A24" s="171" t="s">
        <v>76</v>
      </c>
      <c r="B24" s="37">
        <f>aantalw2001_steenkool</f>
        <v>96</v>
      </c>
      <c r="C24" s="166" t="s">
        <v>110</v>
      </c>
      <c r="D24" s="229"/>
      <c r="E24" s="15"/>
    </row>
    <row r="25" spans="1:7">
      <c r="A25" s="171" t="s">
        <v>77</v>
      </c>
      <c r="B25" s="37">
        <f>aantalw2001_stookolie</f>
        <v>2009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3567</v>
      </c>
      <c r="C28" s="36"/>
      <c r="D28" s="228"/>
    </row>
    <row r="29" spans="1:7" s="15" customFormat="1">
      <c r="A29" s="230" t="s">
        <v>839</v>
      </c>
      <c r="B29" s="37">
        <f>SUM(HH_hh_gas_aantal,HH_rest_gas_aantal)</f>
        <v>1541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1541</v>
      </c>
      <c r="C32" s="167">
        <f>IF(ISERROR(B32/SUM($B$32,$B$34,$B$35,$B$36,$B$38,$B$39)*100),0,B32/SUM($B$32,$B$34,$B$35,$B$36,$B$38,$B$39)*100)</f>
        <v>43.803297328027291</v>
      </c>
      <c r="D32" s="233"/>
      <c r="G32" s="15"/>
    </row>
    <row r="33" spans="1:7">
      <c r="A33" s="171" t="s">
        <v>71</v>
      </c>
      <c r="B33" s="34" t="s">
        <v>110</v>
      </c>
      <c r="C33" s="167"/>
      <c r="D33" s="233"/>
      <c r="G33" s="15"/>
    </row>
    <row r="34" spans="1:7">
      <c r="A34" s="171" t="s">
        <v>72</v>
      </c>
      <c r="B34" s="33">
        <f>IF((($B$28-$B$32-$B$39-$B$77-$B$38)*C20/100)&lt;0,0,($B$28-$B$32-$B$39-$B$77-$B$38)*C20/100)</f>
        <v>123.25246548323469</v>
      </c>
      <c r="C34" s="167">
        <f>IF(ISERROR(B34/SUM($B$32,$B$34,$B$35,$B$36,$B$38,$B$39)*100),0,B34/SUM($B$32,$B$34,$B$35,$B$36,$B$38,$B$39)*100)</f>
        <v>3.5034811109503892</v>
      </c>
      <c r="D34" s="233"/>
      <c r="G34" s="15"/>
    </row>
    <row r="35" spans="1:7">
      <c r="A35" s="171" t="s">
        <v>73</v>
      </c>
      <c r="B35" s="33">
        <f>IF((($B$28-$B$32-$B$39-$B$77-$B$38)*C21/100)&lt;0,0,($B$28-$B$32-$B$39-$B$77-$B$38)*C21/100)</f>
        <v>600.66074950690324</v>
      </c>
      <c r="C35" s="167">
        <f>IF(ISERROR(B35/SUM($B$32,$B$34,$B$35,$B$36,$B$38,$B$39)*100),0,B35/SUM($B$32,$B$34,$B$35,$B$36,$B$38,$B$39)*100)</f>
        <v>17.073926933112656</v>
      </c>
      <c r="D35" s="233"/>
      <c r="G35" s="15"/>
    </row>
    <row r="36" spans="1:7">
      <c r="A36" s="171" t="s">
        <v>74</v>
      </c>
      <c r="B36" s="33">
        <f>IF((($B$28-$B$32-$B$39-$B$77-$B$38)*C22/100)&lt;0,0,($B$28-$B$32-$B$39-$B$77-$B$38)*C22/100)</f>
        <v>67.086785009861927</v>
      </c>
      <c r="C36" s="167">
        <f>IF(ISERROR(B36/SUM($B$32,$B$34,$B$35,$B$36,$B$38,$B$39)*100),0,B36/SUM($B$32,$B$34,$B$35,$B$36,$B$38,$B$39)*100)</f>
        <v>1.9069580730489464</v>
      </c>
      <c r="D36" s="233"/>
      <c r="G36" s="15"/>
    </row>
    <row r="37" spans="1:7">
      <c r="A37" s="171" t="s">
        <v>75</v>
      </c>
      <c r="B37" s="34" t="s">
        <v>110</v>
      </c>
      <c r="C37" s="167"/>
      <c r="D37" s="173"/>
      <c r="G37" s="15"/>
    </row>
    <row r="38" spans="1:7">
      <c r="A38" s="171" t="s">
        <v>76</v>
      </c>
      <c r="B38" s="33">
        <f>IF((B24-(B29-B18)*0.1)&lt;0,0,B24-(B29-B18)*0.1)</f>
        <v>4.0999999999999943</v>
      </c>
      <c r="C38" s="167">
        <f>IF(ISERROR(B38/SUM($B$32,$B$34,$B$35,$B$36,$B$38,$B$39)*100),0,B38/SUM($B$32,$B$34,$B$35,$B$36,$B$38,$B$39)*100)</f>
        <v>0.11654349061967012</v>
      </c>
      <c r="D38" s="234"/>
      <c r="G38" s="15"/>
    </row>
    <row r="39" spans="1:7">
      <c r="A39" s="171" t="s">
        <v>77</v>
      </c>
      <c r="B39" s="33">
        <f>IF((B25-(B29-B18))&lt;0,0,B25-(B29-B18)*0.9)</f>
        <v>1181.9000000000001</v>
      </c>
      <c r="C39" s="167">
        <f>IF(ISERROR(B39/SUM($B$32,$B$34,$B$35,$B$36,$B$38,$B$39)*100),0,B39/SUM($B$32,$B$34,$B$35,$B$36,$B$38,$B$39)*100)</f>
        <v>33.59579306424105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1541</v>
      </c>
      <c r="C44" s="34" t="s">
        <v>110</v>
      </c>
      <c r="D44" s="174"/>
    </row>
    <row r="45" spans="1:7">
      <c r="A45" s="171" t="s">
        <v>71</v>
      </c>
      <c r="B45" s="33" t="str">
        <f t="shared" si="0"/>
        <v>-</v>
      </c>
      <c r="C45" s="34" t="s">
        <v>110</v>
      </c>
      <c r="D45" s="174"/>
    </row>
    <row r="46" spans="1:7">
      <c r="A46" s="171" t="s">
        <v>72</v>
      </c>
      <c r="B46" s="33">
        <f t="shared" si="0"/>
        <v>123.25246548323469</v>
      </c>
      <c r="C46" s="34" t="s">
        <v>110</v>
      </c>
      <c r="D46" s="174"/>
    </row>
    <row r="47" spans="1:7">
      <c r="A47" s="171" t="s">
        <v>73</v>
      </c>
      <c r="B47" s="33">
        <f t="shared" si="0"/>
        <v>600.66074950690324</v>
      </c>
      <c r="C47" s="34" t="s">
        <v>110</v>
      </c>
      <c r="D47" s="174"/>
    </row>
    <row r="48" spans="1:7">
      <c r="A48" s="171" t="s">
        <v>74</v>
      </c>
      <c r="B48" s="33">
        <f t="shared" si="0"/>
        <v>67.086785009861927</v>
      </c>
      <c r="C48" s="33">
        <f>B48*10</f>
        <v>670.86785009861933</v>
      </c>
      <c r="D48" s="234"/>
    </row>
    <row r="49" spans="1:6">
      <c r="A49" s="171" t="s">
        <v>75</v>
      </c>
      <c r="B49" s="33" t="str">
        <f t="shared" si="0"/>
        <v>-</v>
      </c>
      <c r="C49" s="34" t="s">
        <v>110</v>
      </c>
      <c r="D49" s="234"/>
    </row>
    <row r="50" spans="1:6">
      <c r="A50" s="171" t="s">
        <v>76</v>
      </c>
      <c r="B50" s="33">
        <f t="shared" si="0"/>
        <v>4.0999999999999943</v>
      </c>
      <c r="C50" s="33">
        <f>B50*2</f>
        <v>8.1999999999999886</v>
      </c>
      <c r="D50" s="234"/>
    </row>
    <row r="51" spans="1:6">
      <c r="A51" s="171" t="s">
        <v>77</v>
      </c>
      <c r="B51" s="33">
        <f t="shared" si="0"/>
        <v>1181.9000000000001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7784.2812820659074</v>
      </c>
      <c r="C5" s="17">
        <f>IF(ISERROR('Eigen informatie GS &amp; warmtenet'!B60),0,'Eigen informatie GS &amp; warmtenet'!B60)</f>
        <v>0</v>
      </c>
      <c r="D5" s="30">
        <f>SUM(D6:D12)</f>
        <v>8259.9260031031226</v>
      </c>
      <c r="E5" s="17">
        <f>SUM(E6:E12)</f>
        <v>16.128768512974304</v>
      </c>
      <c r="F5" s="17">
        <f>SUM(F6:F12)</f>
        <v>1027.9228276027061</v>
      </c>
      <c r="G5" s="18"/>
      <c r="H5" s="17"/>
      <c r="I5" s="17"/>
      <c r="J5" s="17">
        <f>SUM(J6:J12)</f>
        <v>5.0533318911855111E-3</v>
      </c>
      <c r="K5" s="17"/>
      <c r="L5" s="17"/>
      <c r="M5" s="17"/>
      <c r="N5" s="17">
        <f>SUM(N6:N12)</f>
        <v>196.04452329907926</v>
      </c>
      <c r="O5" s="17">
        <f>B38*B39*B40</f>
        <v>9.7945215316823084</v>
      </c>
      <c r="P5" s="17">
        <f>B46*B47*B48/1000-B46*B47*B48/1000/B49</f>
        <v>0</v>
      </c>
      <c r="R5" s="32"/>
    </row>
    <row r="6" spans="1:18">
      <c r="A6" s="32" t="s">
        <v>53</v>
      </c>
      <c r="B6" s="37">
        <f>B26</f>
        <v>1961.26551156341</v>
      </c>
      <c r="C6" s="33"/>
      <c r="D6" s="37">
        <f>IF(ISERROR(TER_kantoor_gas_kWh/1000),0,TER_kantoor_gas_kWh/1000)*0.903</f>
        <v>2425.9704788079566</v>
      </c>
      <c r="E6" s="33">
        <f>$C$26*'E Balans VL '!I12/100/3.6*1000000</f>
        <v>0.46987259803655396</v>
      </c>
      <c r="F6" s="33">
        <f>$C$26*('E Balans VL '!L12+'E Balans VL '!N12)/100/3.6*1000000</f>
        <v>185.98450489367673</v>
      </c>
      <c r="G6" s="34"/>
      <c r="H6" s="33"/>
      <c r="I6" s="33"/>
      <c r="J6" s="33">
        <f>$C$26*('E Balans VL '!D12+'E Balans VL '!E12)/100/3.6*1000000</f>
        <v>0</v>
      </c>
      <c r="K6" s="33"/>
      <c r="L6" s="33"/>
      <c r="M6" s="33"/>
      <c r="N6" s="33">
        <f>$C$26*'E Balans VL '!Y12/100/3.6*1000000</f>
        <v>0.99622143597345947</v>
      </c>
      <c r="O6" s="33"/>
      <c r="P6" s="33"/>
      <c r="R6" s="32"/>
    </row>
    <row r="7" spans="1:18">
      <c r="A7" s="32" t="s">
        <v>52</v>
      </c>
      <c r="B7" s="37">
        <f t="shared" ref="B7:B12" si="0">B27</f>
        <v>864.63267636686601</v>
      </c>
      <c r="C7" s="33"/>
      <c r="D7" s="37">
        <f>IF(ISERROR(TER_horeca_gas_kWh/1000),0,TER_horeca_gas_kWh/1000)*0.903</f>
        <v>724.18370015213225</v>
      </c>
      <c r="E7" s="33">
        <f>$C$27*'E Balans VL '!I9/100/3.6*1000000</f>
        <v>0</v>
      </c>
      <c r="F7" s="33">
        <f>$C$27*('E Balans VL '!L9+'E Balans VL '!N9)/100/3.6*1000000</f>
        <v>70.897846979303651</v>
      </c>
      <c r="G7" s="34"/>
      <c r="H7" s="33"/>
      <c r="I7" s="33"/>
      <c r="J7" s="33">
        <f>$C$27*('E Balans VL '!D9+'E Balans VL '!E9)/100/3.6*1000000</f>
        <v>0</v>
      </c>
      <c r="K7" s="33"/>
      <c r="L7" s="33"/>
      <c r="M7" s="33"/>
      <c r="N7" s="33">
        <f>$C$27*'E Balans VL '!Y9/100/3.6*1000000</f>
        <v>0.26504465369988661</v>
      </c>
      <c r="O7" s="33"/>
      <c r="P7" s="33"/>
      <c r="R7" s="32"/>
    </row>
    <row r="8" spans="1:18">
      <c r="A8" s="6" t="s">
        <v>51</v>
      </c>
      <c r="B8" s="37">
        <f t="shared" si="0"/>
        <v>2370.3270583386397</v>
      </c>
      <c r="C8" s="33"/>
      <c r="D8" s="37">
        <f>IF(ISERROR(TER_handel_gas_kWh/1000),0,TER_handel_gas_kWh/1000)*0.903</f>
        <v>1587.8418697023446</v>
      </c>
      <c r="E8" s="33">
        <f>$C$28*'E Balans VL '!I13/100/3.6*1000000</f>
        <v>8.3304041004530127</v>
      </c>
      <c r="F8" s="33">
        <f>$C$28*('E Balans VL '!L13+'E Balans VL '!N13)/100/3.6*1000000</f>
        <v>216.88066912785203</v>
      </c>
      <c r="G8" s="34"/>
      <c r="H8" s="33"/>
      <c r="I8" s="33"/>
      <c r="J8" s="33">
        <f>$C$28*('E Balans VL '!D13+'E Balans VL '!E13)/100/3.6*1000000</f>
        <v>0</v>
      </c>
      <c r="K8" s="33"/>
      <c r="L8" s="33"/>
      <c r="M8" s="33"/>
      <c r="N8" s="33">
        <f>$C$28*'E Balans VL '!Y13/100/3.6*1000000</f>
        <v>0.85843041413134458</v>
      </c>
      <c r="O8" s="33"/>
      <c r="P8" s="33"/>
      <c r="R8" s="32"/>
    </row>
    <row r="9" spans="1:18">
      <c r="A9" s="32" t="s">
        <v>50</v>
      </c>
      <c r="B9" s="37">
        <f t="shared" si="0"/>
        <v>1196.30402836946</v>
      </c>
      <c r="C9" s="33"/>
      <c r="D9" s="37">
        <f>IF(ISERROR(TER_gezond_gas_kWh/1000),0,TER_gezond_gas_kWh/1000)*0.903</f>
        <v>1530.3810777716899</v>
      </c>
      <c r="E9" s="33">
        <f>$C$29*'E Balans VL '!I10/100/3.6*1000000</f>
        <v>0</v>
      </c>
      <c r="F9" s="33">
        <f>$C$29*('E Balans VL '!L10+'E Balans VL '!N10)/100/3.6*1000000</f>
        <v>146.64490620909598</v>
      </c>
      <c r="G9" s="34"/>
      <c r="H9" s="33"/>
      <c r="I9" s="33"/>
      <c r="J9" s="33">
        <f>$C$29*('E Balans VL '!D10+'E Balans VL '!E10)/100/3.6*1000000</f>
        <v>0</v>
      </c>
      <c r="K9" s="33"/>
      <c r="L9" s="33"/>
      <c r="M9" s="33"/>
      <c r="N9" s="33">
        <f>$C$29*'E Balans VL '!Y10/100/3.6*1000000</f>
        <v>8.8219085589780768</v>
      </c>
      <c r="O9" s="33"/>
      <c r="P9" s="33"/>
      <c r="R9" s="32"/>
    </row>
    <row r="10" spans="1:18">
      <c r="A10" s="32" t="s">
        <v>49</v>
      </c>
      <c r="B10" s="37">
        <f t="shared" si="0"/>
        <v>511.68731673714598</v>
      </c>
      <c r="C10" s="33"/>
      <c r="D10" s="37">
        <f>IF(ISERROR(TER_ander_gas_kWh/1000),0,TER_ander_gas_kWh/1000)*0.903</f>
        <v>725.74170288020946</v>
      </c>
      <c r="E10" s="33">
        <f>$C$30*'E Balans VL '!I14/100/3.6*1000000</f>
        <v>7.3284918144847353</v>
      </c>
      <c r="F10" s="33">
        <f>$C$30*('E Balans VL '!L14+'E Balans VL '!N14)/100/3.6*1000000</f>
        <v>304.6248578774543</v>
      </c>
      <c r="G10" s="34"/>
      <c r="H10" s="33"/>
      <c r="I10" s="33"/>
      <c r="J10" s="33">
        <f>$C$30*('E Balans VL '!D14+'E Balans VL '!E14)/100/3.6*1000000</f>
        <v>5.0533318911855111E-3</v>
      </c>
      <c r="K10" s="33"/>
      <c r="L10" s="33"/>
      <c r="M10" s="33"/>
      <c r="N10" s="33">
        <f>$C$30*'E Balans VL '!Y14/100/3.6*1000000</f>
        <v>182.62475712621207</v>
      </c>
      <c r="O10" s="33"/>
      <c r="P10" s="33"/>
      <c r="R10" s="32"/>
    </row>
    <row r="11" spans="1:18">
      <c r="A11" s="32" t="s">
        <v>54</v>
      </c>
      <c r="B11" s="37">
        <f t="shared" si="0"/>
        <v>880.06469069038599</v>
      </c>
      <c r="C11" s="33"/>
      <c r="D11" s="37">
        <f>IF(ISERROR(TER_onderwijs_gas_kWh/1000),0,TER_onderwijs_gas_kWh/1000)*0.903</f>
        <v>1265.8071737887906</v>
      </c>
      <c r="E11" s="33">
        <f>$C$31*'E Balans VL '!I11/100/3.6*1000000</f>
        <v>0</v>
      </c>
      <c r="F11" s="33">
        <f>$C$31*('E Balans VL '!L11+'E Balans VL '!N11)/100/3.6*1000000</f>
        <v>102.89004251532333</v>
      </c>
      <c r="G11" s="34"/>
      <c r="H11" s="33"/>
      <c r="I11" s="33"/>
      <c r="J11" s="33">
        <f>$C$31*('E Balans VL '!D11+'E Balans VL '!E11)/100/3.6*1000000</f>
        <v>0</v>
      </c>
      <c r="K11" s="33"/>
      <c r="L11" s="33"/>
      <c r="M11" s="33"/>
      <c r="N11" s="33">
        <f>$C$31*'E Balans VL '!Y11/100/3.6*1000000</f>
        <v>2.4781611100844008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7784.2812820659074</v>
      </c>
      <c r="C16" s="21">
        <f t="shared" ca="1" si="1"/>
        <v>0</v>
      </c>
      <c r="D16" s="21">
        <f t="shared" ca="1" si="1"/>
        <v>8259.9260031031226</v>
      </c>
      <c r="E16" s="21">
        <f t="shared" si="1"/>
        <v>16.128768512974304</v>
      </c>
      <c r="F16" s="21">
        <f t="shared" ca="1" si="1"/>
        <v>1027.9228276027061</v>
      </c>
      <c r="G16" s="21">
        <f t="shared" si="1"/>
        <v>0</v>
      </c>
      <c r="H16" s="21">
        <f t="shared" si="1"/>
        <v>0</v>
      </c>
      <c r="I16" s="21">
        <f t="shared" si="1"/>
        <v>0</v>
      </c>
      <c r="J16" s="21">
        <f t="shared" si="1"/>
        <v>5.0533318911855111E-3</v>
      </c>
      <c r="K16" s="21">
        <f t="shared" si="1"/>
        <v>0</v>
      </c>
      <c r="L16" s="21">
        <f t="shared" ca="1" si="1"/>
        <v>0</v>
      </c>
      <c r="M16" s="21">
        <f t="shared" si="1"/>
        <v>0</v>
      </c>
      <c r="N16" s="21">
        <f t="shared" ca="1" si="1"/>
        <v>196.04452329907926</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0.20038188414988109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1559.8289500530184</v>
      </c>
      <c r="C20" s="23">
        <f t="shared" ref="C20:P20" ca="1" si="2">C16*C18</f>
        <v>0</v>
      </c>
      <c r="D20" s="23">
        <f t="shared" ca="1" si="2"/>
        <v>1668.5050526268308</v>
      </c>
      <c r="E20" s="23">
        <f t="shared" si="2"/>
        <v>3.6612304524451673</v>
      </c>
      <c r="F20" s="23">
        <f t="shared" ca="1" si="2"/>
        <v>274.45539496992257</v>
      </c>
      <c r="G20" s="23">
        <f t="shared" si="2"/>
        <v>0</v>
      </c>
      <c r="H20" s="23">
        <f t="shared" si="2"/>
        <v>0</v>
      </c>
      <c r="I20" s="23">
        <f t="shared" si="2"/>
        <v>0</v>
      </c>
      <c r="J20" s="23">
        <f t="shared" si="2"/>
        <v>1.7888794894796709E-3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1961.26551156341</v>
      </c>
      <c r="C26" s="39">
        <f>IF(ISERROR(B26*3.6/1000000/'E Balans VL '!Z12*100),0,B26*3.6/1000000/'E Balans VL '!Z12*100)</f>
        <v>5.5312881120120436E-2</v>
      </c>
      <c r="D26" s="237" t="s">
        <v>702</v>
      </c>
      <c r="F26" s="6"/>
    </row>
    <row r="27" spans="1:18">
      <c r="A27" s="231" t="s">
        <v>52</v>
      </c>
      <c r="B27" s="33">
        <f>IF(ISERROR(TER_horeca_ele_kWh/1000),0,TER_horeca_ele_kWh/1000)</f>
        <v>864.63267636686601</v>
      </c>
      <c r="C27" s="39">
        <f>IF(ISERROR(B27*3.6/1000000/'E Balans VL '!Z9*100),0,B27*3.6/1000000/'E Balans VL '!Z9*100)</f>
        <v>6.4101891219251167E-2</v>
      </c>
      <c r="D27" s="237" t="s">
        <v>702</v>
      </c>
      <c r="F27" s="6"/>
    </row>
    <row r="28" spans="1:18">
      <c r="A28" s="171" t="s">
        <v>51</v>
      </c>
      <c r="B28" s="33">
        <f>IF(ISERROR(TER_handel_ele_kWh/1000),0,TER_handel_ele_kWh/1000)</f>
        <v>2370.3270583386397</v>
      </c>
      <c r="C28" s="39">
        <f>IF(ISERROR(B28*3.6/1000000/'E Balans VL '!Z13*100),0,B28*3.6/1000000/'E Balans VL '!Z13*100)</f>
        <v>7.100936300483246E-2</v>
      </c>
      <c r="D28" s="237" t="s">
        <v>702</v>
      </c>
      <c r="F28" s="6"/>
    </row>
    <row r="29" spans="1:18">
      <c r="A29" s="231" t="s">
        <v>50</v>
      </c>
      <c r="B29" s="33">
        <f>IF(ISERROR(TER_gezond_ele_kWh/1000),0,TER_gezond_ele_kWh/1000)</f>
        <v>1196.30402836946</v>
      </c>
      <c r="C29" s="39">
        <f>IF(ISERROR(B29*3.6/1000000/'E Balans VL '!Z10*100),0,B29*3.6/1000000/'E Balans VL '!Z10*100)</f>
        <v>0.11829101121427739</v>
      </c>
      <c r="D29" s="237" t="s">
        <v>702</v>
      </c>
      <c r="F29" s="6"/>
    </row>
    <row r="30" spans="1:18">
      <c r="A30" s="231" t="s">
        <v>49</v>
      </c>
      <c r="B30" s="33">
        <f>IF(ISERROR(TER_ander_ele_kWh/1000),0,TER_ander_ele_kWh/1000)</f>
        <v>511.68731673714598</v>
      </c>
      <c r="C30" s="39">
        <f>IF(ISERROR(B30*3.6/1000000/'E Balans VL '!Z14*100),0,B30*3.6/1000000/'E Balans VL '!Z14*100)</f>
        <v>2.0696239827380929E-2</v>
      </c>
      <c r="D30" s="237" t="s">
        <v>702</v>
      </c>
      <c r="F30" s="6"/>
    </row>
    <row r="31" spans="1:18">
      <c r="A31" s="231" t="s">
        <v>54</v>
      </c>
      <c r="B31" s="33">
        <f>IF(ISERROR(TER_onderwijs_ele_kWh/1000),0,TER_onderwijs_ele_kWh/1000)</f>
        <v>880.06469069038599</v>
      </c>
      <c r="C31" s="39">
        <f>IF(ISERROR(B31*3.6/1000000/'E Balans VL '!Z11*100),0,B31*3.6/1000000/'E Balans VL '!Z11*100)</f>
        <v>0.2417922598415867</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2187.4486400586643</v>
      </c>
      <c r="C5" s="17">
        <f>IF(ISERROR('Eigen informatie GS &amp; warmtenet'!B61),0,'Eigen informatie GS &amp; warmtenet'!B61)</f>
        <v>0</v>
      </c>
      <c r="D5" s="30">
        <f>SUM(D6:D15)</f>
        <v>2083.8907218092272</v>
      </c>
      <c r="E5" s="17">
        <f>SUM(E6:E15)</f>
        <v>5.2231974643924097</v>
      </c>
      <c r="F5" s="17">
        <f>SUM(F6:F15)</f>
        <v>586.36868718685332</v>
      </c>
      <c r="G5" s="18"/>
      <c r="H5" s="17"/>
      <c r="I5" s="17"/>
      <c r="J5" s="17">
        <f>SUM(J6:J15)</f>
        <v>8.0439954482161027E-2</v>
      </c>
      <c r="K5" s="17"/>
      <c r="L5" s="17"/>
      <c r="M5" s="17"/>
      <c r="N5" s="17">
        <f>SUM(N6:N15)</f>
        <v>72.575594446617856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48.882182168106006</v>
      </c>
      <c r="C8" s="33"/>
      <c r="D8" s="37">
        <f>IF( ISERROR(IND_metaal_Gas_kWH/1000),0,IND_metaal_Gas_kWH/1000)*0.903</f>
        <v>0</v>
      </c>
      <c r="E8" s="33">
        <f>C30*'E Balans VL '!I18/100/3.6*1000000</f>
        <v>0.24647249142177916</v>
      </c>
      <c r="F8" s="33">
        <f>C30*'E Balans VL '!L18/100/3.6*1000000+C30*'E Balans VL '!N18/100/3.6*1000000</f>
        <v>3.3397305740703667</v>
      </c>
      <c r="G8" s="34"/>
      <c r="H8" s="33"/>
      <c r="I8" s="33"/>
      <c r="J8" s="40">
        <f>C30*'E Balans VL '!D18/100/3.6*1000000+C30*'E Balans VL '!E18/100/3.6*1000000</f>
        <v>4.3338224195881028E-2</v>
      </c>
      <c r="K8" s="33"/>
      <c r="L8" s="33"/>
      <c r="M8" s="33"/>
      <c r="N8" s="33">
        <f>C30*'E Balans VL '!Y18/100/3.6*1000000</f>
        <v>0.6496444911067728</v>
      </c>
      <c r="O8" s="33"/>
      <c r="P8" s="33"/>
      <c r="R8" s="32"/>
    </row>
    <row r="9" spans="1:18">
      <c r="A9" s="6" t="s">
        <v>32</v>
      </c>
      <c r="B9" s="37">
        <f t="shared" si="0"/>
        <v>922.56895351058608</v>
      </c>
      <c r="C9" s="33"/>
      <c r="D9" s="37">
        <f>IF( ISERROR(IND_andere_gas_kWh/1000),0,IND_andere_gas_kWh/1000)*0.903</f>
        <v>2023.7327351134129</v>
      </c>
      <c r="E9" s="33">
        <f>C31*'E Balans VL '!I19/100/3.6*1000000</f>
        <v>2.9081553844614119</v>
      </c>
      <c r="F9" s="33">
        <f>C31*'E Balans VL '!L19/100/3.6*1000000+C31*'E Balans VL '!N19/100/3.6*1000000</f>
        <v>564.75791127781326</v>
      </c>
      <c r="G9" s="34"/>
      <c r="H9" s="33"/>
      <c r="I9" s="33"/>
      <c r="J9" s="40">
        <f>C31*'E Balans VL '!D19/100/3.6*1000000+C31*'E Balans VL '!E19/100/3.6*1000000</f>
        <v>0</v>
      </c>
      <c r="K9" s="33"/>
      <c r="L9" s="33"/>
      <c r="M9" s="33"/>
      <c r="N9" s="33">
        <f>C31*'E Balans VL '!Y19/100/3.6*1000000</f>
        <v>38.684568904071988</v>
      </c>
      <c r="O9" s="33"/>
      <c r="P9" s="33"/>
      <c r="R9" s="32"/>
    </row>
    <row r="10" spans="1:18">
      <c r="A10" s="6" t="s">
        <v>40</v>
      </c>
      <c r="B10" s="37">
        <f t="shared" si="0"/>
        <v>1043.84694679018</v>
      </c>
      <c r="C10" s="33"/>
      <c r="D10" s="37">
        <f>IF( ISERROR(IND_voed_gas_kWh/1000),0,IND_voed_gas_kWh/1000)*0.903</f>
        <v>0</v>
      </c>
      <c r="E10" s="33">
        <f>C32*'E Balans VL '!I20/100/3.6*1000000</f>
        <v>1.6635988758607261</v>
      </c>
      <c r="F10" s="33">
        <f>C32*'E Balans VL '!L20/100/3.6*1000000+C32*'E Balans VL '!N20/100/3.6*1000000</f>
        <v>16.959977093664239</v>
      </c>
      <c r="G10" s="34"/>
      <c r="H10" s="33"/>
      <c r="I10" s="33"/>
      <c r="J10" s="40">
        <f>C32*'E Balans VL '!D20/100/3.6*1000000+C32*'E Balans VL '!E20/100/3.6*1000000</f>
        <v>0</v>
      </c>
      <c r="K10" s="33"/>
      <c r="L10" s="33"/>
      <c r="M10" s="33"/>
      <c r="N10" s="33">
        <f>C32*'E Balans VL '!Y20/100/3.6*1000000</f>
        <v>32.969899939515145</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156.08398011082699</v>
      </c>
      <c r="C13" s="33"/>
      <c r="D13" s="37">
        <f>IF( ISERROR(IND_papier_gas_kWh/1000),0,IND_papier_gas_kWh/1000)*0.903</f>
        <v>0</v>
      </c>
      <c r="E13" s="33">
        <f>C35*'E Balans VL '!I23/100/3.6*1000000</f>
        <v>0</v>
      </c>
      <c r="F13" s="33">
        <f>C35*'E Balans VL '!L23/100/3.6*1000000+C35*'E Balans VL '!N23/100/3.6*1000000</f>
        <v>6.7622837901566545E-3</v>
      </c>
      <c r="G13" s="34"/>
      <c r="H13" s="33"/>
      <c r="I13" s="33"/>
      <c r="J13" s="40">
        <f>C35*'E Balans VL '!D23/100/3.6*1000000+C35*'E Balans VL '!E23/100/3.6*1000000</f>
        <v>4.3008580574556204E-3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16.066577478965499</v>
      </c>
      <c r="C15" s="33"/>
      <c r="D15" s="37">
        <f>IF( ISERROR(IND_rest_gas_kWh/1000),0,IND_rest_gas_kWh/1000)*0.903</f>
        <v>60.157986695814493</v>
      </c>
      <c r="E15" s="33">
        <f>C37*'E Balans VL '!I15/100/3.6*1000000</f>
        <v>0.40497071264849305</v>
      </c>
      <c r="F15" s="33">
        <f>C37*'E Balans VL '!L15/100/3.6*1000000+C37*'E Balans VL '!N15/100/3.6*1000000</f>
        <v>1.3043059575152613</v>
      </c>
      <c r="G15" s="34"/>
      <c r="H15" s="33"/>
      <c r="I15" s="33"/>
      <c r="J15" s="40">
        <f>C37*'E Balans VL '!D15/100/3.6*1000000+C37*'E Balans VL '!E15/100/3.6*1000000</f>
        <v>3.2800872228824378E-2</v>
      </c>
      <c r="K15" s="33"/>
      <c r="L15" s="33"/>
      <c r="M15" s="33"/>
      <c r="N15" s="33">
        <f>C37*'E Balans VL '!Y15/100/3.6*1000000</f>
        <v>0.2714811119239533</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2187.4486400586643</v>
      </c>
      <c r="C18" s="21">
        <f>C5+C16</f>
        <v>0</v>
      </c>
      <c r="D18" s="21">
        <f>MAX((D5+D16),0)</f>
        <v>2083.8907218092272</v>
      </c>
      <c r="E18" s="21">
        <f>MAX((E5+E16),0)</f>
        <v>5.2231974643924097</v>
      </c>
      <c r="F18" s="21">
        <f>MAX((F5+F16),0)</f>
        <v>586.36868718685332</v>
      </c>
      <c r="G18" s="21"/>
      <c r="H18" s="21"/>
      <c r="I18" s="21"/>
      <c r="J18" s="21">
        <f>MAX((J5+J16),0)</f>
        <v>8.0439954482161027E-2</v>
      </c>
      <c r="K18" s="21"/>
      <c r="L18" s="21">
        <f>MAX((L5+L16),0)</f>
        <v>0</v>
      </c>
      <c r="M18" s="21"/>
      <c r="N18" s="21">
        <f>MAX((N5+N16),0)</f>
        <v>72.575594446617856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0.20038188414988109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438.32507997605023</v>
      </c>
      <c r="C22" s="23">
        <f ca="1">C18*C20</f>
        <v>0</v>
      </c>
      <c r="D22" s="23">
        <f>D18*D20</f>
        <v>420.9459258054639</v>
      </c>
      <c r="E22" s="23">
        <f>E18*E20</f>
        <v>1.185665824417077</v>
      </c>
      <c r="F22" s="23">
        <f>F18*F20</f>
        <v>156.56043947888983</v>
      </c>
      <c r="G22" s="23"/>
      <c r="H22" s="23"/>
      <c r="I22" s="23"/>
      <c r="J22" s="23">
        <f>J18*J20</f>
        <v>2.8475743886685001E-2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48.882182168106006</v>
      </c>
      <c r="C30" s="39">
        <f>IF(ISERROR(B30*3.6/1000000/'E Balans VL '!Z18*100),0,B30*3.6/1000000/'E Balans VL '!Z18*100)</f>
        <v>2.4264013546682929E-3</v>
      </c>
      <c r="D30" s="237" t="s">
        <v>702</v>
      </c>
    </row>
    <row r="31" spans="1:18">
      <c r="A31" s="6" t="s">
        <v>32</v>
      </c>
      <c r="B31" s="37">
        <f>IF( ISERROR(IND_ander_ele_kWh/1000),0,IND_ander_ele_kWh/1000)</f>
        <v>922.56895351058608</v>
      </c>
      <c r="C31" s="39">
        <f>IF(ISERROR(B31*3.6/1000000/'E Balans VL '!Z19*100),0,B31*3.6/1000000/'E Balans VL '!Z19*100)</f>
        <v>3.1131974645148115E-2</v>
      </c>
      <c r="D31" s="237" t="s">
        <v>702</v>
      </c>
    </row>
    <row r="32" spans="1:18">
      <c r="A32" s="171" t="s">
        <v>40</v>
      </c>
      <c r="B32" s="37">
        <f>IF( ISERROR(IND_voed_ele_kWh/1000),0,IND_voed_ele_kWh/1000)</f>
        <v>1043.84694679018</v>
      </c>
      <c r="C32" s="39">
        <f>IF(ISERROR(B32*3.6/1000000/'E Balans VL '!Z20*100),0,B32*3.6/1000000/'E Balans VL '!Z20*100)</f>
        <v>2.4514028506321416E-2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156.08398011082699</v>
      </c>
      <c r="C35" s="39">
        <f>IF(ISERROR(B35*3.6/1000000/'E Balans VL '!Z22*100),0,B35*3.6/1000000/'E Balans VL '!Z22*100)</f>
        <v>2.2143752655664997E-2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16.066577478965499</v>
      </c>
      <c r="C37" s="39">
        <f>IF(ISERROR(B37*3.6/1000000/'E Balans VL '!Z15*100),0,B37*3.6/1000000/'E Balans VL '!Z15*100)</f>
        <v>6.0209968289692831E-5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713.15325630572408</v>
      </c>
      <c r="C5" s="17">
        <f>'Eigen informatie GS &amp; warmtenet'!B62</f>
        <v>0</v>
      </c>
      <c r="D5" s="30">
        <f>IF(ISERROR(SUM(LB_lb_gas_kWh,LB_rest_gas_kWh)/1000),0,SUM(LB_lb_gas_kWh,LB_rest_gas_kWh)/1000)*0.903</f>
        <v>2796.5402515545757</v>
      </c>
      <c r="E5" s="17">
        <f>B17*'E Balans VL '!I25/3.6*1000000/100</f>
        <v>26.595666307841029</v>
      </c>
      <c r="F5" s="17">
        <f>B17*('E Balans VL '!L25/3.6*1000000+'E Balans VL '!N25/3.6*1000000)/100</f>
        <v>2313.7447367214127</v>
      </c>
      <c r="G5" s="18"/>
      <c r="H5" s="17"/>
      <c r="I5" s="17"/>
      <c r="J5" s="17">
        <f>('E Balans VL '!D25+'E Balans VL '!E25)/3.6*1000000*landbouw!B17/100</f>
        <v>187.20625055165092</v>
      </c>
      <c r="K5" s="17"/>
      <c r="L5" s="17">
        <f>L6*(-1)</f>
        <v>0</v>
      </c>
      <c r="M5" s="17"/>
      <c r="N5" s="17">
        <f>N6*(-1)</f>
        <v>124.71428571428569</v>
      </c>
      <c r="O5" s="17"/>
      <c r="P5" s="17"/>
      <c r="R5" s="32"/>
    </row>
    <row r="6" spans="1:18">
      <c r="A6" s="16" t="s">
        <v>479</v>
      </c>
      <c r="B6" s="17" t="s">
        <v>210</v>
      </c>
      <c r="C6" s="17">
        <f>'lokale energieproductie'!O39+'lokale energieproductie'!O32</f>
        <v>62.357142857142847</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713.15325630572408</v>
      </c>
      <c r="C8" s="21">
        <f>C5+C6</f>
        <v>62.357142857142847</v>
      </c>
      <c r="D8" s="21">
        <f>MAX((D5+D6),0)</f>
        <v>2796.5402515545757</v>
      </c>
      <c r="E8" s="21">
        <f>MAX((E5+E6),0)</f>
        <v>26.595666307841029</v>
      </c>
      <c r="F8" s="21">
        <f>MAX((F5+F6),0)</f>
        <v>2313.7447367214127</v>
      </c>
      <c r="G8" s="21"/>
      <c r="H8" s="21"/>
      <c r="I8" s="21"/>
      <c r="J8" s="21">
        <f>MAX((J5+J6),0)</f>
        <v>187.20625055165092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0.20038188414988109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142.90299318616405</v>
      </c>
      <c r="C12" s="23">
        <f ca="1">C8*C10</f>
        <v>0</v>
      </c>
      <c r="D12" s="23">
        <f>D8*D10</f>
        <v>564.90113081402433</v>
      </c>
      <c r="E12" s="23">
        <f>E8*E10</f>
        <v>6.0372162518799133</v>
      </c>
      <c r="F12" s="23">
        <f>F8*F10</f>
        <v>617.76984470461719</v>
      </c>
      <c r="G12" s="23"/>
      <c r="H12" s="23"/>
      <c r="I12" s="23"/>
      <c r="J12" s="23">
        <f>J8*J10</f>
        <v>66.271012695284426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9.7949738767079575E-2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233.70674188204907</v>
      </c>
      <c r="C26" s="247">
        <f>B26*'GWP N2O_CH4'!B5</f>
        <v>4907.8415795230303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31.789375974846124</v>
      </c>
      <c r="C27" s="247">
        <f>B27*'GWP N2O_CH4'!B5</f>
        <v>667.57689547176858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2.7395954168710608</v>
      </c>
      <c r="C28" s="247">
        <f>B28*'GWP N2O_CH4'!B4</f>
        <v>849.27457923002885</v>
      </c>
      <c r="D28" s="50"/>
    </row>
    <row r="29" spans="1:4">
      <c r="A29" s="41" t="s">
        <v>276</v>
      </c>
      <c r="B29" s="247">
        <f>B34*'ha_N2O bodem landbouw'!B4</f>
        <v>12.048641282108452</v>
      </c>
      <c r="C29" s="247">
        <f>B29*'GWP N2O_CH4'!B4</f>
        <v>3735.0787974536202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2.7459197568453814E-3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2.5806981330638305E-4</v>
      </c>
      <c r="C5" s="440" t="s">
        <v>210</v>
      </c>
      <c r="D5" s="425">
        <f>SUM(D6:D11)</f>
        <v>1.245275058023655E-3</v>
      </c>
      <c r="E5" s="425">
        <f>SUM(E6:E11)</f>
        <v>6.5613014477536769E-4</v>
      </c>
      <c r="F5" s="438" t="s">
        <v>210</v>
      </c>
      <c r="G5" s="425">
        <f>SUM(G6:G11)</f>
        <v>0.24314591652980833</v>
      </c>
      <c r="H5" s="425">
        <f>SUM(H6:H11)</f>
        <v>7.8963020686744545E-2</v>
      </c>
      <c r="I5" s="440" t="s">
        <v>210</v>
      </c>
      <c r="J5" s="440" t="s">
        <v>210</v>
      </c>
      <c r="K5" s="440" t="s">
        <v>210</v>
      </c>
      <c r="L5" s="440" t="s">
        <v>210</v>
      </c>
      <c r="M5" s="425">
        <f>SUM(M6:M11)</f>
        <v>1.917872585569172E-2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1.3330474805367269E-4</v>
      </c>
      <c r="C6" s="426"/>
      <c r="D6" s="893">
        <f>vkm_GW_PW*SUMIFS(TableVerdeelsleutelVkm[CNG],TableVerdeelsleutelVkm[Voertuigtype],"Lichte voertuigen")*SUMIFS(TableECFTransport[EnergieConsumptieFactor (PJ per km)],TableECFTransport[Index],CONCATENATE($A6,"_CNG_CNG"))</f>
        <v>4.8145606937669342E-4</v>
      </c>
      <c r="E6" s="893">
        <f>vkm_GW_PW*SUMIFS(TableVerdeelsleutelVkm[LPG],TableVerdeelsleutelVkm[Voertuigtype],"Lichte voertuigen")*SUMIFS(TableECFTransport[EnergieConsumptieFactor (PJ per km)],TableECFTransport[Index],CONCATENATE($A6,"_LPG_LPG"))</f>
        <v>2.6165901536533641E-4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8.1426673410930531E-2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3.0816726444678141E-2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6.7267289333303804E-3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2.9287860951637275E-2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3.0832921707001667E-7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1.6489524462942836E-3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1.2476506525271034E-4</v>
      </c>
      <c r="C8" s="426"/>
      <c r="D8" s="428">
        <f>vkm_NGW_PW*SUMIFS(TableVerdeelsleutelVkm[CNG],TableVerdeelsleutelVkm[Voertuigtype],"Lichte voertuigen")*SUMIFS(TableECFTransport[EnergieConsumptieFactor (PJ per km)],TableECFTransport[Index],CONCATENATE($A8,"_CNG_CNG"))</f>
        <v>7.638189886469617E-4</v>
      </c>
      <c r="E8" s="428">
        <f>vkm_NGW_PW*SUMIFS(TableVerdeelsleutelVkm[LPG],TableVerdeelsleutelVkm[Voertuigtype],"Lichte voertuigen")*SUMIFS(TableECFTransport[EnergieConsumptieFactor (PJ per km)],TableECFTransport[Index],CONCATENATE($A8,"_LPG_LPG"))</f>
        <v>3.9447112941003127E-4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0.11423893643651417</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4.8145707735973618E-2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9.7787752617382491E-3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1.8192445730726352E-2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2.7817687571585673E-7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1.0242692143288042E-3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71.686059251773074</v>
      </c>
      <c r="C14" s="21"/>
      <c r="D14" s="21">
        <f t="shared" ref="D14:M14" si="0">((D5)*10^9/3600)+D12</f>
        <v>345.90973833990421</v>
      </c>
      <c r="E14" s="21">
        <f t="shared" si="0"/>
        <v>182.25837354871325</v>
      </c>
      <c r="F14" s="21"/>
      <c r="G14" s="21">
        <f t="shared" si="0"/>
        <v>67540.532369391192</v>
      </c>
      <c r="H14" s="21">
        <f t="shared" si="0"/>
        <v>21934.172412984593</v>
      </c>
      <c r="I14" s="21"/>
      <c r="J14" s="21"/>
      <c r="K14" s="21"/>
      <c r="L14" s="21"/>
      <c r="M14" s="21">
        <f t="shared" si="0"/>
        <v>5327.4238488032552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0.20038188414988109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14.364587620150303</v>
      </c>
      <c r="C18" s="23"/>
      <c r="D18" s="23">
        <f t="shared" ref="D18:M18" si="1">D14*D16</f>
        <v>69.873767144660661</v>
      </c>
      <c r="E18" s="23">
        <f t="shared" si="1"/>
        <v>41.372650795557909</v>
      </c>
      <c r="F18" s="23"/>
      <c r="G18" s="23">
        <f t="shared" si="1"/>
        <v>18033.32214262745</v>
      </c>
      <c r="H18" s="23">
        <f t="shared" si="1"/>
        <v>5461.6089308331639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6.077282721195571E-3</v>
      </c>
      <c r="H50" s="321">
        <f t="shared" si="2"/>
        <v>0</v>
      </c>
      <c r="I50" s="321">
        <f t="shared" si="2"/>
        <v>0</v>
      </c>
      <c r="J50" s="321">
        <f t="shared" si="2"/>
        <v>0</v>
      </c>
      <c r="K50" s="321">
        <f t="shared" si="2"/>
        <v>0</v>
      </c>
      <c r="L50" s="321">
        <f t="shared" si="2"/>
        <v>0</v>
      </c>
      <c r="M50" s="321">
        <f t="shared" si="2"/>
        <v>3.2978797415274112E-4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6.077282721195571E-3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3.2978797415274112E-4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1688.1340892209919</v>
      </c>
      <c r="H54" s="21">
        <f t="shared" si="3"/>
        <v>0</v>
      </c>
      <c r="I54" s="21">
        <f t="shared" si="3"/>
        <v>0</v>
      </c>
      <c r="J54" s="21">
        <f t="shared" si="3"/>
        <v>0</v>
      </c>
      <c r="K54" s="21">
        <f t="shared" si="3"/>
        <v>0</v>
      </c>
      <c r="L54" s="21">
        <f t="shared" si="3"/>
        <v>0</v>
      </c>
      <c r="M54" s="21">
        <f t="shared" si="3"/>
        <v>91.607770597983645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0.20038188414988109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450.73180182200485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8353.0782820659078</v>
      </c>
      <c r="D10" s="689">
        <f ca="1">tertiair!C16</f>
        <v>0</v>
      </c>
      <c r="E10" s="689">
        <f ca="1">tertiair!D16</f>
        <v>8259.9260031031226</v>
      </c>
      <c r="F10" s="689">
        <f>tertiair!E16</f>
        <v>16.128768512974304</v>
      </c>
      <c r="G10" s="689">
        <f ca="1">tertiair!F16</f>
        <v>1027.9228276027061</v>
      </c>
      <c r="H10" s="689">
        <f>tertiair!G16</f>
        <v>0</v>
      </c>
      <c r="I10" s="689">
        <f>tertiair!H16</f>
        <v>0</v>
      </c>
      <c r="J10" s="689">
        <f>tertiair!I16</f>
        <v>0</v>
      </c>
      <c r="K10" s="689">
        <f>tertiair!J16</f>
        <v>5.0533318911855111E-3</v>
      </c>
      <c r="L10" s="689">
        <f>tertiair!K16</f>
        <v>0</v>
      </c>
      <c r="M10" s="689">
        <f ca="1">tertiair!L16</f>
        <v>0</v>
      </c>
      <c r="N10" s="689">
        <f>tertiair!M16</f>
        <v>0</v>
      </c>
      <c r="O10" s="689">
        <f ca="1">tertiair!N16</f>
        <v>196.04452329907926</v>
      </c>
      <c r="P10" s="689">
        <f>tertiair!O16</f>
        <v>9.7945215316823084</v>
      </c>
      <c r="Q10" s="690">
        <f>tertiair!P16</f>
        <v>0</v>
      </c>
      <c r="R10" s="692">
        <f ca="1">SUM(C10:Q10)</f>
        <v>17862.899979447364</v>
      </c>
      <c r="S10" s="67"/>
    </row>
    <row r="11" spans="1:19" s="451" customFormat="1">
      <c r="A11" s="811" t="s">
        <v>224</v>
      </c>
      <c r="B11" s="816"/>
      <c r="C11" s="689">
        <f>huishoudens!B8</f>
        <v>17855.942902262614</v>
      </c>
      <c r="D11" s="689">
        <f>huishoudens!C8</f>
        <v>0</v>
      </c>
      <c r="E11" s="689">
        <f>huishoudens!D8</f>
        <v>24865.217561328256</v>
      </c>
      <c r="F11" s="689">
        <f>huishoudens!E8</f>
        <v>4432.2705436161796</v>
      </c>
      <c r="G11" s="689">
        <f>huishoudens!F8</f>
        <v>24512.740657064041</v>
      </c>
      <c r="H11" s="689">
        <f>huishoudens!G8</f>
        <v>0</v>
      </c>
      <c r="I11" s="689">
        <f>huishoudens!H8</f>
        <v>0</v>
      </c>
      <c r="J11" s="689">
        <f>huishoudens!I8</f>
        <v>0</v>
      </c>
      <c r="K11" s="689">
        <f>huishoudens!J8</f>
        <v>57.578690484331815</v>
      </c>
      <c r="L11" s="689">
        <f>huishoudens!K8</f>
        <v>0</v>
      </c>
      <c r="M11" s="689">
        <f>huishoudens!L8</f>
        <v>0</v>
      </c>
      <c r="N11" s="689">
        <f>huishoudens!M8</f>
        <v>0</v>
      </c>
      <c r="O11" s="689">
        <f>huishoudens!N8</f>
        <v>4521.8741155923417</v>
      </c>
      <c r="P11" s="689">
        <f>huishoudens!O8</f>
        <v>184.50811440299395</v>
      </c>
      <c r="Q11" s="690">
        <f>huishoudens!P8</f>
        <v>516.16400607656612</v>
      </c>
      <c r="R11" s="692">
        <f>SUM(C11:Q11)</f>
        <v>76946.296590827333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2187.4486400586643</v>
      </c>
      <c r="D13" s="689">
        <f>industrie!C18</f>
        <v>0</v>
      </c>
      <c r="E13" s="689">
        <f>industrie!D18</f>
        <v>2083.8907218092272</v>
      </c>
      <c r="F13" s="689">
        <f>industrie!E18</f>
        <v>5.2231974643924097</v>
      </c>
      <c r="G13" s="689">
        <f>industrie!F18</f>
        <v>586.36868718685332</v>
      </c>
      <c r="H13" s="689">
        <f>industrie!G18</f>
        <v>0</v>
      </c>
      <c r="I13" s="689">
        <f>industrie!H18</f>
        <v>0</v>
      </c>
      <c r="J13" s="689">
        <f>industrie!I18</f>
        <v>0</v>
      </c>
      <c r="K13" s="689">
        <f>industrie!J18</f>
        <v>8.0439954482161027E-2</v>
      </c>
      <c r="L13" s="689">
        <f>industrie!K18</f>
        <v>0</v>
      </c>
      <c r="M13" s="689">
        <f>industrie!L18</f>
        <v>0</v>
      </c>
      <c r="N13" s="689">
        <f>industrie!M18</f>
        <v>0</v>
      </c>
      <c r="O13" s="689">
        <f>industrie!N18</f>
        <v>72.575594446617856</v>
      </c>
      <c r="P13" s="689">
        <f>industrie!O18</f>
        <v>0</v>
      </c>
      <c r="Q13" s="690">
        <f>industrie!P18</f>
        <v>0</v>
      </c>
      <c r="R13" s="692">
        <f>SUM(C13:Q13)</f>
        <v>4935.5872809202374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28396.469824387186</v>
      </c>
      <c r="D16" s="725">
        <f t="shared" ref="D16:R16" ca="1" si="0">SUM(D9:D15)</f>
        <v>0</v>
      </c>
      <c r="E16" s="725">
        <f t="shared" ca="1" si="0"/>
        <v>35209.034286240603</v>
      </c>
      <c r="F16" s="725">
        <f t="shared" si="0"/>
        <v>4453.622509593547</v>
      </c>
      <c r="G16" s="725">
        <f t="shared" ca="1" si="0"/>
        <v>26127.0321718536</v>
      </c>
      <c r="H16" s="725">
        <f t="shared" si="0"/>
        <v>0</v>
      </c>
      <c r="I16" s="725">
        <f t="shared" si="0"/>
        <v>0</v>
      </c>
      <c r="J16" s="725">
        <f t="shared" si="0"/>
        <v>0</v>
      </c>
      <c r="K16" s="725">
        <f t="shared" si="0"/>
        <v>57.664183770705158</v>
      </c>
      <c r="L16" s="725">
        <f t="shared" si="0"/>
        <v>0</v>
      </c>
      <c r="M16" s="725">
        <f t="shared" ca="1" si="0"/>
        <v>0</v>
      </c>
      <c r="N16" s="725">
        <f t="shared" si="0"/>
        <v>0</v>
      </c>
      <c r="O16" s="725">
        <f t="shared" ca="1" si="0"/>
        <v>4790.4942333380395</v>
      </c>
      <c r="P16" s="725">
        <f t="shared" si="0"/>
        <v>194.30263593467626</v>
      </c>
      <c r="Q16" s="725">
        <f t="shared" si="0"/>
        <v>516.16400607656612</v>
      </c>
      <c r="R16" s="725">
        <f t="shared" ca="1" si="0"/>
        <v>99744.783851194938</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1688.1340892209919</v>
      </c>
      <c r="I19" s="689">
        <f>transport!H54</f>
        <v>0</v>
      </c>
      <c r="J19" s="689">
        <f>transport!I54</f>
        <v>0</v>
      </c>
      <c r="K19" s="689">
        <f>transport!J54</f>
        <v>0</v>
      </c>
      <c r="L19" s="689">
        <f>transport!K54</f>
        <v>0</v>
      </c>
      <c r="M19" s="689">
        <f>transport!L54</f>
        <v>0</v>
      </c>
      <c r="N19" s="689">
        <f>transport!M54</f>
        <v>91.607770597983645</v>
      </c>
      <c r="O19" s="689">
        <f>transport!N54</f>
        <v>0</v>
      </c>
      <c r="P19" s="689">
        <f>transport!O54</f>
        <v>0</v>
      </c>
      <c r="Q19" s="690">
        <f>transport!P54</f>
        <v>0</v>
      </c>
      <c r="R19" s="692">
        <f>SUM(C19:Q19)</f>
        <v>1779.7418598189756</v>
      </c>
      <c r="S19" s="67"/>
    </row>
    <row r="20" spans="1:19" s="451" customFormat="1">
      <c r="A20" s="811" t="s">
        <v>306</v>
      </c>
      <c r="B20" s="816"/>
      <c r="C20" s="689">
        <f>transport!B14</f>
        <v>71.686059251773074</v>
      </c>
      <c r="D20" s="689">
        <f>transport!C14</f>
        <v>0</v>
      </c>
      <c r="E20" s="689">
        <f>transport!D14</f>
        <v>345.90973833990421</v>
      </c>
      <c r="F20" s="689">
        <f>transport!E14</f>
        <v>182.25837354871325</v>
      </c>
      <c r="G20" s="689">
        <f>transport!F14</f>
        <v>0</v>
      </c>
      <c r="H20" s="689">
        <f>transport!G14</f>
        <v>67540.532369391192</v>
      </c>
      <c r="I20" s="689">
        <f>transport!H14</f>
        <v>21934.172412984593</v>
      </c>
      <c r="J20" s="689">
        <f>transport!I14</f>
        <v>0</v>
      </c>
      <c r="K20" s="689">
        <f>transport!J14</f>
        <v>0</v>
      </c>
      <c r="L20" s="689">
        <f>transport!K14</f>
        <v>0</v>
      </c>
      <c r="M20" s="689">
        <f>transport!L14</f>
        <v>0</v>
      </c>
      <c r="N20" s="689">
        <f>transport!M14</f>
        <v>5327.4238488032552</v>
      </c>
      <c r="O20" s="689">
        <f>transport!N14</f>
        <v>0</v>
      </c>
      <c r="P20" s="689">
        <f>transport!O14</f>
        <v>0</v>
      </c>
      <c r="Q20" s="690">
        <f>transport!P14</f>
        <v>0</v>
      </c>
      <c r="R20" s="692">
        <f>SUM(C20:Q20)</f>
        <v>95401.982802319442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71.686059251773074</v>
      </c>
      <c r="D22" s="814">
        <f t="shared" ref="D22:R22" si="1">SUM(D18:D21)</f>
        <v>0</v>
      </c>
      <c r="E22" s="814">
        <f t="shared" si="1"/>
        <v>345.90973833990421</v>
      </c>
      <c r="F22" s="814">
        <f t="shared" si="1"/>
        <v>182.25837354871325</v>
      </c>
      <c r="G22" s="814">
        <f t="shared" si="1"/>
        <v>0</v>
      </c>
      <c r="H22" s="814">
        <f t="shared" si="1"/>
        <v>69228.666458612191</v>
      </c>
      <c r="I22" s="814">
        <f t="shared" si="1"/>
        <v>21934.172412984593</v>
      </c>
      <c r="J22" s="814">
        <f t="shared" si="1"/>
        <v>0</v>
      </c>
      <c r="K22" s="814">
        <f t="shared" si="1"/>
        <v>0</v>
      </c>
      <c r="L22" s="814">
        <f t="shared" si="1"/>
        <v>0</v>
      </c>
      <c r="M22" s="814">
        <f t="shared" si="1"/>
        <v>0</v>
      </c>
      <c r="N22" s="814">
        <f t="shared" si="1"/>
        <v>5419.0316194012385</v>
      </c>
      <c r="O22" s="814">
        <f t="shared" si="1"/>
        <v>0</v>
      </c>
      <c r="P22" s="814">
        <f t="shared" si="1"/>
        <v>0</v>
      </c>
      <c r="Q22" s="814">
        <f t="shared" si="1"/>
        <v>0</v>
      </c>
      <c r="R22" s="814">
        <f t="shared" si="1"/>
        <v>97181.724662138411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713.15325630572408</v>
      </c>
      <c r="D24" s="689">
        <f>+landbouw!C8</f>
        <v>62.357142857142847</v>
      </c>
      <c r="E24" s="689">
        <f>+landbouw!D8</f>
        <v>2796.5402515545757</v>
      </c>
      <c r="F24" s="689">
        <f>+landbouw!E8</f>
        <v>26.595666307841029</v>
      </c>
      <c r="G24" s="689">
        <f>+landbouw!F8</f>
        <v>2313.7447367214127</v>
      </c>
      <c r="H24" s="689">
        <f>+landbouw!G8</f>
        <v>0</v>
      </c>
      <c r="I24" s="689">
        <f>+landbouw!H8</f>
        <v>0</v>
      </c>
      <c r="J24" s="689">
        <f>+landbouw!I8</f>
        <v>0</v>
      </c>
      <c r="K24" s="689">
        <f>+landbouw!J8</f>
        <v>187.20625055165092</v>
      </c>
      <c r="L24" s="689">
        <f>+landbouw!K8</f>
        <v>0</v>
      </c>
      <c r="M24" s="689">
        <f>+landbouw!L8</f>
        <v>0</v>
      </c>
      <c r="N24" s="689">
        <f>+landbouw!M8</f>
        <v>0</v>
      </c>
      <c r="O24" s="689">
        <f>+landbouw!N8</f>
        <v>0</v>
      </c>
      <c r="P24" s="689">
        <f>+landbouw!O8</f>
        <v>0</v>
      </c>
      <c r="Q24" s="690">
        <f>+landbouw!P8</f>
        <v>0</v>
      </c>
      <c r="R24" s="692">
        <f>SUM(C24:Q24)</f>
        <v>6099.5973042983469</v>
      </c>
      <c r="S24" s="67"/>
    </row>
    <row r="25" spans="1:19" s="451" customFormat="1" ht="15" thickBot="1">
      <c r="A25" s="833" t="s">
        <v>714</v>
      </c>
      <c r="B25" s="947"/>
      <c r="C25" s="948">
        <f>IF(Onbekend_ele_kWh="---",0,Onbekend_ele_kWh)/1000+IF(REST_rest_ele_kWh="---",0,REST_rest_ele_kWh)/1000</f>
        <v>499.212387107599</v>
      </c>
      <c r="D25" s="948"/>
      <c r="E25" s="948">
        <f>IF(onbekend_gas_kWh="---",0,onbekend_gas_kWh)/1000+IF(REST_rest_gas_kWh="---",0,REST_rest_gas_kWh)/1000</f>
        <v>1130.5554262401799</v>
      </c>
      <c r="F25" s="948"/>
      <c r="G25" s="948"/>
      <c r="H25" s="948"/>
      <c r="I25" s="948"/>
      <c r="J25" s="948"/>
      <c r="K25" s="948"/>
      <c r="L25" s="948"/>
      <c r="M25" s="948"/>
      <c r="N25" s="948"/>
      <c r="O25" s="948"/>
      <c r="P25" s="948"/>
      <c r="Q25" s="949"/>
      <c r="R25" s="692">
        <f>SUM(C25:Q25)</f>
        <v>1629.7678133477789</v>
      </c>
      <c r="S25" s="67"/>
    </row>
    <row r="26" spans="1:19" s="451" customFormat="1" ht="15.75" thickBot="1">
      <c r="A26" s="697" t="s">
        <v>715</v>
      </c>
      <c r="B26" s="819"/>
      <c r="C26" s="814">
        <f>SUM(C24:C25)</f>
        <v>1212.3656434133231</v>
      </c>
      <c r="D26" s="814">
        <f t="shared" ref="D26:R26" si="2">SUM(D24:D25)</f>
        <v>62.357142857142847</v>
      </c>
      <c r="E26" s="814">
        <f t="shared" si="2"/>
        <v>3927.0956777947558</v>
      </c>
      <c r="F26" s="814">
        <f t="shared" si="2"/>
        <v>26.595666307841029</v>
      </c>
      <c r="G26" s="814">
        <f t="shared" si="2"/>
        <v>2313.7447367214127</v>
      </c>
      <c r="H26" s="814">
        <f t="shared" si="2"/>
        <v>0</v>
      </c>
      <c r="I26" s="814">
        <f t="shared" si="2"/>
        <v>0</v>
      </c>
      <c r="J26" s="814">
        <f t="shared" si="2"/>
        <v>0</v>
      </c>
      <c r="K26" s="814">
        <f t="shared" si="2"/>
        <v>187.20625055165092</v>
      </c>
      <c r="L26" s="814">
        <f t="shared" si="2"/>
        <v>0</v>
      </c>
      <c r="M26" s="814">
        <f t="shared" si="2"/>
        <v>0</v>
      </c>
      <c r="N26" s="814">
        <f t="shared" si="2"/>
        <v>0</v>
      </c>
      <c r="O26" s="814">
        <f t="shared" si="2"/>
        <v>0</v>
      </c>
      <c r="P26" s="814">
        <f t="shared" si="2"/>
        <v>0</v>
      </c>
      <c r="Q26" s="814">
        <f t="shared" si="2"/>
        <v>0</v>
      </c>
      <c r="R26" s="814">
        <f t="shared" si="2"/>
        <v>7729.3651176461262</v>
      </c>
      <c r="S26" s="67"/>
    </row>
    <row r="27" spans="1:19" s="451" customFormat="1" ht="17.25" thickTop="1" thickBot="1">
      <c r="A27" s="698" t="s">
        <v>115</v>
      </c>
      <c r="B27" s="806"/>
      <c r="C27" s="699">
        <f ca="1">C22+C16+C26</f>
        <v>29680.521527052282</v>
      </c>
      <c r="D27" s="699">
        <f t="shared" ref="D27:R27" ca="1" si="3">D22+D16+D26</f>
        <v>62.357142857142847</v>
      </c>
      <c r="E27" s="699">
        <f t="shared" ca="1" si="3"/>
        <v>39482.039702375267</v>
      </c>
      <c r="F27" s="699">
        <f t="shared" si="3"/>
        <v>4662.4765494501016</v>
      </c>
      <c r="G27" s="699">
        <f t="shared" ca="1" si="3"/>
        <v>28440.776908575011</v>
      </c>
      <c r="H27" s="699">
        <f t="shared" si="3"/>
        <v>69228.666458612191</v>
      </c>
      <c r="I27" s="699">
        <f t="shared" si="3"/>
        <v>21934.172412984593</v>
      </c>
      <c r="J27" s="699">
        <f t="shared" si="3"/>
        <v>0</v>
      </c>
      <c r="K27" s="699">
        <f t="shared" si="3"/>
        <v>244.87043432235609</v>
      </c>
      <c r="L27" s="699">
        <f t="shared" si="3"/>
        <v>0</v>
      </c>
      <c r="M27" s="699">
        <f t="shared" ca="1" si="3"/>
        <v>0</v>
      </c>
      <c r="N27" s="699">
        <f t="shared" si="3"/>
        <v>5419.0316194012385</v>
      </c>
      <c r="O27" s="699">
        <f t="shared" ca="1" si="3"/>
        <v>4790.4942333380395</v>
      </c>
      <c r="P27" s="699">
        <f t="shared" si="3"/>
        <v>194.30263593467626</v>
      </c>
      <c r="Q27" s="699">
        <f t="shared" si="3"/>
        <v>516.16400607656612</v>
      </c>
      <c r="R27" s="699">
        <f t="shared" ca="1" si="3"/>
        <v>204655.87363097945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1673.8055646118182</v>
      </c>
      <c r="D40" s="689">
        <f ca="1">tertiair!C20</f>
        <v>0</v>
      </c>
      <c r="E40" s="689">
        <f ca="1">tertiair!D20</f>
        <v>1668.5050526268308</v>
      </c>
      <c r="F40" s="689">
        <f>tertiair!E20</f>
        <v>3.6612304524451673</v>
      </c>
      <c r="G40" s="689">
        <f ca="1">tertiair!F20</f>
        <v>274.45539496992257</v>
      </c>
      <c r="H40" s="689">
        <f>tertiair!G20</f>
        <v>0</v>
      </c>
      <c r="I40" s="689">
        <f>tertiair!H20</f>
        <v>0</v>
      </c>
      <c r="J40" s="689">
        <f>tertiair!I20</f>
        <v>0</v>
      </c>
      <c r="K40" s="689">
        <f>tertiair!J20</f>
        <v>1.7888794894796709E-3</v>
      </c>
      <c r="L40" s="689">
        <f>tertiair!K20</f>
        <v>0</v>
      </c>
      <c r="M40" s="689">
        <f ca="1">tertiair!L20</f>
        <v>0</v>
      </c>
      <c r="N40" s="689">
        <f>tertiair!M20</f>
        <v>0</v>
      </c>
      <c r="O40" s="689">
        <f ca="1">tertiair!N20</f>
        <v>0</v>
      </c>
      <c r="P40" s="689">
        <f>tertiair!O20</f>
        <v>0</v>
      </c>
      <c r="Q40" s="772">
        <f>tertiair!P20</f>
        <v>0</v>
      </c>
      <c r="R40" s="852">
        <f t="shared" ca="1" si="4"/>
        <v>3620.429031540506</v>
      </c>
    </row>
    <row r="41" spans="1:18">
      <c r="A41" s="824" t="s">
        <v>224</v>
      </c>
      <c r="B41" s="831"/>
      <c r="C41" s="689">
        <f ca="1">huishoudens!B12</f>
        <v>3578.0074820280784</v>
      </c>
      <c r="D41" s="689">
        <f ca="1">huishoudens!C12</f>
        <v>0</v>
      </c>
      <c r="E41" s="689">
        <f>huishoudens!D12</f>
        <v>5022.7739473883084</v>
      </c>
      <c r="F41" s="689">
        <f>huishoudens!E12</f>
        <v>1006.1254134008728</v>
      </c>
      <c r="G41" s="689">
        <f>huishoudens!F12</f>
        <v>6544.9017554360998</v>
      </c>
      <c r="H41" s="689">
        <f>huishoudens!G12</f>
        <v>0</v>
      </c>
      <c r="I41" s="689">
        <f>huishoudens!H12</f>
        <v>0</v>
      </c>
      <c r="J41" s="689">
        <f>huishoudens!I12</f>
        <v>0</v>
      </c>
      <c r="K41" s="689">
        <f>huishoudens!J12</f>
        <v>20.382856431453462</v>
      </c>
      <c r="L41" s="689">
        <f>huishoudens!K12</f>
        <v>0</v>
      </c>
      <c r="M41" s="689">
        <f>huishoudens!L12</f>
        <v>0</v>
      </c>
      <c r="N41" s="689">
        <f>huishoudens!M12</f>
        <v>0</v>
      </c>
      <c r="O41" s="689">
        <f>huishoudens!N12</f>
        <v>0</v>
      </c>
      <c r="P41" s="689">
        <f>huishoudens!O12</f>
        <v>0</v>
      </c>
      <c r="Q41" s="772">
        <f>huishoudens!P12</f>
        <v>0</v>
      </c>
      <c r="R41" s="852">
        <f t="shared" ca="1" si="4"/>
        <v>16172.191454684813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438.32507997605023</v>
      </c>
      <c r="D43" s="689">
        <f ca="1">industrie!C22</f>
        <v>0</v>
      </c>
      <c r="E43" s="689">
        <f>industrie!D22</f>
        <v>420.9459258054639</v>
      </c>
      <c r="F43" s="689">
        <f>industrie!E22</f>
        <v>1.185665824417077</v>
      </c>
      <c r="G43" s="689">
        <f>industrie!F22</f>
        <v>156.56043947888983</v>
      </c>
      <c r="H43" s="689">
        <f>industrie!G22</f>
        <v>0</v>
      </c>
      <c r="I43" s="689">
        <f>industrie!H22</f>
        <v>0</v>
      </c>
      <c r="J43" s="689">
        <f>industrie!I22</f>
        <v>0</v>
      </c>
      <c r="K43" s="689">
        <f>industrie!J22</f>
        <v>2.8475743886685001E-2</v>
      </c>
      <c r="L43" s="689">
        <f>industrie!K22</f>
        <v>0</v>
      </c>
      <c r="M43" s="689">
        <f>industrie!L22</f>
        <v>0</v>
      </c>
      <c r="N43" s="689">
        <f>industrie!M22</f>
        <v>0</v>
      </c>
      <c r="O43" s="689">
        <f>industrie!N22</f>
        <v>0</v>
      </c>
      <c r="P43" s="689">
        <f>industrie!O22</f>
        <v>0</v>
      </c>
      <c r="Q43" s="772">
        <f>industrie!P22</f>
        <v>0</v>
      </c>
      <c r="R43" s="851">
        <f t="shared" ca="1" si="4"/>
        <v>1017.0455868287078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5690.138126615946</v>
      </c>
      <c r="D46" s="725">
        <f t="shared" ref="D46:Q46" ca="1" si="5">SUM(D39:D45)</f>
        <v>0</v>
      </c>
      <c r="E46" s="725">
        <f t="shared" ca="1" si="5"/>
        <v>7112.2249258206029</v>
      </c>
      <c r="F46" s="725">
        <f t="shared" si="5"/>
        <v>1010.9723096777351</v>
      </c>
      <c r="G46" s="725">
        <f t="shared" ca="1" si="5"/>
        <v>6975.9175898849126</v>
      </c>
      <c r="H46" s="725">
        <f t="shared" si="5"/>
        <v>0</v>
      </c>
      <c r="I46" s="725">
        <f t="shared" si="5"/>
        <v>0</v>
      </c>
      <c r="J46" s="725">
        <f t="shared" si="5"/>
        <v>0</v>
      </c>
      <c r="K46" s="725">
        <f t="shared" si="5"/>
        <v>20.413121054829624</v>
      </c>
      <c r="L46" s="725">
        <f t="shared" si="5"/>
        <v>0</v>
      </c>
      <c r="M46" s="725">
        <f t="shared" ca="1" si="5"/>
        <v>0</v>
      </c>
      <c r="N46" s="725">
        <f t="shared" si="5"/>
        <v>0</v>
      </c>
      <c r="O46" s="725">
        <f t="shared" ca="1" si="5"/>
        <v>0</v>
      </c>
      <c r="P46" s="725">
        <f t="shared" si="5"/>
        <v>0</v>
      </c>
      <c r="Q46" s="725">
        <f t="shared" si="5"/>
        <v>0</v>
      </c>
      <c r="R46" s="725">
        <f ca="1">SUM(R39:R45)</f>
        <v>20809.666073054024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450.73180182200485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450.73180182200485</v>
      </c>
    </row>
    <row r="50" spans="1:18">
      <c r="A50" s="827" t="s">
        <v>306</v>
      </c>
      <c r="B50" s="837"/>
      <c r="C50" s="695">
        <f ca="1">transport!B18</f>
        <v>14.364587620150303</v>
      </c>
      <c r="D50" s="695">
        <f>transport!C18</f>
        <v>0</v>
      </c>
      <c r="E50" s="695">
        <f>transport!D18</f>
        <v>69.873767144660661</v>
      </c>
      <c r="F50" s="695">
        <f>transport!E18</f>
        <v>41.372650795557909</v>
      </c>
      <c r="G50" s="695">
        <f>transport!F18</f>
        <v>0</v>
      </c>
      <c r="H50" s="695">
        <f>transport!G18</f>
        <v>18033.32214262745</v>
      </c>
      <c r="I50" s="695">
        <f>transport!H18</f>
        <v>5461.6089308331639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23620.542079020983</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14.364587620150303</v>
      </c>
      <c r="D52" s="725">
        <f t="shared" ref="D52:Q52" ca="1" si="6">SUM(D48:D51)</f>
        <v>0</v>
      </c>
      <c r="E52" s="725">
        <f t="shared" si="6"/>
        <v>69.873767144660661</v>
      </c>
      <c r="F52" s="725">
        <f t="shared" si="6"/>
        <v>41.372650795557909</v>
      </c>
      <c r="G52" s="725">
        <f t="shared" si="6"/>
        <v>0</v>
      </c>
      <c r="H52" s="725">
        <f t="shared" si="6"/>
        <v>18484.053944449457</v>
      </c>
      <c r="I52" s="725">
        <f t="shared" si="6"/>
        <v>5461.6089308331639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24071.273880842986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142.90299318616405</v>
      </c>
      <c r="D54" s="695">
        <f ca="1">+landbouw!C12</f>
        <v>0</v>
      </c>
      <c r="E54" s="695">
        <f>+landbouw!D12</f>
        <v>564.90113081402433</v>
      </c>
      <c r="F54" s="695">
        <f>+landbouw!E12</f>
        <v>6.0372162518799133</v>
      </c>
      <c r="G54" s="695">
        <f>+landbouw!F12</f>
        <v>617.76984470461719</v>
      </c>
      <c r="H54" s="695">
        <f>+landbouw!G12</f>
        <v>0</v>
      </c>
      <c r="I54" s="695">
        <f>+landbouw!H12</f>
        <v>0</v>
      </c>
      <c r="J54" s="695">
        <f>+landbouw!I12</f>
        <v>0</v>
      </c>
      <c r="K54" s="695">
        <f>+landbouw!J12</f>
        <v>66.271012695284426</v>
      </c>
      <c r="L54" s="695">
        <f>+landbouw!K12</f>
        <v>0</v>
      </c>
      <c r="M54" s="695">
        <f>+landbouw!L12</f>
        <v>0</v>
      </c>
      <c r="N54" s="695">
        <f>+landbouw!M12</f>
        <v>0</v>
      </c>
      <c r="O54" s="695">
        <f>+landbouw!N12</f>
        <v>0</v>
      </c>
      <c r="P54" s="695">
        <f>+landbouw!O12</f>
        <v>0</v>
      </c>
      <c r="Q54" s="696">
        <f>+landbouw!P12</f>
        <v>0</v>
      </c>
      <c r="R54" s="724">
        <f ca="1">SUM(C54:Q54)</f>
        <v>1397.88219765197</v>
      </c>
    </row>
    <row r="55" spans="1:18" ht="15" thickBot="1">
      <c r="A55" s="827" t="s">
        <v>714</v>
      </c>
      <c r="B55" s="837"/>
      <c r="C55" s="695">
        <f ca="1">C25*'EF ele_warmte'!B12</f>
        <v>100.0331187195805</v>
      </c>
      <c r="D55" s="695"/>
      <c r="E55" s="695">
        <f>E25*EF_CO2_aardgas</f>
        <v>228.37219610051636</v>
      </c>
      <c r="F55" s="695"/>
      <c r="G55" s="695"/>
      <c r="H55" s="695"/>
      <c r="I55" s="695"/>
      <c r="J55" s="695"/>
      <c r="K55" s="695"/>
      <c r="L55" s="695"/>
      <c r="M55" s="695"/>
      <c r="N55" s="695"/>
      <c r="O55" s="695"/>
      <c r="P55" s="695"/>
      <c r="Q55" s="696"/>
      <c r="R55" s="724">
        <f ca="1">SUM(C55:Q55)</f>
        <v>328.40531482009686</v>
      </c>
    </row>
    <row r="56" spans="1:18" ht="15.75" thickBot="1">
      <c r="A56" s="825" t="s">
        <v>715</v>
      </c>
      <c r="B56" s="838"/>
      <c r="C56" s="725">
        <f ca="1">SUM(C54:C55)</f>
        <v>242.93611190574455</v>
      </c>
      <c r="D56" s="725">
        <f t="shared" ref="D56:Q56" ca="1" si="7">SUM(D54:D55)</f>
        <v>0</v>
      </c>
      <c r="E56" s="725">
        <f t="shared" si="7"/>
        <v>793.27332691454069</v>
      </c>
      <c r="F56" s="725">
        <f t="shared" si="7"/>
        <v>6.0372162518799133</v>
      </c>
      <c r="G56" s="725">
        <f t="shared" si="7"/>
        <v>617.76984470461719</v>
      </c>
      <c r="H56" s="725">
        <f t="shared" si="7"/>
        <v>0</v>
      </c>
      <c r="I56" s="725">
        <f t="shared" si="7"/>
        <v>0</v>
      </c>
      <c r="J56" s="725">
        <f t="shared" si="7"/>
        <v>0</v>
      </c>
      <c r="K56" s="725">
        <f t="shared" si="7"/>
        <v>66.271012695284426</v>
      </c>
      <c r="L56" s="725">
        <f t="shared" si="7"/>
        <v>0</v>
      </c>
      <c r="M56" s="725">
        <f t="shared" si="7"/>
        <v>0</v>
      </c>
      <c r="N56" s="725">
        <f t="shared" si="7"/>
        <v>0</v>
      </c>
      <c r="O56" s="725">
        <f t="shared" si="7"/>
        <v>0</v>
      </c>
      <c r="P56" s="725">
        <f t="shared" si="7"/>
        <v>0</v>
      </c>
      <c r="Q56" s="726">
        <f t="shared" si="7"/>
        <v>0</v>
      </c>
      <c r="R56" s="727">
        <f ca="1">SUM(R54:R55)</f>
        <v>1726.287512472067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5947.4388261418408</v>
      </c>
      <c r="D61" s="733">
        <f t="shared" ref="D61:Q61" ca="1" si="8">D46+D52+D56</f>
        <v>0</v>
      </c>
      <c r="E61" s="733">
        <f t="shared" ca="1" si="8"/>
        <v>7975.3720198798046</v>
      </c>
      <c r="F61" s="733">
        <f t="shared" si="8"/>
        <v>1058.3821767251729</v>
      </c>
      <c r="G61" s="733">
        <f t="shared" ca="1" si="8"/>
        <v>7593.6874345895294</v>
      </c>
      <c r="H61" s="733">
        <f t="shared" si="8"/>
        <v>18484.053944449457</v>
      </c>
      <c r="I61" s="733">
        <f t="shared" si="8"/>
        <v>5461.6089308331639</v>
      </c>
      <c r="J61" s="733">
        <f t="shared" si="8"/>
        <v>0</v>
      </c>
      <c r="K61" s="733">
        <f t="shared" si="8"/>
        <v>86.684133750114057</v>
      </c>
      <c r="L61" s="733">
        <f t="shared" si="8"/>
        <v>0</v>
      </c>
      <c r="M61" s="733">
        <f t="shared" ca="1" si="8"/>
        <v>0</v>
      </c>
      <c r="N61" s="733">
        <f t="shared" si="8"/>
        <v>0</v>
      </c>
      <c r="O61" s="733">
        <f t="shared" ca="1" si="8"/>
        <v>0</v>
      </c>
      <c r="P61" s="733">
        <f t="shared" si="8"/>
        <v>0</v>
      </c>
      <c r="Q61" s="733">
        <f t="shared" si="8"/>
        <v>0</v>
      </c>
      <c r="R61" s="733">
        <f ca="1">R46+R52+R56</f>
        <v>46607.227466369077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0.20038188414988103</v>
      </c>
      <c r="D63" s="779">
        <f t="shared" ca="1" si="9"/>
        <v>0</v>
      </c>
      <c r="E63" s="973">
        <f t="shared" ca="1" si="9"/>
        <v>0.20200000000000001</v>
      </c>
      <c r="F63" s="779">
        <f t="shared" si="9"/>
        <v>0.22699999999999998</v>
      </c>
      <c r="G63" s="779">
        <f t="shared" ca="1" si="9"/>
        <v>0.26700000000000007</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2725.3836259579721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2769.0336259579722</v>
      </c>
      <c r="C78" s="751">
        <f>SUM(C72:C77)</f>
        <v>0</v>
      </c>
      <c r="D78" s="752">
        <f t="shared" ref="D78:H78" si="10">SUM(D76:D77)</f>
        <v>0</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2725.3836259579721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2769.0336259579722</v>
      </c>
      <c r="C10" s="566">
        <f t="shared" ref="C10:L10" si="0">SUM(C8:C9)</f>
        <v>0</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23104</v>
      </c>
      <c r="C28" s="794">
        <v>1750</v>
      </c>
      <c r="D28" s="643" t="s">
        <v>865</v>
      </c>
      <c r="E28" s="642" t="s">
        <v>866</v>
      </c>
      <c r="F28" s="642" t="s">
        <v>867</v>
      </c>
      <c r="G28" s="642" t="s">
        <v>868</v>
      </c>
      <c r="H28" s="642" t="s">
        <v>869</v>
      </c>
      <c r="I28" s="642" t="s">
        <v>866</v>
      </c>
      <c r="J28" s="793">
        <v>41108</v>
      </c>
      <c r="K28" s="793">
        <v>41164</v>
      </c>
      <c r="L28" s="642" t="s">
        <v>870</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9.6999999999999993</v>
      </c>
      <c r="N32" s="605">
        <f>SUMIF($Z$28:$Z$28,"landbouw",N28:N28)</f>
        <v>43.649999999999991</v>
      </c>
      <c r="O32" s="605">
        <f>SUMIF($Z$28:$Z$28,"landbouw",O28:O28)</f>
        <v>62.357142857142847</v>
      </c>
      <c r="P32" s="605">
        <f>SUMIF($Z$28:$Z$28,"landbouw",P28:P28)</f>
        <v>0</v>
      </c>
      <c r="Q32" s="605">
        <f>SUMIF($Z$28:$Z$28,"landbouw",Q28:Q28)</f>
        <v>124.71428571428569</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17855.942902262614</v>
      </c>
      <c r="C4" s="455">
        <f>huishoudens!C8</f>
        <v>0</v>
      </c>
      <c r="D4" s="455">
        <f>huishoudens!D8</f>
        <v>24865.217561328256</v>
      </c>
      <c r="E4" s="455">
        <f>huishoudens!E8</f>
        <v>4432.2705436161796</v>
      </c>
      <c r="F4" s="455">
        <f>huishoudens!F8</f>
        <v>24512.740657064041</v>
      </c>
      <c r="G4" s="455">
        <f>huishoudens!G8</f>
        <v>0</v>
      </c>
      <c r="H4" s="455">
        <f>huishoudens!H8</f>
        <v>0</v>
      </c>
      <c r="I4" s="455">
        <f>huishoudens!I8</f>
        <v>0</v>
      </c>
      <c r="J4" s="455">
        <f>huishoudens!J8</f>
        <v>57.578690484331815</v>
      </c>
      <c r="K4" s="455">
        <f>huishoudens!K8</f>
        <v>0</v>
      </c>
      <c r="L4" s="455">
        <f>huishoudens!L8</f>
        <v>0</v>
      </c>
      <c r="M4" s="455">
        <f>huishoudens!M8</f>
        <v>0</v>
      </c>
      <c r="N4" s="455">
        <f>huishoudens!N8</f>
        <v>4521.8741155923417</v>
      </c>
      <c r="O4" s="455">
        <f>huishoudens!O8</f>
        <v>184.50811440299395</v>
      </c>
      <c r="P4" s="456">
        <f>huishoudens!P8</f>
        <v>516.16400607656612</v>
      </c>
      <c r="Q4" s="457">
        <f>SUM(B4:P4)</f>
        <v>76946.296590827333</v>
      </c>
    </row>
    <row r="5" spans="1:17">
      <c r="A5" s="454" t="s">
        <v>155</v>
      </c>
      <c r="B5" s="455">
        <f ca="1">tertiair!B16</f>
        <v>7784.2812820659074</v>
      </c>
      <c r="C5" s="455">
        <f ca="1">tertiair!C16</f>
        <v>0</v>
      </c>
      <c r="D5" s="455">
        <f ca="1">tertiair!D16</f>
        <v>8259.9260031031226</v>
      </c>
      <c r="E5" s="455">
        <f>tertiair!E16</f>
        <v>16.128768512974304</v>
      </c>
      <c r="F5" s="455">
        <f ca="1">tertiair!F16</f>
        <v>1027.9228276027061</v>
      </c>
      <c r="G5" s="455">
        <f>tertiair!G16</f>
        <v>0</v>
      </c>
      <c r="H5" s="455">
        <f>tertiair!H16</f>
        <v>0</v>
      </c>
      <c r="I5" s="455">
        <f>tertiair!I16</f>
        <v>0</v>
      </c>
      <c r="J5" s="455">
        <f>tertiair!J16</f>
        <v>5.0533318911855111E-3</v>
      </c>
      <c r="K5" s="455">
        <f>tertiair!K16</f>
        <v>0</v>
      </c>
      <c r="L5" s="455">
        <f ca="1">tertiair!L16</f>
        <v>0</v>
      </c>
      <c r="M5" s="455">
        <f>tertiair!M16</f>
        <v>0</v>
      </c>
      <c r="N5" s="455">
        <f ca="1">tertiair!N16</f>
        <v>196.04452329907926</v>
      </c>
      <c r="O5" s="455">
        <f>tertiair!O16</f>
        <v>9.7945215316823084</v>
      </c>
      <c r="P5" s="456">
        <f>tertiair!P16</f>
        <v>0</v>
      </c>
      <c r="Q5" s="454">
        <f t="shared" ref="Q5:Q14" ca="1" si="0">SUM(B5:P5)</f>
        <v>17294.102979447362</v>
      </c>
    </row>
    <row r="6" spans="1:17">
      <c r="A6" s="454" t="s">
        <v>193</v>
      </c>
      <c r="B6" s="455">
        <f>'openbare verlichting'!B8</f>
        <v>568.79700000000003</v>
      </c>
      <c r="C6" s="455"/>
      <c r="D6" s="455"/>
      <c r="E6" s="455"/>
      <c r="F6" s="455"/>
      <c r="G6" s="455"/>
      <c r="H6" s="455"/>
      <c r="I6" s="455"/>
      <c r="J6" s="455"/>
      <c r="K6" s="455"/>
      <c r="L6" s="455"/>
      <c r="M6" s="455"/>
      <c r="N6" s="455"/>
      <c r="O6" s="455"/>
      <c r="P6" s="456"/>
      <c r="Q6" s="454">
        <f t="shared" si="0"/>
        <v>568.79700000000003</v>
      </c>
    </row>
    <row r="7" spans="1:17">
      <c r="A7" s="454" t="s">
        <v>111</v>
      </c>
      <c r="B7" s="455">
        <f>landbouw!B8</f>
        <v>713.15325630572408</v>
      </c>
      <c r="C7" s="455">
        <f>landbouw!C8</f>
        <v>62.357142857142847</v>
      </c>
      <c r="D7" s="455">
        <f>landbouw!D8</f>
        <v>2796.5402515545757</v>
      </c>
      <c r="E7" s="455">
        <f>landbouw!E8</f>
        <v>26.595666307841029</v>
      </c>
      <c r="F7" s="455">
        <f>landbouw!F8</f>
        <v>2313.7447367214127</v>
      </c>
      <c r="G7" s="455">
        <f>landbouw!G8</f>
        <v>0</v>
      </c>
      <c r="H7" s="455">
        <f>landbouw!H8</f>
        <v>0</v>
      </c>
      <c r="I7" s="455">
        <f>landbouw!I8</f>
        <v>0</v>
      </c>
      <c r="J7" s="455">
        <f>landbouw!J8</f>
        <v>187.20625055165092</v>
      </c>
      <c r="K7" s="455">
        <f>landbouw!K8</f>
        <v>0</v>
      </c>
      <c r="L7" s="455">
        <f>landbouw!L8</f>
        <v>0</v>
      </c>
      <c r="M7" s="455">
        <f>landbouw!M8</f>
        <v>0</v>
      </c>
      <c r="N7" s="455">
        <f>landbouw!N8</f>
        <v>0</v>
      </c>
      <c r="O7" s="455">
        <f>landbouw!O8</f>
        <v>0</v>
      </c>
      <c r="P7" s="456">
        <f>landbouw!P8</f>
        <v>0</v>
      </c>
      <c r="Q7" s="454">
        <f t="shared" si="0"/>
        <v>6099.5973042983469</v>
      </c>
    </row>
    <row r="8" spans="1:17">
      <c r="A8" s="454" t="s">
        <v>626</v>
      </c>
      <c r="B8" s="455">
        <f>industrie!B18</f>
        <v>2187.4486400586643</v>
      </c>
      <c r="C8" s="455">
        <f>industrie!C18</f>
        <v>0</v>
      </c>
      <c r="D8" s="455">
        <f>industrie!D18</f>
        <v>2083.8907218092272</v>
      </c>
      <c r="E8" s="455">
        <f>industrie!E18</f>
        <v>5.2231974643924097</v>
      </c>
      <c r="F8" s="455">
        <f>industrie!F18</f>
        <v>586.36868718685332</v>
      </c>
      <c r="G8" s="455">
        <f>industrie!G18</f>
        <v>0</v>
      </c>
      <c r="H8" s="455">
        <f>industrie!H18</f>
        <v>0</v>
      </c>
      <c r="I8" s="455">
        <f>industrie!I18</f>
        <v>0</v>
      </c>
      <c r="J8" s="455">
        <f>industrie!J18</f>
        <v>8.0439954482161027E-2</v>
      </c>
      <c r="K8" s="455">
        <f>industrie!K18</f>
        <v>0</v>
      </c>
      <c r="L8" s="455">
        <f>industrie!L18</f>
        <v>0</v>
      </c>
      <c r="M8" s="455">
        <f>industrie!M18</f>
        <v>0</v>
      </c>
      <c r="N8" s="455">
        <f>industrie!N18</f>
        <v>72.575594446617856</v>
      </c>
      <c r="O8" s="455">
        <f>industrie!O18</f>
        <v>0</v>
      </c>
      <c r="P8" s="456">
        <f>industrie!P18</f>
        <v>0</v>
      </c>
      <c r="Q8" s="454">
        <f t="shared" si="0"/>
        <v>4935.5872809202374</v>
      </c>
    </row>
    <row r="9" spans="1:17" s="460" customFormat="1">
      <c r="A9" s="458" t="s">
        <v>552</v>
      </c>
      <c r="B9" s="459">
        <f>transport!B14</f>
        <v>71.686059251773074</v>
      </c>
      <c r="C9" s="459">
        <f>transport!C14</f>
        <v>0</v>
      </c>
      <c r="D9" s="459">
        <f>transport!D14</f>
        <v>345.90973833990421</v>
      </c>
      <c r="E9" s="459">
        <f>transport!E14</f>
        <v>182.25837354871325</v>
      </c>
      <c r="F9" s="459">
        <f>transport!F14</f>
        <v>0</v>
      </c>
      <c r="G9" s="459">
        <f>transport!G14</f>
        <v>67540.532369391192</v>
      </c>
      <c r="H9" s="459">
        <f>transport!H14</f>
        <v>21934.172412984593</v>
      </c>
      <c r="I9" s="459">
        <f>transport!I14</f>
        <v>0</v>
      </c>
      <c r="J9" s="459">
        <f>transport!J14</f>
        <v>0</v>
      </c>
      <c r="K9" s="459">
        <f>transport!K14</f>
        <v>0</v>
      </c>
      <c r="L9" s="459">
        <f>transport!L14</f>
        <v>0</v>
      </c>
      <c r="M9" s="459">
        <f>transport!M14</f>
        <v>5327.4238488032552</v>
      </c>
      <c r="N9" s="459">
        <f>transport!N14</f>
        <v>0</v>
      </c>
      <c r="O9" s="459">
        <f>transport!O14</f>
        <v>0</v>
      </c>
      <c r="P9" s="459">
        <f>transport!P14</f>
        <v>0</v>
      </c>
      <c r="Q9" s="458">
        <f>SUM(B9:P9)</f>
        <v>95401.982802319442</v>
      </c>
    </row>
    <row r="10" spans="1:17">
      <c r="A10" s="454" t="s">
        <v>542</v>
      </c>
      <c r="B10" s="455">
        <f>transport!B54</f>
        <v>0</v>
      </c>
      <c r="C10" s="455">
        <f>transport!C54</f>
        <v>0</v>
      </c>
      <c r="D10" s="455">
        <f>transport!D54</f>
        <v>0</v>
      </c>
      <c r="E10" s="455">
        <f>transport!E54</f>
        <v>0</v>
      </c>
      <c r="F10" s="455">
        <f>transport!F54</f>
        <v>0</v>
      </c>
      <c r="G10" s="455">
        <f>transport!G54</f>
        <v>1688.1340892209919</v>
      </c>
      <c r="H10" s="455">
        <f>transport!H54</f>
        <v>0</v>
      </c>
      <c r="I10" s="455">
        <f>transport!I54</f>
        <v>0</v>
      </c>
      <c r="J10" s="455">
        <f>transport!J54</f>
        <v>0</v>
      </c>
      <c r="K10" s="455">
        <f>transport!K54</f>
        <v>0</v>
      </c>
      <c r="L10" s="455">
        <f>transport!L54</f>
        <v>0</v>
      </c>
      <c r="M10" s="455">
        <f>transport!M54</f>
        <v>91.607770597983645</v>
      </c>
      <c r="N10" s="455">
        <f>transport!N54</f>
        <v>0</v>
      </c>
      <c r="O10" s="455">
        <f>transport!O54</f>
        <v>0</v>
      </c>
      <c r="P10" s="456">
        <f>transport!P54</f>
        <v>0</v>
      </c>
      <c r="Q10" s="454">
        <f t="shared" si="0"/>
        <v>1779.7418598189756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499.212387107599</v>
      </c>
      <c r="C14" s="462"/>
      <c r="D14" s="462">
        <f>'SEAP template'!E25</f>
        <v>1130.5554262401799</v>
      </c>
      <c r="E14" s="462"/>
      <c r="F14" s="462"/>
      <c r="G14" s="462"/>
      <c r="H14" s="462"/>
      <c r="I14" s="462"/>
      <c r="J14" s="462"/>
      <c r="K14" s="462"/>
      <c r="L14" s="462"/>
      <c r="M14" s="462"/>
      <c r="N14" s="462"/>
      <c r="O14" s="462"/>
      <c r="P14" s="463"/>
      <c r="Q14" s="454">
        <f t="shared" si="0"/>
        <v>1629.7678133477789</v>
      </c>
    </row>
    <row r="15" spans="1:17" s="466" customFormat="1">
      <c r="A15" s="464" t="s">
        <v>546</v>
      </c>
      <c r="B15" s="465">
        <f ca="1">SUM(B4:B14)</f>
        <v>29680.521527052282</v>
      </c>
      <c r="C15" s="465">
        <f t="shared" ref="C15:Q15" ca="1" si="1">SUM(C4:C14)</f>
        <v>62.357142857142847</v>
      </c>
      <c r="D15" s="465">
        <f t="shared" ca="1" si="1"/>
        <v>39482.039702375259</v>
      </c>
      <c r="E15" s="465">
        <f t="shared" si="1"/>
        <v>4662.4765494501016</v>
      </c>
      <c r="F15" s="465">
        <f t="shared" ca="1" si="1"/>
        <v>28440.776908575011</v>
      </c>
      <c r="G15" s="465">
        <f t="shared" si="1"/>
        <v>69228.666458612191</v>
      </c>
      <c r="H15" s="465">
        <f t="shared" si="1"/>
        <v>21934.172412984593</v>
      </c>
      <c r="I15" s="465">
        <f t="shared" si="1"/>
        <v>0</v>
      </c>
      <c r="J15" s="465">
        <f t="shared" si="1"/>
        <v>244.87043432235609</v>
      </c>
      <c r="K15" s="465">
        <f t="shared" si="1"/>
        <v>0</v>
      </c>
      <c r="L15" s="465">
        <f t="shared" ca="1" si="1"/>
        <v>0</v>
      </c>
      <c r="M15" s="465">
        <f t="shared" si="1"/>
        <v>5419.0316194012385</v>
      </c>
      <c r="N15" s="465">
        <f t="shared" ca="1" si="1"/>
        <v>4790.4942333380395</v>
      </c>
      <c r="O15" s="465">
        <f t="shared" si="1"/>
        <v>194.30263593467626</v>
      </c>
      <c r="P15" s="465">
        <f t="shared" si="1"/>
        <v>516.16400607656612</v>
      </c>
      <c r="Q15" s="465">
        <f t="shared" ca="1" si="1"/>
        <v>204655.87363097948</v>
      </c>
    </row>
    <row r="17" spans="1:17">
      <c r="A17" s="467" t="s">
        <v>547</v>
      </c>
      <c r="B17" s="784">
        <f ca="1">huishoudens!B10</f>
        <v>0.20038188414988109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3578.0074820280784</v>
      </c>
      <c r="C22" s="455">
        <f t="shared" ref="C22:C32" ca="1" si="3">C4*$C$17</f>
        <v>0</v>
      </c>
      <c r="D22" s="455">
        <f t="shared" ref="D22:D32" si="4">D4*$D$17</f>
        <v>5022.7739473883084</v>
      </c>
      <c r="E22" s="455">
        <f t="shared" ref="E22:E32" si="5">E4*$E$17</f>
        <v>1006.1254134008728</v>
      </c>
      <c r="F22" s="455">
        <f t="shared" ref="F22:F32" si="6">F4*$F$17</f>
        <v>6544.9017554360998</v>
      </c>
      <c r="G22" s="455">
        <f t="shared" ref="G22:G32" si="7">G4*$G$17</f>
        <v>0</v>
      </c>
      <c r="H22" s="455">
        <f t="shared" ref="H22:H32" si="8">H4*$H$17</f>
        <v>0</v>
      </c>
      <c r="I22" s="455">
        <f t="shared" ref="I22:I32" si="9">I4*$I$17</f>
        <v>0</v>
      </c>
      <c r="J22" s="455">
        <f t="shared" ref="J22:J32" si="10">J4*$J$17</f>
        <v>20.382856431453462</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16172.191454684813</v>
      </c>
    </row>
    <row r="23" spans="1:17">
      <c r="A23" s="454" t="s">
        <v>155</v>
      </c>
      <c r="B23" s="455">
        <f t="shared" ca="1" si="2"/>
        <v>1559.8289500530184</v>
      </c>
      <c r="C23" s="455">
        <f t="shared" ca="1" si="3"/>
        <v>0</v>
      </c>
      <c r="D23" s="455">
        <f t="shared" ca="1" si="4"/>
        <v>1668.5050526268308</v>
      </c>
      <c r="E23" s="455">
        <f t="shared" si="5"/>
        <v>3.6612304524451673</v>
      </c>
      <c r="F23" s="455">
        <f t="shared" ca="1" si="6"/>
        <v>274.45539496992257</v>
      </c>
      <c r="G23" s="455">
        <f t="shared" si="7"/>
        <v>0</v>
      </c>
      <c r="H23" s="455">
        <f t="shared" si="8"/>
        <v>0</v>
      </c>
      <c r="I23" s="455">
        <f t="shared" si="9"/>
        <v>0</v>
      </c>
      <c r="J23" s="455">
        <f t="shared" si="10"/>
        <v>1.7888794894796709E-3</v>
      </c>
      <c r="K23" s="455">
        <f t="shared" si="11"/>
        <v>0</v>
      </c>
      <c r="L23" s="455">
        <f t="shared" ca="1" si="12"/>
        <v>0</v>
      </c>
      <c r="M23" s="455">
        <f t="shared" si="13"/>
        <v>0</v>
      </c>
      <c r="N23" s="455">
        <f t="shared" ca="1" si="14"/>
        <v>0</v>
      </c>
      <c r="O23" s="455">
        <f t="shared" si="15"/>
        <v>0</v>
      </c>
      <c r="P23" s="456">
        <f t="shared" si="16"/>
        <v>0</v>
      </c>
      <c r="Q23" s="454">
        <f t="shared" ref="Q23:Q31" ca="1" si="17">SUM(B23:P23)</f>
        <v>3506.4524169817064</v>
      </c>
    </row>
    <row r="24" spans="1:17">
      <c r="A24" s="454" t="s">
        <v>193</v>
      </c>
      <c r="B24" s="455">
        <f t="shared" ca="1" si="2"/>
        <v>113.97661455879992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113.97661455879992</v>
      </c>
    </row>
    <row r="25" spans="1:17">
      <c r="A25" s="454" t="s">
        <v>111</v>
      </c>
      <c r="B25" s="455">
        <f t="shared" ca="1" si="2"/>
        <v>142.90299318616405</v>
      </c>
      <c r="C25" s="455">
        <f t="shared" ca="1" si="3"/>
        <v>0</v>
      </c>
      <c r="D25" s="455">
        <f t="shared" si="4"/>
        <v>564.90113081402433</v>
      </c>
      <c r="E25" s="455">
        <f t="shared" si="5"/>
        <v>6.0372162518799133</v>
      </c>
      <c r="F25" s="455">
        <f t="shared" si="6"/>
        <v>617.76984470461719</v>
      </c>
      <c r="G25" s="455">
        <f t="shared" si="7"/>
        <v>0</v>
      </c>
      <c r="H25" s="455">
        <f t="shared" si="8"/>
        <v>0</v>
      </c>
      <c r="I25" s="455">
        <f t="shared" si="9"/>
        <v>0</v>
      </c>
      <c r="J25" s="455">
        <f t="shared" si="10"/>
        <v>66.271012695284426</v>
      </c>
      <c r="K25" s="455">
        <f t="shared" si="11"/>
        <v>0</v>
      </c>
      <c r="L25" s="455">
        <f t="shared" si="12"/>
        <v>0</v>
      </c>
      <c r="M25" s="455">
        <f t="shared" si="13"/>
        <v>0</v>
      </c>
      <c r="N25" s="455">
        <f t="shared" si="14"/>
        <v>0</v>
      </c>
      <c r="O25" s="455">
        <f t="shared" si="15"/>
        <v>0</v>
      </c>
      <c r="P25" s="456">
        <f t="shared" si="16"/>
        <v>0</v>
      </c>
      <c r="Q25" s="454">
        <f t="shared" ca="1" si="17"/>
        <v>1397.88219765197</v>
      </c>
    </row>
    <row r="26" spans="1:17">
      <c r="A26" s="454" t="s">
        <v>626</v>
      </c>
      <c r="B26" s="455">
        <f t="shared" ca="1" si="2"/>
        <v>438.32507997605023</v>
      </c>
      <c r="C26" s="455">
        <f t="shared" ca="1" si="3"/>
        <v>0</v>
      </c>
      <c r="D26" s="455">
        <f t="shared" si="4"/>
        <v>420.9459258054639</v>
      </c>
      <c r="E26" s="455">
        <f t="shared" si="5"/>
        <v>1.185665824417077</v>
      </c>
      <c r="F26" s="455">
        <f t="shared" si="6"/>
        <v>156.56043947888983</v>
      </c>
      <c r="G26" s="455">
        <f t="shared" si="7"/>
        <v>0</v>
      </c>
      <c r="H26" s="455">
        <f t="shared" si="8"/>
        <v>0</v>
      </c>
      <c r="I26" s="455">
        <f t="shared" si="9"/>
        <v>0</v>
      </c>
      <c r="J26" s="455">
        <f t="shared" si="10"/>
        <v>2.8475743886685001E-2</v>
      </c>
      <c r="K26" s="455">
        <f t="shared" si="11"/>
        <v>0</v>
      </c>
      <c r="L26" s="455">
        <f t="shared" si="12"/>
        <v>0</v>
      </c>
      <c r="M26" s="455">
        <f t="shared" si="13"/>
        <v>0</v>
      </c>
      <c r="N26" s="455">
        <f t="shared" si="14"/>
        <v>0</v>
      </c>
      <c r="O26" s="455">
        <f t="shared" si="15"/>
        <v>0</v>
      </c>
      <c r="P26" s="456">
        <f t="shared" si="16"/>
        <v>0</v>
      </c>
      <c r="Q26" s="454">
        <f t="shared" ca="1" si="17"/>
        <v>1017.0455868287078</v>
      </c>
    </row>
    <row r="27" spans="1:17" s="460" customFormat="1">
      <c r="A27" s="458" t="s">
        <v>552</v>
      </c>
      <c r="B27" s="778">
        <f t="shared" ca="1" si="2"/>
        <v>14.364587620150303</v>
      </c>
      <c r="C27" s="459">
        <f t="shared" ca="1" si="3"/>
        <v>0</v>
      </c>
      <c r="D27" s="459">
        <f t="shared" si="4"/>
        <v>69.873767144660661</v>
      </c>
      <c r="E27" s="459">
        <f t="shared" si="5"/>
        <v>41.372650795557909</v>
      </c>
      <c r="F27" s="459">
        <f t="shared" si="6"/>
        <v>0</v>
      </c>
      <c r="G27" s="459">
        <f t="shared" si="7"/>
        <v>18033.32214262745</v>
      </c>
      <c r="H27" s="459">
        <f t="shared" si="8"/>
        <v>5461.6089308331639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23620.542079020983</v>
      </c>
    </row>
    <row r="28" spans="1:17" ht="16.5" customHeight="1">
      <c r="A28" s="454" t="s">
        <v>542</v>
      </c>
      <c r="B28" s="455">
        <f t="shared" ca="1" si="2"/>
        <v>0</v>
      </c>
      <c r="C28" s="455">
        <f t="shared" ca="1" si="3"/>
        <v>0</v>
      </c>
      <c r="D28" s="455">
        <f t="shared" si="4"/>
        <v>0</v>
      </c>
      <c r="E28" s="455">
        <f t="shared" si="5"/>
        <v>0</v>
      </c>
      <c r="F28" s="455">
        <f t="shared" si="6"/>
        <v>0</v>
      </c>
      <c r="G28" s="455">
        <f t="shared" si="7"/>
        <v>450.73180182200485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450.73180182200485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100.0331187195805</v>
      </c>
      <c r="C32" s="455">
        <f t="shared" ca="1" si="3"/>
        <v>0</v>
      </c>
      <c r="D32" s="455">
        <f t="shared" si="4"/>
        <v>228.37219610051636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328.40531482009686</v>
      </c>
    </row>
    <row r="33" spans="1:17" s="466" customFormat="1">
      <c r="A33" s="464" t="s">
        <v>546</v>
      </c>
      <c r="B33" s="465">
        <f ca="1">SUM(B22:B32)</f>
        <v>5947.4388261418417</v>
      </c>
      <c r="C33" s="465">
        <f t="shared" ref="C33:Q33" ca="1" si="19">SUM(C22:C32)</f>
        <v>0</v>
      </c>
      <c r="D33" s="465">
        <f t="shared" ca="1" si="19"/>
        <v>7975.3720198798046</v>
      </c>
      <c r="E33" s="465">
        <f t="shared" si="19"/>
        <v>1058.3821767251729</v>
      </c>
      <c r="F33" s="465">
        <f t="shared" ca="1" si="19"/>
        <v>7593.6874345895294</v>
      </c>
      <c r="G33" s="465">
        <f t="shared" si="19"/>
        <v>18484.053944449457</v>
      </c>
      <c r="H33" s="465">
        <f t="shared" si="19"/>
        <v>5461.6089308331639</v>
      </c>
      <c r="I33" s="465">
        <f t="shared" si="19"/>
        <v>0</v>
      </c>
      <c r="J33" s="465">
        <f t="shared" si="19"/>
        <v>86.684133750114057</v>
      </c>
      <c r="K33" s="465">
        <f t="shared" si="19"/>
        <v>0</v>
      </c>
      <c r="L33" s="465">
        <f t="shared" ca="1" si="19"/>
        <v>0</v>
      </c>
      <c r="M33" s="465">
        <f t="shared" si="19"/>
        <v>0</v>
      </c>
      <c r="N33" s="465">
        <f t="shared" ca="1" si="19"/>
        <v>0</v>
      </c>
      <c r="O33" s="465">
        <f t="shared" si="19"/>
        <v>0</v>
      </c>
      <c r="P33" s="465">
        <f t="shared" si="19"/>
        <v>0</v>
      </c>
      <c r="Q33" s="465">
        <f t="shared" ca="1" si="19"/>
        <v>46607.227466369077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2725.3836259579721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2769.0336259579722</v>
      </c>
      <c r="C10" s="1028">
        <f>SUM(C4:C9)</f>
        <v>0</v>
      </c>
      <c r="D10" s="1028">
        <f t="shared" ref="D10:H10" si="0">SUM(D8:D9)</f>
        <v>0</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0.20038188414988109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0.20038188414988109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2020-06-20T15:20:15Z</dcterms:modified>
</cp:coreProperties>
</file>