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<sst xmlns="http://schemas.openxmlformats.org/spreadsheetml/2006/main" count="2366" uniqueCount="865">
  <si>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</si>
  <si>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</si>
  <si>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</si>
  <si>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</si>
  <si>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</si>
  <si>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</si>
  <si>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</si>
  <si>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</si>
  <si>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</si>
  <si>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</si>
  <si>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</si>
  <si>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</si>
  <si>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</si>
  <si>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</si>
  <si>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</si>
  <si>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</si>
  <si>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</si>
  <si>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</si>
  <si>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</si>
  <si>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</si>
  <si>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</si>
  <si>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</si>
  <si>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</si>
  <si>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</si>
  <si>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</si>
  <si>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</si>
  <si>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</si>
  <si>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</si>
  <si>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</si>
  <si>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</si>
  <si>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</si>
  <si>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</si>
  <si>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</si>
  <si>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</si>
  <si>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</si>
  <si>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</si>
  <si>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</si>
  <si>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</si>
  <si>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</si>
  <si>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</si>
  <si>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</si>
  <si>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</si>
  <si>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</si>
  <si>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</si>
  <si>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</si>
  <si>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</si>
  <si>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</si>
  <si>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</si>
  <si>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</si>
  <si>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</si>
  <si>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</si>
  <si>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</si>
  <si>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</si>
  <si>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</si>
  <si>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</si>
  <si>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</si>
  <si>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</si>
  <si>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</si>
  <si>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</si>
  <si>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</si>
  <si>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</si>
  <si>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</si>
  <si>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</si>
  <si>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</si>
  <si>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</si>
  <si>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</si>
  <si>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</si>
  <si>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</si>
  <si>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</si>
  <si>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</si>
  <si>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</si>
  <si>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</si>
  <si>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</si>
  <si>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</si>
  <si>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</si>
  <si>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</si>
  <si>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</si>
  <si>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</si>
  <si>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</si>
  <si>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</si>
  <si>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</si>
  <si>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</si>
  <si>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</si>
  <si>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</si>
  <si>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</si>
  <si>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</si>
  <si>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</si>
  <si>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</si>
  <si>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</si>
  <si>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</si>
  <si>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</si>
  <si>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</si>
  <si>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</si>
  <si>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</si>
  <si>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</si>
  <si>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</si>
  <si>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</si>
  <si>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</si>
  <si>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</si>
  <si>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</si>
  <si>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</si>
  <si>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</si>
  <si>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</si>
  <si>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</si>
  <si>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</si>
  <si>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</si>
  <si>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</si>
  <si>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</si>
  <si>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</si>
  <si>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</si>
  <si>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</si>
  <si>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</si>
  <si>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</si>
  <si>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</si>
  <si>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</si>
  <si>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</si>
  <si>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</si>
  <si>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</si>
  <si>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</si>
  <si>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</si>
  <si>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</si>
  <si>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</si>
  <si>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</si>
  <si>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</si>
  <si>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</si>
  <si>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</si>
  <si>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</si>
  <si>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</si>
  <si>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</si>
  <si>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</si>
  <si>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</si>
  <si>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</si>
  <si>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</si>
  <si>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</si>
  <si>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</si>
  <si>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</si>
  <si>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</si>
  <si>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</si>
  <si>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</si>
  <si>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</si>
  <si>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</si>
  <si>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</si>
  <si>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</si>
  <si>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</si>
  <si>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</si>
  <si>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</si>
  <si>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</si>
  <si>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</si>
  <si>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</si>
  <si>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</si>
  <si>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</si>
  <si>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</si>
  <si>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</si>
  <si>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</si>
  <si>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</si>
  <si>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</si>
  <si>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</si>
  <si>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</si>
  <si>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</si>
  <si>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</si>
  <si>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</si>
  <si>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</si>
  <si>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</si>
  <si>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</si>
  <si>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</si>
  <si>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</si>
  <si>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</si>
  <si>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</si>
  <si>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</si>
  <si>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</si>
  <si>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</si>
  <si>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</si>
  <si>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</si>
  <si>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</si>
  <si>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</si>
  <si>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</si>
  <si>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</si>
  <si>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</si>
  <si>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</si>
  <si>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</si>
  <si>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</si>
  <si>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</si>
  <si>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</si>
  <si>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</si>
  <si>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</si>
  <si>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</si>
  <si>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</si>
  <si>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</si>
  <si>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</si>
  <si>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</si>
  <si>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</si>
  <si>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</si>
  <si>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</si>
  <si>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</si>
  <si>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</si>
  <si>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</si>
  <si>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</si>
  <si>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</si>
  <si>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</si>
  <si>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</si>
  <si>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</si>
  <si>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</si>
  <si>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</si>
  <si>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</si>
  <si>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</si>
  <si>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</si>
  <si>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</si>
  <si>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</si>
  <si>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</si>
  <si>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</si>
  <si>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</si>
  <si>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</si>
  <si>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</si>
  <si>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</si>
  <si>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</si>
  <si>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</si>
  <si>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</si>
  <si>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</si>
  <si>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</si>
  <si>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</si>
  <si>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</si>
  <si>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</si>
  <si>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</si>
  <si>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</si>
  <si>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</si>
  <si>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</si>
  <si>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</si>
  <si>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</si>
  <si>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</si>
  <si>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</si>
  <si>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</si>
  <si>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</si>
  <si>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</si>
  <si>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</si>
  <si>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</si>
  <si>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</si>
  <si>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</si>
  <si>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</si>
  <si>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</si>
  <si>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</si>
  <si>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</si>
  <si>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</si>
  <si>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</si>
  <si>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</si>
  <si>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</si>
  <si>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</si>
  <si>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</si>
  <si>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</si>
  <si>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</si>
  <si>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</si>
  <si>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</si>
  <si>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</si>
  <si>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</si>
  <si>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</si>
  <si>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</si>
  <si>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</si>
  <si>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</si>
  <si>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</si>
  <si>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</si>
  <si>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</si>
  <si>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</si>
  <si>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</si>
  <si>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</si>
  <si>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</si>
  <si>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</si>
  <si>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</si>
  <si>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</si>
  <si>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</si>
  <si>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</si>
  <si>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</si>
  <si>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</si>
  <si>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</si>
  <si>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</si>
  <si>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</si>
  <si>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</si>
  <si>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</si>
  <si>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</si>
  <si>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</si>
  <si>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</si>
  <si>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</si>
  <si>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</si>
  <si>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</si>
  <si>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</si>
  <si>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</si>
  <si>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</si>
  <si>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</si>
  <si>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</si>
  <si>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</si>
  <si>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</si>
  <si>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</si>
  <si>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</si>
  <si>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</si>
  <si>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</si>
  <si>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</si>
  <si>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</si>
  <si>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</si>
  <si>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</si>
  <si>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</si>
  <si>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</si>
  <si>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</si>
  <si>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</si>
  <si>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</si>
  <si>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</si>
  <si>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</si>
  <si>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</si>
  <si>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</si>
  <si>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</si>
  <si>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</si>
  <si>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</si>
  <si>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</si>
  <si>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</si>
  <si>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</si>
  <si>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</si>
  <si>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</si>
  <si>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</si>
  <si>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</si>
  <si>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</si>
  <si>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</si>
  <si>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</si>
  <si>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</si>
  <si>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</si>
  <si>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</si>
  <si>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</si>
  <si>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</si>
  <si>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</si>
  <si>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</si>
  <si>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</si>
  <si>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</si>
  <si>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</si>
  <si>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</si>
  <si>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</si>
  <si>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</si>
  <si>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</si>
  <si>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</si>
  <si>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</si>
  <si>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</si>
  <si>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</si>
  <si>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</si>
  <si>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</si>
  <si>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</si>
  <si>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</si>
  <si>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</si>
  <si>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</si>
  <si>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</si>
  <si>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</si>
  <si>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</si>
  <si>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</si>
  <si>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</si>
  <si>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</si>
  <si>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</si>
  <si>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</si>
  <si>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</si>
  <si>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</si>
  <si>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</si>
  <si>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</si>
  <si>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</si>
  <si>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</si>
  <si>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</si>
  <si>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</si>
  <si>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</si>
  <si>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</si>
  <si>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</si>
  <si>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</si>
  <si>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</si>
  <si>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</si>
  <si>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</si>
  <si>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</si>
  <si>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</si>
  <si>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</si>
  <si>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</si>
  <si>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</si>
  <si>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</si>
  <si>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</si>
  <si>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</si>
  <si>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</si>
  <si>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</si>
  <si>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</si>
  <si>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</si>
  <si>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</si>
  <si>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</si>
  <si>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</si>
  <si>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</si>
  <si>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</si>
  <si>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</si>
  <si>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</si>
  <si>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</si>
  <si>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</si>
  <si>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</si>
  <si>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</si>
  <si>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</si>
  <si>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</si>
  <si>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</si>
  <si>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</si>
  <si>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</si>
  <si>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</si>
  <si>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</si>
  <si>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</si>
  <si>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</si>
  <si>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</si>
  <si>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</si>
  <si>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</si>
  <si>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</si>
  <si>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</si>
  <si>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</si>
  <si>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</si>
  <si>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</si>
  <si>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</si>
  <si>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</si>
  <si>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</si>
  <si>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</si>
  <si>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</si>
  <si>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</si>
  <si>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</si>
  <si>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</si>
  <si>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</si>
  <si>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</si>
  <si>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</si>
  <si>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</si>
  <si>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</si>
  <si>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</si>
  <si>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</si>
  <si>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</si>
  <si>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</si>
  <si>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</si>
  <si>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</si>
  <si>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</si>
  <si>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</si>
  <si>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</si>
  <si>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</si>
  <si>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</si>
  <si>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</si>
  <si>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</si>
  <si>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</si>
  <si>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</si>
  <si>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</si>
  <si>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</si>
  <si>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</si>
  <si>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</si>
  <si>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</si>
  <si>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</si>
  <si>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</si>
  <si>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</si>
  <si>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</si>
  <si>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</si>
  <si>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</si>
  <si>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</si>
  <si>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</si>
  <si>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</si>
  <si>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</si>
  <si>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</si>
  <si>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</si>
  <si>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</si>
  <si>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</si>
  <si>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</si>
  <si>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</si>
  <si>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</si>
  <si>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</si>
  <si>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</si>
  <si>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</si>
  <si>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</si>
  <si>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</si>
  <si>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</si>
  <si>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</si>
  <si>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</si>
  <si>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</si>
  <si>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</si>
  <si>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</si>
  <si>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</si>
  <si>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</si>
  <si>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</si>
  <si>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</si>
  <si>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</si>
  <si>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</si>
  <si>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</si>
  <si>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</si>
  <si>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</si>
  <si>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</si>
  <si>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</si>
  <si>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</si>
  <si>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</si>
  <si>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</si>
  <si>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</si>
  <si>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</si>
  <si>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</si>
  <si>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</si>
  <si>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</si>
  <si>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</si>
  <si>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</si>
  <si>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</si>
  <si>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</si>
  <si>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</si>
  <si>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</si>
  <si>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</si>
  <si>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</si>
  <si>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</si>
  <si>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</si>
  <si>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</si>
  <si>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</si>
  <si>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</si>
  <si>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</si>
  <si>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</si>
  <si>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</si>
  <si>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</si>
  <si>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</si>
  <si>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</si>
  <si>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</si>
  <si>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</si>
  <si>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</si>
  <si>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</si>
  <si>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</si>
  <si>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</si>
  <si>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</si>
  <si>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</si>
  <si>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</si>
  <si>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</si>
  <si>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</si>
  <si>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</si>
  <si>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</si>
  <si>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</si>
  <si>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</si>
  <si>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</si>
  <si>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</si>
  <si>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</si>
  <si>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</si>
  <si>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</si>
  <si>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</si>
  <si>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</si>
  <si>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</si>
  <si>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</si>
  <si>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</si>
  <si>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</si>
  <si>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</si>
  <si>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</si>
  <si>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</si>
  <si>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</si>
  <si>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</si>
  <si>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</si>
  <si>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</si>
  <si>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</si>
  <si>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</si>
  <si>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</si>
  <si>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</si>
  <si>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</si>
  <si>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</si>
  <si>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</si>
  <si>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</si>
  <si>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</si>
  <si>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</si>
  <si>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</si>
  <si>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</si>
  <si>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</si>
  <si>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</si>
  <si>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</si>
  <si>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</si>
  <si>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</si>
  <si>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</si>
  <si>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</si>
  <si>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</si>
  <si>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</si>
  <si>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</si>
  <si>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</si>
  <si>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</si>
  <si>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</si>
  <si>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</si>
  <si>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</si>
  <si>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</si>
  <si>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</si>
  <si>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</si>
  <si>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</si>
  <si>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</si>
  <si>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</si>
  <si>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</si>
  <si>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</si>
  <si>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</si>
  <si>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</si>
  <si>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</si>
  <si>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</si>
  <si>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</si>
  <si>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</si>
  <si>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</si>
  <si>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</si>
  <si>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</si>
  <si>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</si>
  <si>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</si>
  <si>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</si>
  <si>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</si>
  <si>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</si>
  <si>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</si>
  <si>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</si>
  <si>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</si>
  <si>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</si>
  <si>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</si>
  <si>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</si>
  <si>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</si>
  <si>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</si>
  <si>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</si>
  <si>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</si>
  <si>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</si>
  <si>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</si>
  <si>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</si>
  <si>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</si>
  <si>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</si>
  <si>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</si>
  <si>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</si>
  <si>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</si>
  <si>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</si>
  <si>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</si>
  <si>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</si>
  <si>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</si>
  <si>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</si>
  <si>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</si>
  <si>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</si>
  <si>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</si>
  <si>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</si>
  <si>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</si>
  <si>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</si>
  <si>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</si>
  <si>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</si>
  <si>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</si>
  <si>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</si>
  <si>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</si>
  <si>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</si>
  <si>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</si>
  <si>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</si>
  <si>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</si>
  <si>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</si>
  <si>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</si>
  <si>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</si>
  <si>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</si>
  <si>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</si>
  <si>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</si>
  <si>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</si>
  <si>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</si>
  <si>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</si>
  <si>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</si>
  <si>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</si>
  <si>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</si>
  <si>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</si>
  <si>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</si>
  <si>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</si>
  <si>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</si>
  <si>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</si>
  <si>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</si>
  <si>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</si>
  <si>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</si>
  <si>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</si>
  <si>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</si>
  <si>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</si>
  <si>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</si>
  <si>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</si>
  <si>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</si>
  <si>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</si>
  <si>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</si>
  <si>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</si>
  <si>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</si>
  <si>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</si>
  <si>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</si>
  <si>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</si>
  <si>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</si>
  <si>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</si>
  <si>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</si>
  <si>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</si>
  <si>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</si>
  <si>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</si>
  <si>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</si>
  <si>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</si>
  <si>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</si>
  <si>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</si>
  <si>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</si>
  <si>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</si>
  <si>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</si>
  <si>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</si>
  <si>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</si>
  <si>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</si>
  <si>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</si>
  <si>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</si>
  <si>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</si>
  <si>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</si>
  <si>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</si>
  <si>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</si>
  <si>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</si>
  <si>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</si>
  <si>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</si>
  <si>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</si>
  <si>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</si>
  <si>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</si>
  <si>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</si>
  <si>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</si>
  <si>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</si>
  <si>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</si>
  <si>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</si>
  <si>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</si>
  <si>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</si>
  <si>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</si>
  <si>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</si>
  <si>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</si>
  <si>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</si>
  <si>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</si>
  <si>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</si>
  <si>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</si>
  <si>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</si>
  <si>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</si>
  <si>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</si>
  <si>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</si>
  <si>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</si>
  <si>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</si>
  <si>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</si>
  <si>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</si>
  <si>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</si>
  <si>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</si>
  <si>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</si>
  <si>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</si>
  <si>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</si>
  <si>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</si>
  <si>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</si>
  <si>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</si>
  <si>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</si>
  <si>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</si>
  <si>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</si>
  <si>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</si>
  <si>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</si>
  <si>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</si>
  <si>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</si>
  <si>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</si>
  <si>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</si>
  <si>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</si>
  <si>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</si>
  <si>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</si>
  <si>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</si>
  <si>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</si>
  <si>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</si>
  <si>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</si>
  <si>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</si>
  <si>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</si>
  <si>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</si>
  <si>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</si>
  <si>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</si>
  <si>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</si>
  <si>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</si>
  <si>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</si>
  <si>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</si>
  <si>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</si>
  <si>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</si>
  <si>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</si>
  <si>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</si>
  <si>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</si>
  <si>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</si>
  <si>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</si>
  <si>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</si>
  <si>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</si>
  <si>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</si>
  <si>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</si>
  <si>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</si>
  <si>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</si>
  <si>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</si>
  <si>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</si>
  <si>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</si>
  <si>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</si>
  <si>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</si>
  <si>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</si>
  <si>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</si>
  <si>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</si>
  <si>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</si>
  <si>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</si>
  <si>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</si>
  <si>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</si>
  <si>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</si>
  <si>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</si>
  <si>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</si>
  <si>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</si>
  <si>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</si>
  <si>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</si>
  <si>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</si>
  <si>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</si>
  <si>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</si>
  <si>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</si>
  <si>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</si>
  <si>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</si>
  <si>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</si>
  <si>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</si>
  <si>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</si>
  <si>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</si>
  <si>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</si>
  <si>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</si>
  <si>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</si>
  <si>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</si>
  <si>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</si>
  <si>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</si>
  <si>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</si>
  <si>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</si>
  <si>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</si>
  <si>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</si>
  <si>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</si>
  <si>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</si>
  <si>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</si>
  <si>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</si>
  <si>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</si>
  <si>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</si>
  <si>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</si>
  <si>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</si>
  <si>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</si>
  <si>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</si>
  <si>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</si>
  <si>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</si>
  <si>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</si>
  <si>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</si>
  <si>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</si>
  <si>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</si>
  <si>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</si>
  <si>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</si>
  <si>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</si>
  <si>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</si>
  <si>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</si>
  <si>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</si>
  <si>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</si>
  <si>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</si>
  <si>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</si>
  <si>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</si>
  <si>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</si>
  <si>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</si>
  <si>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</si>
  <si>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</si>
  <si>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</si>
  <si>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</si>
  <si>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</si>
  <si>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</si>
  <si>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</si>
  <si>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</si>
  <si>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</si>
  <si>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</si>
  <si>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</si>
  <si>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</si>
  <si>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</si>
  <si>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</si>
  <si>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</si>
  <si>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</si>
  <si>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</si>
  <si>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</si>
  <si>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</si>
  <si>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</si>
  <si>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</si>
  <si>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</si>
  <si>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</si>
  <si>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</si>
  <si>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</si>
  <si>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</si>
  <si>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</si>
  <si>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</si>
  <si>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</si>
  <si>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</si>
  <si>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</si>
  <si>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</si>
  <si>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</si>
  <si>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</si>
  <si>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</si>
  <si>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</si>
  <si>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</si>
  <si>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</si>
  <si>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</si>
  <si>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</si>
  <si>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</si>
  <si>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</si>
  <si>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23101</t>
  </si>
  <si>
    <t>SINT-GENESIUS-RODE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</si>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</sst>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173960.40256880582</c:v>
                </c:pt>
                <c:pt idx="1">
                  <c:v>54532.780126701546</c:v>
                </c:pt>
                <c:pt idx="2">
                  <c:v>1128.5129999999999</c:v>
                </c:pt>
                <c:pt idx="3">
                  <c:v>377.45601606550855</c:v>
                </c:pt>
                <c:pt idx="4">
                  <c:v>4204.6256578054054</c:v>
                </c:pt>
                <c:pt idx="5">
                  <c:v>89829.72088104664</c:v>
                </c:pt>
                <c:pt idx="6">
                  <c:v>1715.3079955964483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173960.40256880582</c:v>
                </c:pt>
                <c:pt idx="1">
                  <c:v>54532.780126701546</c:v>
                </c:pt>
                <c:pt idx="2">
                  <c:v>1128.5129999999999</c:v>
                </c:pt>
                <c:pt idx="3">
                  <c:v>377.45601606550855</c:v>
                </c:pt>
                <c:pt idx="4">
                  <c:v>4204.6256578054054</c:v>
                </c:pt>
                <c:pt idx="5">
                  <c:v>89829.72088104664</c:v>
                </c:pt>
                <c:pt idx="6">
                  <c:v>1715.3079955964483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34397.384127151483</c:v>
                </c:pt>
                <c:pt idx="1">
                  <c:v>11183.541544938886</c:v>
                </c:pt>
                <c:pt idx="2">
                  <c:v>241.07939912866354</c:v>
                </c:pt>
                <c:pt idx="3">
                  <c:v>94.405512876659884</c:v>
                </c:pt>
                <c:pt idx="4">
                  <c:v>906.62586277061257</c:v>
                </c:pt>
                <c:pt idx="5">
                  <c:v>22186.366838891474</c:v>
                </c:pt>
                <c:pt idx="6">
                  <c:v>434.41348489354414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34397.384127151483</c:v>
                </c:pt>
                <c:pt idx="1">
                  <c:v>11183.541544938886</c:v>
                </c:pt>
                <c:pt idx="2">
                  <c:v>241.07939912866354</c:v>
                </c:pt>
                <c:pt idx="3">
                  <c:v>94.405512876659884</c:v>
                </c:pt>
                <c:pt idx="4">
                  <c:v>906.62586277061257</c:v>
                </c:pt>
                <c:pt idx="5">
                  <c:v>22186.366838891474</c:v>
                </c:pt>
                <c:pt idx="6">
                  <c:v>434.41348489354414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23101</v>
      </c>
      <c r="B6" s="392"/>
      <c r="C6" s="393"/>
    </row>
    <row r="7" spans="1:7" s="390" customFormat="1" ht="15.75" customHeight="1">
      <c r="A7" s="394" t="str">
        <f>txtMunicipality</f>
        <v>SINT-GENESIUS-RODE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0.21362571731886434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0.21362571731886434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6953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417.85</v>
      </c>
      <c r="C14" s="332"/>
      <c r="D14" s="332"/>
      <c r="E14" s="332"/>
      <c r="F14" s="332"/>
    </row>
    <row r="15" spans="1:6">
      <c r="A15" s="1310" t="s">
        <v>183</v>
      </c>
      <c r="B15" s="1311">
        <v>3</v>
      </c>
      <c r="C15" s="332"/>
      <c r="D15" s="332"/>
      <c r="E15" s="332"/>
      <c r="F15" s="332"/>
    </row>
    <row r="16" spans="1:6">
      <c r="A16" s="1310" t="s">
        <v>6</v>
      </c>
      <c r="B16" s="1311">
        <v>65</v>
      </c>
      <c r="C16" s="332"/>
      <c r="D16" s="332"/>
      <c r="E16" s="332"/>
      <c r="F16" s="332"/>
    </row>
    <row r="17" spans="1:6">
      <c r="A17" s="1310" t="s">
        <v>7</v>
      </c>
      <c r="B17" s="1311">
        <v>121</v>
      </c>
      <c r="C17" s="332"/>
      <c r="D17" s="332"/>
      <c r="E17" s="332"/>
      <c r="F17" s="332"/>
    </row>
    <row r="18" spans="1:6">
      <c r="A18" s="1310" t="s">
        <v>8</v>
      </c>
      <c r="B18" s="1311">
        <v>126</v>
      </c>
      <c r="C18" s="332"/>
      <c r="D18" s="332"/>
      <c r="E18" s="332"/>
      <c r="F18" s="332"/>
    </row>
    <row r="19" spans="1:6">
      <c r="A19" s="1310" t="s">
        <v>9</v>
      </c>
      <c r="B19" s="1311">
        <v>131</v>
      </c>
      <c r="C19" s="332"/>
      <c r="D19" s="332"/>
      <c r="E19" s="332"/>
      <c r="F19" s="332"/>
    </row>
    <row r="20" spans="1:6">
      <c r="A20" s="1310" t="s">
        <v>10</v>
      </c>
      <c r="B20" s="1311">
        <v>181</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130</v>
      </c>
      <c r="C29" s="338"/>
      <c r="D29" s="338"/>
      <c r="E29" s="338"/>
      <c r="F29" s="338"/>
    </row>
    <row r="30" spans="1:6">
      <c r="A30" s="1305" t="s">
        <v>700</v>
      </c>
      <c r="B30" s="1314">
        <v>39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5744</v>
      </c>
    </row>
    <row r="39" spans="1:6">
      <c r="A39" s="1310" t="s">
        <v>29</v>
      </c>
      <c r="B39" s="1310" t="s">
        <v>30</v>
      </c>
      <c r="C39" s="1311">
        <v>5567</v>
      </c>
      <c r="D39" s="1311">
        <v>140120499.69624501</v>
      </c>
      <c r="E39" s="1311">
        <v>6871</v>
      </c>
      <c r="F39" s="1311">
        <v>31585540.771005299</v>
      </c>
    </row>
    <row r="40" spans="1:6">
      <c r="A40" s="1310" t="s">
        <v>29</v>
      </c>
      <c r="B40" s="1310" t="s">
        <v>28</v>
      </c>
      <c r="C40" s="1311">
        <v>1</v>
      </c>
      <c r="D40" s="1311">
        <v>68759.861445487797</v>
      </c>
      <c r="E40" s="1311">
        <v>1</v>
      </c>
      <c r="F40" s="1311">
        <v>16447</v>
      </c>
    </row>
    <row r="41" spans="1:6">
      <c r="A41" s="1310" t="s">
        <v>31</v>
      </c>
      <c r="B41" s="1310" t="s">
        <v>32</v>
      </c>
      <c r="C41" s="1311">
        <v>84</v>
      </c>
      <c r="D41" s="1311">
        <v>1875493.3931163901</v>
      </c>
      <c r="E41" s="1311">
        <v>120</v>
      </c>
      <c r="F41" s="1311">
        <v>1278471.0370320401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10</v>
      </c>
      <c r="F44" s="1311">
        <v>84721.883740520003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131354.562150527</v>
      </c>
      <c r="E47" s="1311">
        <v>8</v>
      </c>
      <c r="F47" s="1311">
        <v>55475.7797667134</v>
      </c>
    </row>
    <row r="48" spans="1:6">
      <c r="A48" s="1310" t="s">
        <v>31</v>
      </c>
      <c r="B48" s="1310" t="s">
        <v>28</v>
      </c>
      <c r="C48" s="1311">
        <v>5</v>
      </c>
      <c r="D48" s="1311">
        <v>97787.796584234195</v>
      </c>
      <c r="E48" s="1311">
        <v>3</v>
      </c>
      <c r="F48" s="1311">
        <v>33577.873582073</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4</v>
      </c>
      <c r="D51" s="1311">
        <v>70988.745839844603</v>
      </c>
      <c r="E51" s="1311">
        <v>5</v>
      </c>
      <c r="F51" s="1311">
        <v>68956.967903973695</v>
      </c>
    </row>
    <row r="52" spans="1:6">
      <c r="A52" s="1310" t="s">
        <v>41</v>
      </c>
      <c r="B52" s="1310" t="s">
        <v>28</v>
      </c>
      <c r="C52" s="1311">
        <v>0</v>
      </c>
      <c r="D52" s="1311">
        <v>0</v>
      </c>
      <c r="E52" s="1311">
        <v>0</v>
      </c>
      <c r="F52" s="1311">
        <v>0</v>
      </c>
    </row>
    <row r="53" spans="1:6">
      <c r="A53" s="1310" t="s">
        <v>43</v>
      </c>
      <c r="B53" s="1310" t="s">
        <v>44</v>
      </c>
      <c r="C53" s="1311">
        <v>230</v>
      </c>
      <c r="D53" s="1311">
        <v>7665529.2244484704</v>
      </c>
      <c r="E53" s="1311">
        <v>344</v>
      </c>
      <c r="F53" s="1311">
        <v>1762089.76573782</v>
      </c>
    </row>
    <row r="54" spans="1:6">
      <c r="A54" s="1310" t="s">
        <v>45</v>
      </c>
      <c r="B54" s="1310" t="s">
        <v>46</v>
      </c>
      <c r="C54" s="1311">
        <v>0</v>
      </c>
      <c r="D54" s="1311">
        <v>0</v>
      </c>
      <c r="E54" s="1311">
        <v>1</v>
      </c>
      <c r="F54" s="1311">
        <v>1128513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87</v>
      </c>
      <c r="D57" s="1311">
        <v>8907934.7698739599</v>
      </c>
      <c r="E57" s="1311">
        <v>158</v>
      </c>
      <c r="F57" s="1311">
        <v>3226953.84095544</v>
      </c>
    </row>
    <row r="58" spans="1:6">
      <c r="A58" s="1310" t="s">
        <v>48</v>
      </c>
      <c r="B58" s="1310" t="s">
        <v>50</v>
      </c>
      <c r="C58" s="1311">
        <v>43</v>
      </c>
      <c r="D58" s="1311">
        <v>2623244.0621177601</v>
      </c>
      <c r="E58" s="1311">
        <v>52</v>
      </c>
      <c r="F58" s="1311">
        <v>727553.308173839</v>
      </c>
    </row>
    <row r="59" spans="1:6">
      <c r="A59" s="1310" t="s">
        <v>48</v>
      </c>
      <c r="B59" s="1310" t="s">
        <v>51</v>
      </c>
      <c r="C59" s="1311">
        <v>121</v>
      </c>
      <c r="D59" s="1311">
        <v>4553940.9263243098</v>
      </c>
      <c r="E59" s="1311">
        <v>187</v>
      </c>
      <c r="F59" s="1311">
        <v>4189554.4768097</v>
      </c>
    </row>
    <row r="60" spans="1:6">
      <c r="A60" s="1310" t="s">
        <v>48</v>
      </c>
      <c r="B60" s="1310" t="s">
        <v>52</v>
      </c>
      <c r="C60" s="1311">
        <v>27</v>
      </c>
      <c r="D60" s="1311">
        <v>2073719.4608445</v>
      </c>
      <c r="E60" s="1311">
        <v>27</v>
      </c>
      <c r="F60" s="1311">
        <v>640943.78709061805</v>
      </c>
    </row>
    <row r="61" spans="1:6">
      <c r="A61" s="1310" t="s">
        <v>48</v>
      </c>
      <c r="B61" s="1310" t="s">
        <v>53</v>
      </c>
      <c r="C61" s="1311">
        <v>320</v>
      </c>
      <c r="D61" s="1311">
        <v>16556081.906550201</v>
      </c>
      <c r="E61" s="1311">
        <v>461</v>
      </c>
      <c r="F61" s="1311">
        <v>6114847.4131712802</v>
      </c>
    </row>
    <row r="62" spans="1:6">
      <c r="A62" s="1310" t="s">
        <v>48</v>
      </c>
      <c r="B62" s="1310" t="s">
        <v>54</v>
      </c>
      <c r="C62" s="1311">
        <v>17</v>
      </c>
      <c r="D62" s="1311">
        <v>2327110.3469111798</v>
      </c>
      <c r="E62" s="1311">
        <v>19</v>
      </c>
      <c r="F62" s="1311">
        <v>1722449.0348931099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81997.868979730003</v>
      </c>
      <c r="E65" s="1311">
        <v>2</v>
      </c>
      <c r="F65" s="1311">
        <v>9576.8131801243999</v>
      </c>
    </row>
    <row r="66" spans="1:6">
      <c r="A66" s="1310" t="s">
        <v>55</v>
      </c>
      <c r="B66" s="1310" t="s">
        <v>57</v>
      </c>
      <c r="C66" s="1311">
        <v>0</v>
      </c>
      <c r="D66" s="1311">
        <v>0</v>
      </c>
      <c r="E66" s="1311">
        <v>10</v>
      </c>
      <c r="F66" s="1311">
        <v>176703.57844607401</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42983846</v>
      </c>
      <c r="E73" s="453"/>
      <c r="F73" s="332"/>
    </row>
    <row r="74" spans="1:6">
      <c r="A74" s="1310" t="s">
        <v>63</v>
      </c>
      <c r="B74" s="1310" t="s">
        <v>648</v>
      </c>
      <c r="C74" s="1324" t="s">
        <v>650</v>
      </c>
      <c r="D74" s="1325">
        <v>311487.61118579248</v>
      </c>
      <c r="E74" s="453"/>
      <c r="F74" s="332"/>
    </row>
    <row r="75" spans="1:6">
      <c r="A75" s="1310" t="s">
        <v>64</v>
      </c>
      <c r="B75" s="1310" t="s">
        <v>647</v>
      </c>
      <c r="C75" s="1324" t="s">
        <v>651</v>
      </c>
      <c r="D75" s="1325">
        <v>62962054</v>
      </c>
      <c r="E75" s="453"/>
      <c r="F75" s="332"/>
    </row>
    <row r="76" spans="1:6">
      <c r="A76" s="1310" t="s">
        <v>64</v>
      </c>
      <c r="B76" s="1310" t="s">
        <v>648</v>
      </c>
      <c r="C76" s="1324" t="s">
        <v>652</v>
      </c>
      <c r="D76" s="1325">
        <v>1102487.6111857926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475784.77762841497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1544.1247958765071</v>
      </c>
      <c r="C91" s="332"/>
      <c r="D91" s="332"/>
      <c r="E91" s="332"/>
      <c r="F91" s="332"/>
    </row>
    <row r="92" spans="1:6">
      <c r="A92" s="1305" t="s">
        <v>68</v>
      </c>
      <c r="B92" s="1306">
        <v>266.13776069489387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3717</v>
      </c>
      <c r="C97" s="332"/>
      <c r="D97" s="332"/>
      <c r="E97" s="332"/>
      <c r="F97" s="332"/>
    </row>
    <row r="98" spans="1:6">
      <c r="A98" s="1310" t="s">
        <v>71</v>
      </c>
      <c r="B98" s="1311">
        <v>2</v>
      </c>
      <c r="C98" s="332"/>
      <c r="D98" s="332"/>
      <c r="E98" s="332"/>
      <c r="F98" s="332"/>
    </row>
    <row r="99" spans="1:6">
      <c r="A99" s="1310" t="s">
        <v>72</v>
      </c>
      <c r="B99" s="1311">
        <v>15</v>
      </c>
      <c r="C99" s="332"/>
      <c r="D99" s="332"/>
      <c r="E99" s="332"/>
      <c r="F99" s="332"/>
    </row>
    <row r="100" spans="1:6">
      <c r="A100" s="1310" t="s">
        <v>73</v>
      </c>
      <c r="B100" s="1311">
        <v>320</v>
      </c>
      <c r="C100" s="332"/>
      <c r="D100" s="332"/>
      <c r="E100" s="332"/>
      <c r="F100" s="332"/>
    </row>
    <row r="101" spans="1:6">
      <c r="A101" s="1310" t="s">
        <v>74</v>
      </c>
      <c r="B101" s="1311">
        <v>35</v>
      </c>
      <c r="C101" s="332"/>
      <c r="D101" s="332"/>
      <c r="E101" s="332"/>
      <c r="F101" s="332"/>
    </row>
    <row r="102" spans="1:6">
      <c r="A102" s="1310" t="s">
        <v>75</v>
      </c>
      <c r="B102" s="1311">
        <v>97</v>
      </c>
      <c r="C102" s="332"/>
      <c r="D102" s="332"/>
      <c r="E102" s="332"/>
      <c r="F102" s="332"/>
    </row>
    <row r="103" spans="1:6">
      <c r="A103" s="1310" t="s">
        <v>76</v>
      </c>
      <c r="B103" s="1311">
        <v>46</v>
      </c>
      <c r="C103" s="332"/>
      <c r="D103" s="332"/>
      <c r="E103" s="332"/>
      <c r="F103" s="332"/>
    </row>
    <row r="104" spans="1:6">
      <c r="A104" s="1310" t="s">
        <v>77</v>
      </c>
      <c r="B104" s="1311">
        <v>1914</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6</v>
      </c>
      <c r="C123" s="1311">
        <v>10</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54</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54251.788587614756</v>
      </c>
      <c r="C3" s="43" t="s">
        <v>169</v>
      </c>
      <c r="D3" s="43"/>
      <c r="E3" s="154"/>
      <c r="F3" s="43"/>
      <c r="G3" s="43"/>
      <c r="H3" s="43"/>
      <c r="I3" s="43"/>
      <c r="J3" s="43"/>
      <c r="K3" s="96"/>
    </row>
    <row r="4" spans="1:11">
      <c r="A4" s="360" t="s">
        <v>170</v>
      </c>
      <c r="B4" s="49">
        <f>IF(ISERROR('SEAP template'!B78+'SEAP template'!C78),0,'SEAP template'!B78+'SEAP template'!C78)</f>
        <v>1810.2625565714009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0.21362571731886434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1128.5129999999999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1128.5129999999999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0.21362571731886434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241.07939912866354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31601.987771005301</v>
      </c>
      <c r="C5" s="17">
        <f>IF(ISERROR('Eigen informatie GS &amp; warmtenet'!B59),0,'Eigen informatie GS &amp; warmtenet'!B59)</f>
        <v>0</v>
      </c>
      <c r="D5" s="30">
        <f>(SUM(HH_hh_gas_kWh,HH_rest_gas_kWh)/1000)*0.903</f>
        <v>126590.90138059453</v>
      </c>
      <c r="E5" s="17">
        <f>B46*B57</f>
        <v>1635.5895578389436</v>
      </c>
      <c r="F5" s="17">
        <f>B51*B62</f>
        <v>5145.6222667041084</v>
      </c>
      <c r="G5" s="18"/>
      <c r="H5" s="17"/>
      <c r="I5" s="17"/>
      <c r="J5" s="17">
        <f>B50*B61+C50*C61</f>
        <v>0</v>
      </c>
      <c r="K5" s="17"/>
      <c r="L5" s="17"/>
      <c r="M5" s="17"/>
      <c r="N5" s="17">
        <f>B48*B59+C48*C59</f>
        <v>7153.2261646916158</v>
      </c>
      <c r="O5" s="17">
        <f>B69*B70*B71</f>
        <v>130.94124247954412</v>
      </c>
      <c r="P5" s="17">
        <f>B77*B78*B79/1000-B77*B78*B79/1000/B80</f>
        <v>158.00938961527535</v>
      </c>
    </row>
    <row r="6" spans="1:16">
      <c r="A6" s="16" t="s">
        <v>612</v>
      </c>
      <c r="B6" s="786">
        <f>kWh_PV_kleiner_dan_10kW</f>
        <v>1544.1247958765071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33146.112566881806</v>
      </c>
      <c r="C8" s="21">
        <f>C5</f>
        <v>0</v>
      </c>
      <c r="D8" s="21">
        <f>D5</f>
        <v>126590.90138059453</v>
      </c>
      <c r="E8" s="21">
        <f>E5</f>
        <v>1635.5895578389436</v>
      </c>
      <c r="F8" s="21">
        <f>F5</f>
        <v>5145.6222667041084</v>
      </c>
      <c r="G8" s="21"/>
      <c r="H8" s="21"/>
      <c r="I8" s="21"/>
      <c r="J8" s="21">
        <f>J5</f>
        <v>0</v>
      </c>
      <c r="K8" s="21"/>
      <c r="L8" s="21">
        <f>L5</f>
        <v>0</v>
      </c>
      <c r="M8" s="21">
        <f>M5</f>
        <v>0</v>
      </c>
      <c r="N8" s="21">
        <f>N5</f>
        <v>7153.2261646916158</v>
      </c>
      <c r="O8" s="21">
        <f>O5</f>
        <v>130.94124247954412</v>
      </c>
      <c r="P8" s="21">
        <f>P5</f>
        <v>158.00938961527535</v>
      </c>
    </row>
    <row r="9" spans="1:16">
      <c r="B9" s="19"/>
      <c r="C9" s="19"/>
      <c r="D9" s="258"/>
      <c r="E9" s="19"/>
      <c r="F9" s="19"/>
      <c r="G9" s="19"/>
      <c r="H9" s="19"/>
      <c r="I9" s="19"/>
      <c r="J9" s="19"/>
      <c r="K9" s="19"/>
      <c r="L9" s="19"/>
      <c r="M9" s="19"/>
      <c r="N9" s="19"/>
      <c r="O9" s="19"/>
      <c r="P9" s="19"/>
    </row>
    <row r="10" spans="1:16">
      <c r="A10" s="24" t="s">
        <v>213</v>
      </c>
      <c r="B10" s="25">
        <f ca="1">'EF ele_warmte'!B12</f>
        <v>0.21362571731886434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7080.8620734319493</v>
      </c>
      <c r="C12" s="23">
        <f ca="1">C10*C8</f>
        <v>0</v>
      </c>
      <c r="D12" s="23">
        <f>D8*D10</f>
        <v>25571.362078880098</v>
      </c>
      <c r="E12" s="23">
        <f>E10*E8</f>
        <v>371.27882962944022</v>
      </c>
      <c r="F12" s="23">
        <f>F10*F8</f>
        <v>1373.8811452099969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6953</v>
      </c>
      <c r="C28" s="36"/>
      <c r="D28" s="228"/>
    </row>
    <row r="29" spans="1:7" s="15" customFormat="1">
      <c r="A29" s="230" t="s">
        <v>839</v>
      </c>
      <c r="B29" s="37">
        <f>SUM(HH_hh_gas_aantal,HH_rest_gas_aantal)</f>
        <v>5568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5568</v>
      </c>
      <c r="C32" s="167">
        <f>IF(ISERROR(B32/SUM($B$32,$B$34,$B$35,$B$36,$B$38,$B$39)*100),0,B32/SUM($B$32,$B$34,$B$35,$B$36,$B$38,$B$39)*100)</f>
        <v>80.253675410781199</v>
      </c>
      <c r="D32" s="233"/>
      <c r="G32" s="15"/>
    </row>
    <row r="33" spans="1:7">
      <c r="A33" s="171" t="s">
        <v>71</v>
      </c>
      <c r="B33" s="34" t="s">
        <v>110</v>
      </c>
      <c r="C33" s="167"/>
      <c r="D33" s="233"/>
      <c r="G33" s="15"/>
    </row>
    <row r="34" spans="1:7">
      <c r="A34" s="171" t="s">
        <v>72</v>
      </c>
      <c r="B34" s="33">
        <f>IF((($B$28-$B$32-$B$39-$B$77-$B$38)*C20/100)&lt;0,0,($B$28-$B$32-$B$39-$B$77-$B$38)*C20/100)</f>
        <v>45.482432432432439</v>
      </c>
      <c r="C34" s="167">
        <f>IF(ISERROR(B34/SUM($B$32,$B$34,$B$35,$B$36,$B$38,$B$39)*100),0,B34/SUM($B$32,$B$34,$B$35,$B$36,$B$38,$B$39)*100)</f>
        <v>0.65555538242191469</v>
      </c>
      <c r="D34" s="233"/>
      <c r="G34" s="15"/>
    </row>
    <row r="35" spans="1:7">
      <c r="A35" s="171" t="s">
        <v>73</v>
      </c>
      <c r="B35" s="33">
        <f>IF((($B$28-$B$32-$B$39-$B$77-$B$38)*C21/100)&lt;0,0,($B$28-$B$32-$B$39-$B$77-$B$38)*C21/100)</f>
        <v>970.29189189189196</v>
      </c>
      <c r="C35" s="167">
        <f>IF(ISERROR(B35/SUM($B$32,$B$34,$B$35,$B$36,$B$38,$B$39)*100),0,B35/SUM($B$32,$B$34,$B$35,$B$36,$B$38,$B$39)*100)</f>
        <v>13.985181491667511</v>
      </c>
      <c r="D35" s="233"/>
      <c r="G35" s="15"/>
    </row>
    <row r="36" spans="1:7">
      <c r="A36" s="171" t="s">
        <v>74</v>
      </c>
      <c r="B36" s="33">
        <f>IF((($B$28-$B$32-$B$39-$B$77-$B$38)*C22/100)&lt;0,0,($B$28-$B$32-$B$39-$B$77-$B$38)*C22/100)</f>
        <v>106.12567567567568</v>
      </c>
      <c r="C36" s="167">
        <f>IF(ISERROR(B36/SUM($B$32,$B$34,$B$35,$B$36,$B$38,$B$39)*100),0,B36/SUM($B$32,$B$34,$B$35,$B$36,$B$38,$B$39)*100)</f>
        <v>1.5296292256511341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248.09999999999991</v>
      </c>
      <c r="C39" s="167">
        <f>IF(ISERROR(B39/SUM($B$32,$B$34,$B$35,$B$36,$B$38,$B$39)*100),0,B39/SUM($B$32,$B$34,$B$35,$B$36,$B$38,$B$39)*100)</f>
        <v>3.5759584894782344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5568</v>
      </c>
      <c r="C44" s="34" t="s">
        <v>110</v>
      </c>
      <c r="D44" s="174"/>
    </row>
    <row r="45" spans="1:7">
      <c r="A45" s="171" t="s">
        <v>71</v>
      </c>
      <c r="B45" s="33" t="str">
        <f t="shared" si="0"/>
        <v>-</v>
      </c>
      <c r="C45" s="34" t="s">
        <v>110</v>
      </c>
      <c r="D45" s="174"/>
    </row>
    <row r="46" spans="1:7">
      <c r="A46" s="171" t="s">
        <v>72</v>
      </c>
      <c r="B46" s="33">
        <f t="shared" si="0"/>
        <v>45.482432432432439</v>
      </c>
      <c r="C46" s="34" t="s">
        <v>110</v>
      </c>
      <c r="D46" s="174"/>
    </row>
    <row r="47" spans="1:7">
      <c r="A47" s="171" t="s">
        <v>73</v>
      </c>
      <c r="B47" s="33">
        <f t="shared" si="0"/>
        <v>970.29189189189196</v>
      </c>
      <c r="C47" s="34" t="s">
        <v>110</v>
      </c>
      <c r="D47" s="174"/>
    </row>
    <row r="48" spans="1:7">
      <c r="A48" s="171" t="s">
        <v>74</v>
      </c>
      <c r="B48" s="33">
        <f t="shared" si="0"/>
        <v>106.12567567567568</v>
      </c>
      <c r="C48" s="33">
        <f>B48*10</f>
        <v>1061.2567567567569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248.09999999999991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16622.301861093987</v>
      </c>
      <c r="C5" s="17">
        <f>IF(ISERROR('Eigen informatie GS &amp; warmtenet'!B60),0,'Eigen informatie GS &amp; warmtenet'!B60)</f>
        <v>0</v>
      </c>
      <c r="D5" s="30">
        <f>SUM(D6:D12)</f>
        <v>33448.954419777583</v>
      </c>
      <c r="E5" s="17">
        <f>SUM(E6:E12)</f>
        <v>62.406068068016651</v>
      </c>
      <c r="F5" s="17">
        <f>SUM(F6:F12)</f>
        <v>3227.4312155982971</v>
      </c>
      <c r="G5" s="18"/>
      <c r="H5" s="17"/>
      <c r="I5" s="17"/>
      <c r="J5" s="17">
        <f>SUM(J6:J12)</f>
        <v>3.1868815627221311E-2</v>
      </c>
      <c r="K5" s="17"/>
      <c r="L5" s="17"/>
      <c r="M5" s="17"/>
      <c r="N5" s="17">
        <f>SUM(N6:N12)</f>
        <v>1166.7574325821874</v>
      </c>
      <c r="O5" s="17">
        <f>B38*B39*B40</f>
        <v>4.8972607658411542</v>
      </c>
      <c r="P5" s="17">
        <f>B46*B47*B48/1000-B46*B47*B48/1000/B49</f>
        <v>0</v>
      </c>
      <c r="R5" s="32"/>
    </row>
    <row r="6" spans="1:18">
      <c r="A6" s="32" t="s">
        <v>53</v>
      </c>
      <c r="B6" s="37">
        <f>B26</f>
        <v>6114.8474131712801</v>
      </c>
      <c r="C6" s="33"/>
      <c r="D6" s="37">
        <f>IF(ISERROR(TER_kantoor_gas_kWh/1000),0,TER_kantoor_gas_kWh/1000)*0.903</f>
        <v>14950.141961614831</v>
      </c>
      <c r="E6" s="33">
        <f>$C$26*'E Balans VL '!I12/100/3.6*1000000</f>
        <v>1.4649720926023617</v>
      </c>
      <c r="F6" s="33">
        <f>$C$26*('E Balans VL '!L12+'E Balans VL '!N12)/100/3.6*1000000</f>
        <v>579.86379811088182</v>
      </c>
      <c r="G6" s="34"/>
      <c r="H6" s="33"/>
      <c r="I6" s="33"/>
      <c r="J6" s="33">
        <f>$C$26*('E Balans VL '!D12+'E Balans VL '!E12)/100/3.6*1000000</f>
        <v>0</v>
      </c>
      <c r="K6" s="33"/>
      <c r="L6" s="33"/>
      <c r="M6" s="33"/>
      <c r="N6" s="33">
        <f>$C$26*'E Balans VL '!Y12/100/3.6*1000000</f>
        <v>3.1060262033833919</v>
      </c>
      <c r="O6" s="33"/>
      <c r="P6" s="33"/>
      <c r="R6" s="32"/>
    </row>
    <row r="7" spans="1:18">
      <c r="A7" s="32" t="s">
        <v>52</v>
      </c>
      <c r="B7" s="37">
        <f t="shared" ref="B7:B12" si="0">B27</f>
        <v>640.943787090618</v>
      </c>
      <c r="C7" s="33"/>
      <c r="D7" s="37">
        <f>IF(ISERROR(TER_horeca_gas_kWh/1000),0,TER_horeca_gas_kWh/1000)*0.903</f>
        <v>1872.5686731425837</v>
      </c>
      <c r="E7" s="33">
        <f>$C$27*'E Balans VL '!I9/100/3.6*1000000</f>
        <v>0</v>
      </c>
      <c r="F7" s="33">
        <f>$C$27*('E Balans VL '!L9+'E Balans VL '!N9)/100/3.6*1000000</f>
        <v>52.555883881729528</v>
      </c>
      <c r="G7" s="34"/>
      <c r="H7" s="33"/>
      <c r="I7" s="33"/>
      <c r="J7" s="33">
        <f>$C$27*('E Balans VL '!D9+'E Balans VL '!E9)/100/3.6*1000000</f>
        <v>0</v>
      </c>
      <c r="K7" s="33"/>
      <c r="L7" s="33"/>
      <c r="M7" s="33"/>
      <c r="N7" s="33">
        <f>$C$27*'E Balans VL '!Y9/100/3.6*1000000</f>
        <v>0.19647502197620709</v>
      </c>
      <c r="O7" s="33"/>
      <c r="P7" s="33"/>
      <c r="R7" s="32"/>
    </row>
    <row r="8" spans="1:18">
      <c r="A8" s="6" t="s">
        <v>51</v>
      </c>
      <c r="B8" s="37">
        <f t="shared" si="0"/>
        <v>4189.5544768096997</v>
      </c>
      <c r="C8" s="33"/>
      <c r="D8" s="37">
        <f>IF(ISERROR(TER_handel_gas_kWh/1000),0,TER_handel_gas_kWh/1000)*0.903</f>
        <v>4112.2086564708516</v>
      </c>
      <c r="E8" s="33">
        <f>$C$28*'E Balans VL '!I13/100/3.6*1000000</f>
        <v>14.723994171989354</v>
      </c>
      <c r="F8" s="33">
        <f>$C$28*('E Balans VL '!L13+'E Balans VL '!N13)/100/3.6*1000000</f>
        <v>383.3367108904103</v>
      </c>
      <c r="G8" s="34"/>
      <c r="H8" s="33"/>
      <c r="I8" s="33"/>
      <c r="J8" s="33">
        <f>$C$28*('E Balans VL '!D13+'E Balans VL '!E13)/100/3.6*1000000</f>
        <v>0</v>
      </c>
      <c r="K8" s="33"/>
      <c r="L8" s="33"/>
      <c r="M8" s="33"/>
      <c r="N8" s="33">
        <f>$C$28*'E Balans VL '!Y13/100/3.6*1000000</f>
        <v>1.5172762644300744</v>
      </c>
      <c r="O8" s="33"/>
      <c r="P8" s="33"/>
      <c r="R8" s="32"/>
    </row>
    <row r="9" spans="1:18">
      <c r="A9" s="32" t="s">
        <v>50</v>
      </c>
      <c r="B9" s="37">
        <f t="shared" si="0"/>
        <v>727.55330817383901</v>
      </c>
      <c r="C9" s="33"/>
      <c r="D9" s="37">
        <f>IF(ISERROR(TER_gezond_gas_kWh/1000),0,TER_gezond_gas_kWh/1000)*0.903</f>
        <v>2368.7893880923375</v>
      </c>
      <c r="E9" s="33">
        <f>$C$29*'E Balans VL '!I10/100/3.6*1000000</f>
        <v>0</v>
      </c>
      <c r="F9" s="33">
        <f>$C$29*('E Balans VL '!L10+'E Balans VL '!N10)/100/3.6*1000000</f>
        <v>89.184675558343912</v>
      </c>
      <c r="G9" s="34"/>
      <c r="H9" s="33"/>
      <c r="I9" s="33"/>
      <c r="J9" s="33">
        <f>$C$29*('E Balans VL '!D10+'E Balans VL '!E10)/100/3.6*1000000</f>
        <v>0</v>
      </c>
      <c r="K9" s="33"/>
      <c r="L9" s="33"/>
      <c r="M9" s="33"/>
      <c r="N9" s="33">
        <f>$C$29*'E Balans VL '!Y10/100/3.6*1000000</f>
        <v>5.3651986487413037</v>
      </c>
      <c r="O9" s="33"/>
      <c r="P9" s="33"/>
      <c r="R9" s="32"/>
    </row>
    <row r="10" spans="1:18">
      <c r="A10" s="32" t="s">
        <v>49</v>
      </c>
      <c r="B10" s="37">
        <f t="shared" si="0"/>
        <v>3226.9538409554398</v>
      </c>
      <c r="C10" s="33"/>
      <c r="D10" s="37">
        <f>IF(ISERROR(TER_ander_gas_kWh/1000),0,TER_ander_gas_kWh/1000)*0.903</f>
        <v>8043.8650971961861</v>
      </c>
      <c r="E10" s="33">
        <f>$C$30*'E Balans VL '!I14/100/3.6*1000000</f>
        <v>46.217101803424939</v>
      </c>
      <c r="F10" s="33">
        <f>$C$30*('E Balans VL '!L14+'E Balans VL '!N14)/100/3.6*1000000</f>
        <v>1921.1153433438126</v>
      </c>
      <c r="G10" s="34"/>
      <c r="H10" s="33"/>
      <c r="I10" s="33"/>
      <c r="J10" s="33">
        <f>$C$30*('E Balans VL '!D14+'E Balans VL '!E14)/100/3.6*1000000</f>
        <v>3.1868815627221311E-2</v>
      </c>
      <c r="K10" s="33"/>
      <c r="L10" s="33"/>
      <c r="M10" s="33"/>
      <c r="N10" s="33">
        <f>$C$30*'E Balans VL '!Y14/100/3.6*1000000</f>
        <v>1151.7222377523167</v>
      </c>
      <c r="O10" s="33"/>
      <c r="P10" s="33"/>
      <c r="R10" s="32"/>
    </row>
    <row r="11" spans="1:18">
      <c r="A11" s="32" t="s">
        <v>54</v>
      </c>
      <c r="B11" s="37">
        <f t="shared" si="0"/>
        <v>1722.4490348931099</v>
      </c>
      <c r="C11" s="33"/>
      <c r="D11" s="37">
        <f>IF(ISERROR(TER_onderwijs_gas_kWh/1000),0,TER_onderwijs_gas_kWh/1000)*0.903</f>
        <v>2101.3806432607958</v>
      </c>
      <c r="E11" s="33">
        <f>$C$31*'E Balans VL '!I11/100/3.6*1000000</f>
        <v>0</v>
      </c>
      <c r="F11" s="33">
        <f>$C$31*('E Balans VL '!L11+'E Balans VL '!N11)/100/3.6*1000000</f>
        <v>201.37480381311894</v>
      </c>
      <c r="G11" s="34"/>
      <c r="H11" s="33"/>
      <c r="I11" s="33"/>
      <c r="J11" s="33">
        <f>$C$31*('E Balans VL '!D11+'E Balans VL '!E11)/100/3.6*1000000</f>
        <v>0</v>
      </c>
      <c r="K11" s="33"/>
      <c r="L11" s="33"/>
      <c r="M11" s="33"/>
      <c r="N11" s="33">
        <f>$C$31*'E Balans VL '!Y11/100/3.6*1000000</f>
        <v>4.8502186913396006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16622.301861093987</v>
      </c>
      <c r="C16" s="21">
        <f t="shared" ca="1" si="1"/>
        <v>0</v>
      </c>
      <c r="D16" s="21">
        <f t="shared" ca="1" si="1"/>
        <v>33448.954419777583</v>
      </c>
      <c r="E16" s="21">
        <f t="shared" si="1"/>
        <v>62.406068068016651</v>
      </c>
      <c r="F16" s="21">
        <f t="shared" ca="1" si="1"/>
        <v>3227.4312155982971</v>
      </c>
      <c r="G16" s="21">
        <f t="shared" si="1"/>
        <v>0</v>
      </c>
      <c r="H16" s="21">
        <f t="shared" si="1"/>
        <v>0</v>
      </c>
      <c r="I16" s="21">
        <f t="shared" si="1"/>
        <v>0</v>
      </c>
      <c r="J16" s="21">
        <f t="shared" si="1"/>
        <v>3.1868815627221311E-2</v>
      </c>
      <c r="K16" s="21">
        <f t="shared" si="1"/>
        <v>0</v>
      </c>
      <c r="L16" s="21">
        <f t="shared" ca="1" si="1"/>
        <v>0</v>
      </c>
      <c r="M16" s="21">
        <f t="shared" si="1"/>
        <v>0</v>
      </c>
      <c r="N16" s="21">
        <f t="shared" ca="1" si="1"/>
        <v>1166.7574325821874</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0.21362571731886434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3550.951158566897</v>
      </c>
      <c r="C20" s="23">
        <f t="shared" ref="C20:P20" ca="1" si="2">C16*C18</f>
        <v>0</v>
      </c>
      <c r="D20" s="23">
        <f t="shared" ca="1" si="2"/>
        <v>6756.688792795072</v>
      </c>
      <c r="E20" s="23">
        <f t="shared" si="2"/>
        <v>14.166177451439781</v>
      </c>
      <c r="F20" s="23">
        <f t="shared" ca="1" si="2"/>
        <v>861.72413456474533</v>
      </c>
      <c r="G20" s="23">
        <f t="shared" si="2"/>
        <v>0</v>
      </c>
      <c r="H20" s="23">
        <f t="shared" si="2"/>
        <v>0</v>
      </c>
      <c r="I20" s="23">
        <f t="shared" si="2"/>
        <v>0</v>
      </c>
      <c r="J20" s="23">
        <f t="shared" si="2"/>
        <v>1.1281560732036344E-2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6114.8474131712801</v>
      </c>
      <c r="C26" s="39">
        <f>IF(ISERROR(B26*3.6/1000000/'E Balans VL '!Z12*100),0,B26*3.6/1000000/'E Balans VL '!Z12*100)</f>
        <v>0.17245488998723138</v>
      </c>
      <c r="D26" s="237" t="s">
        <v>702</v>
      </c>
      <c r="F26" s="6"/>
    </row>
    <row r="27" spans="1:18">
      <c r="A27" s="231" t="s">
        <v>52</v>
      </c>
      <c r="B27" s="33">
        <f>IF(ISERROR(TER_horeca_ele_kWh/1000),0,TER_horeca_ele_kWh/1000)</f>
        <v>640.943787090618</v>
      </c>
      <c r="C27" s="39">
        <f>IF(ISERROR(B27*3.6/1000000/'E Balans VL '!Z9*100),0,B27*3.6/1000000/'E Balans VL '!Z9*100)</f>
        <v>4.7518108025222154E-2</v>
      </c>
      <c r="D27" s="237" t="s">
        <v>702</v>
      </c>
      <c r="F27" s="6"/>
    </row>
    <row r="28" spans="1:18">
      <c r="A28" s="171" t="s">
        <v>51</v>
      </c>
      <c r="B28" s="33">
        <f>IF(ISERROR(TER_handel_ele_kWh/1000),0,TER_handel_ele_kWh/1000)</f>
        <v>4189.5544768096997</v>
      </c>
      <c r="C28" s="39">
        <f>IF(ISERROR(B28*3.6/1000000/'E Balans VL '!Z13*100),0,B28*3.6/1000000/'E Balans VL '!Z13*100)</f>
        <v>0.12550909108754668</v>
      </c>
      <c r="D28" s="237" t="s">
        <v>702</v>
      </c>
      <c r="F28" s="6"/>
    </row>
    <row r="29" spans="1:18">
      <c r="A29" s="231" t="s">
        <v>50</v>
      </c>
      <c r="B29" s="33">
        <f>IF(ISERROR(TER_gezond_ele_kWh/1000),0,TER_gezond_ele_kWh/1000)</f>
        <v>727.55330817383901</v>
      </c>
      <c r="C29" s="39">
        <f>IF(ISERROR(B29*3.6/1000000/'E Balans VL '!Z10*100),0,B29*3.6/1000000/'E Balans VL '!Z10*100)</f>
        <v>7.1940756275374648E-2</v>
      </c>
      <c r="D29" s="237" t="s">
        <v>702</v>
      </c>
      <c r="F29" s="6"/>
    </row>
    <row r="30" spans="1:18">
      <c r="A30" s="231" t="s">
        <v>49</v>
      </c>
      <c r="B30" s="33">
        <f>IF(ISERROR(TER_ander_ele_kWh/1000),0,TER_ander_ele_kWh/1000)</f>
        <v>3226.9538409554398</v>
      </c>
      <c r="C30" s="39">
        <f>IF(ISERROR(B30*3.6/1000000/'E Balans VL '!Z14*100),0,B30*3.6/1000000/'E Balans VL '!Z14*100)</f>
        <v>0.13052074659612822</v>
      </c>
      <c r="D30" s="237" t="s">
        <v>702</v>
      </c>
      <c r="F30" s="6"/>
    </row>
    <row r="31" spans="1:18">
      <c r="A31" s="231" t="s">
        <v>54</v>
      </c>
      <c r="B31" s="33">
        <f>IF(ISERROR(TER_onderwijs_ele_kWh/1000),0,TER_onderwijs_ele_kWh/1000)</f>
        <v>1722.4490348931099</v>
      </c>
      <c r="C31" s="39">
        <f>IF(ISERROR(B31*3.6/1000000/'E Balans VL '!Z11*100),0,B31*3.6/1000000/'E Balans VL '!Z11*100)</f>
        <v>0.47323208056677313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1452.2465741213466</v>
      </c>
      <c r="C5" s="17">
        <f>IF(ISERROR('Eigen informatie GS &amp; warmtenet'!B61),0,'Eigen informatie GS &amp; warmtenet'!B61)</f>
        <v>0</v>
      </c>
      <c r="D5" s="30">
        <f>SUM(D6:D15)</f>
        <v>1900.4860839215894</v>
      </c>
      <c r="E5" s="17">
        <f>SUM(E6:E15)</f>
        <v>5.3035820805066738</v>
      </c>
      <c r="F5" s="17">
        <f>SUM(F6:F15)</f>
        <v>791.1428697965938</v>
      </c>
      <c r="G5" s="18"/>
      <c r="H5" s="17"/>
      <c r="I5" s="17"/>
      <c r="J5" s="17">
        <f>SUM(J6:J15)</f>
        <v>0.145193022457556</v>
      </c>
      <c r="K5" s="17"/>
      <c r="L5" s="17"/>
      <c r="M5" s="17"/>
      <c r="N5" s="17">
        <f>SUM(N6:N15)</f>
        <v>55.301354862911289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84.721883740519999</v>
      </c>
      <c r="C8" s="33"/>
      <c r="D8" s="37">
        <f>IF( ISERROR(IND_metaal_Gas_kWH/1000),0,IND_metaal_Gas_kWH/1000)*0.903</f>
        <v>0</v>
      </c>
      <c r="E8" s="33">
        <f>C30*'E Balans VL '!I18/100/3.6*1000000</f>
        <v>0.42718252003685803</v>
      </c>
      <c r="F8" s="33">
        <f>C30*'E Balans VL '!L18/100/3.6*1000000+C30*'E Balans VL '!N18/100/3.6*1000000</f>
        <v>5.7883722221726845</v>
      </c>
      <c r="G8" s="34"/>
      <c r="H8" s="33"/>
      <c r="I8" s="33"/>
      <c r="J8" s="40">
        <f>C30*'E Balans VL '!D18/100/3.6*1000000+C30*'E Balans VL '!E18/100/3.6*1000000</f>
        <v>7.5113176805754037E-2</v>
      </c>
      <c r="K8" s="33"/>
      <c r="L8" s="33"/>
      <c r="M8" s="33"/>
      <c r="N8" s="33">
        <f>C30*'E Balans VL '!Y18/100/3.6*1000000</f>
        <v>1.1259543376958419</v>
      </c>
      <c r="O8" s="33"/>
      <c r="P8" s="33"/>
      <c r="R8" s="32"/>
    </row>
    <row r="9" spans="1:18">
      <c r="A9" s="6" t="s">
        <v>32</v>
      </c>
      <c r="B9" s="37">
        <f t="shared" si="0"/>
        <v>1278.4710370320402</v>
      </c>
      <c r="C9" s="33"/>
      <c r="D9" s="37">
        <f>IF( ISERROR(IND_andere_gas_kWh/1000),0,IND_andere_gas_kWh/1000)*0.903</f>
        <v>1693.5705339841002</v>
      </c>
      <c r="E9" s="33">
        <f>C31*'E Balans VL '!I19/100/3.6*1000000</f>
        <v>4.0300428667958954</v>
      </c>
      <c r="F9" s="33">
        <f>C31*'E Balans VL '!L19/100/3.6*1000000+C31*'E Balans VL '!N19/100/3.6*1000000</f>
        <v>782.626198026628</v>
      </c>
      <c r="G9" s="34"/>
      <c r="H9" s="33"/>
      <c r="I9" s="33"/>
      <c r="J9" s="40">
        <f>C31*'E Balans VL '!D19/100/3.6*1000000+C31*'E Balans VL '!E19/100/3.6*1000000</f>
        <v>0</v>
      </c>
      <c r="K9" s="33"/>
      <c r="L9" s="33"/>
      <c r="M9" s="33"/>
      <c r="N9" s="33">
        <f>C31*'E Balans VL '!Y19/100/3.6*1000000</f>
        <v>53.60802651740093</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55.475779766713401</v>
      </c>
      <c r="C13" s="33"/>
      <c r="D13" s="37">
        <f>IF( ISERROR(IND_papier_gas_kWh/1000),0,IND_papier_gas_kWh/1000)*0.903</f>
        <v>118.61316962192588</v>
      </c>
      <c r="E13" s="33">
        <f>C35*'E Balans VL '!I23/100/3.6*1000000</f>
        <v>0</v>
      </c>
      <c r="F13" s="33">
        <f>C35*'E Balans VL '!L23/100/3.6*1000000+C35*'E Balans VL '!N23/100/3.6*1000000</f>
        <v>2.4034687352050953E-3</v>
      </c>
      <c r="G13" s="34"/>
      <c r="H13" s="33"/>
      <c r="I13" s="33"/>
      <c r="J13" s="40">
        <f>C35*'E Balans VL '!D23/100/3.6*1000000+C35*'E Balans VL '!E23/100/3.6*1000000</f>
        <v>1.52862231110387E-3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33.577873582072996</v>
      </c>
      <c r="C15" s="33"/>
      <c r="D15" s="37">
        <f>IF( ISERROR(IND_rest_gas_kWh/1000),0,IND_rest_gas_kWh/1000)*0.903</f>
        <v>88.302380315563482</v>
      </c>
      <c r="E15" s="33">
        <f>C37*'E Balans VL '!I15/100/3.6*1000000</f>
        <v>0.84635669367392019</v>
      </c>
      <c r="F15" s="33">
        <f>C37*'E Balans VL '!L15/100/3.6*1000000+C37*'E Balans VL '!N15/100/3.6*1000000</f>
        <v>2.7258960790579061</v>
      </c>
      <c r="G15" s="34"/>
      <c r="H15" s="33"/>
      <c r="I15" s="33"/>
      <c r="J15" s="40">
        <f>C37*'E Balans VL '!D15/100/3.6*1000000+C37*'E Balans VL '!E15/100/3.6*1000000</f>
        <v>6.8551223340698075E-2</v>
      </c>
      <c r="K15" s="33"/>
      <c r="L15" s="33"/>
      <c r="M15" s="33"/>
      <c r="N15" s="33">
        <f>C37*'E Balans VL '!Y15/100/3.6*1000000</f>
        <v>0.56737400781451697</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1452.2465741213466</v>
      </c>
      <c r="C18" s="21">
        <f>C5+C16</f>
        <v>0</v>
      </c>
      <c r="D18" s="21">
        <f>MAX((D5+D16),0)</f>
        <v>1900.4860839215894</v>
      </c>
      <c r="E18" s="21">
        <f>MAX((E5+E16),0)</f>
        <v>5.3035820805066738</v>
      </c>
      <c r="F18" s="21">
        <f>MAX((F5+F16),0)</f>
        <v>791.1428697965938</v>
      </c>
      <c r="G18" s="21"/>
      <c r="H18" s="21"/>
      <c r="I18" s="21"/>
      <c r="J18" s="21">
        <f>MAX((J5+J16),0)</f>
        <v>0.145193022457556</v>
      </c>
      <c r="K18" s="21"/>
      <c r="L18" s="21">
        <f>MAX((L5+L16),0)</f>
        <v>0</v>
      </c>
      <c r="M18" s="21"/>
      <c r="N18" s="21">
        <f>MAX((N5+N16),0)</f>
        <v>55.301354862911289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0.21362571731886434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310.23721612053595</v>
      </c>
      <c r="C22" s="23">
        <f ca="1">C18*C20</f>
        <v>0</v>
      </c>
      <c r="D22" s="23">
        <f>D18*D20</f>
        <v>383.89818895216109</v>
      </c>
      <c r="E22" s="23">
        <f>E18*E20</f>
        <v>1.203913132275015</v>
      </c>
      <c r="F22" s="23">
        <f>F18*F20</f>
        <v>211.23514623569056</v>
      </c>
      <c r="G22" s="23"/>
      <c r="H22" s="23"/>
      <c r="I22" s="23"/>
      <c r="J22" s="23">
        <f>J18*J20</f>
        <v>5.1398329949974821E-2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84.721883740519999</v>
      </c>
      <c r="C30" s="39">
        <f>IF(ISERROR(B30*3.6/1000000/'E Balans VL '!Z18*100),0,B30*3.6/1000000/'E Balans VL '!Z18*100)</f>
        <v>4.2054033670406487E-3</v>
      </c>
      <c r="D30" s="237" t="s">
        <v>702</v>
      </c>
    </row>
    <row r="31" spans="1:18">
      <c r="A31" s="6" t="s">
        <v>32</v>
      </c>
      <c r="B31" s="37">
        <f>IF( ISERROR(IND_ander_ele_kWh/1000),0,IND_ander_ele_kWh/1000)</f>
        <v>1278.4710370320402</v>
      </c>
      <c r="C31" s="39">
        <f>IF(ISERROR(B31*3.6/1000000/'E Balans VL '!Z19*100),0,B31*3.6/1000000/'E Balans VL '!Z19*100)</f>
        <v>4.3141846208876337E-2</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55.475779766713401</v>
      </c>
      <c r="C35" s="39">
        <f>IF(ISERROR(B35*3.6/1000000/'E Balans VL '!Z22*100),0,B35*3.6/1000000/'E Balans VL '!Z22*100)</f>
        <v>7.8703909565991E-3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33.577873582072996</v>
      </c>
      <c r="C37" s="39">
        <f>IF(ISERROR(B37*3.6/1000000/'E Balans VL '!Z15*100),0,B37*3.6/1000000/'E Balans VL '!Z15*100)</f>
        <v>1.2583406181302685E-4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68.956967903973691</v>
      </c>
      <c r="C5" s="17">
        <f>'Eigen informatie GS &amp; warmtenet'!B62</f>
        <v>0</v>
      </c>
      <c r="D5" s="30">
        <f>IF(ISERROR(SUM(LB_lb_gas_kWh,LB_rest_gas_kWh)/1000),0,SUM(LB_lb_gas_kWh,LB_rest_gas_kWh)/1000)*0.903</f>
        <v>64.102837493379667</v>
      </c>
      <c r="E5" s="17">
        <f>B17*'E Balans VL '!I25/3.6*1000000/100</f>
        <v>2.5716162574575465</v>
      </c>
      <c r="F5" s="17">
        <f>B17*('E Balans VL '!L25/3.6*1000000+'E Balans VL '!N25/3.6*1000000)/100</f>
        <v>223.72304990175778</v>
      </c>
      <c r="G5" s="18"/>
      <c r="H5" s="17"/>
      <c r="I5" s="17"/>
      <c r="J5" s="17">
        <f>('E Balans VL '!D25+'E Balans VL '!E25)/3.6*1000000*landbouw!B17/100</f>
        <v>18.101544508939849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68.956967903973691</v>
      </c>
      <c r="C8" s="21">
        <f>C5+C6</f>
        <v>0</v>
      </c>
      <c r="D8" s="21">
        <f>MAX((D5+D6),0)</f>
        <v>64.102837493379667</v>
      </c>
      <c r="E8" s="21">
        <f>MAX((E5+E6),0)</f>
        <v>2.5716162574575465</v>
      </c>
      <c r="F8" s="21">
        <f>MAX((F5+F6),0)</f>
        <v>223.72304990175778</v>
      </c>
      <c r="G8" s="21"/>
      <c r="H8" s="21"/>
      <c r="I8" s="21"/>
      <c r="J8" s="21">
        <f>MAX((J5+J6),0)</f>
        <v>18.101544508939849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0.21362571731886434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14.730981732620286</v>
      </c>
      <c r="C12" s="23">
        <f ca="1">C8*C10</f>
        <v>0</v>
      </c>
      <c r="D12" s="23">
        <f>D8*D10</f>
        <v>12.948773173662694</v>
      </c>
      <c r="E12" s="23">
        <f>E8*E10</f>
        <v>0.58375689044286305</v>
      </c>
      <c r="F12" s="23">
        <f>F8*F10</f>
        <v>59.734054323769328</v>
      </c>
      <c r="G12" s="23"/>
      <c r="H12" s="23"/>
      <c r="I12" s="23"/>
      <c r="J12" s="23">
        <f>J8*J10</f>
        <v>6.4079467561647059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9.471059597137399E-3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43.29719196958272</v>
      </c>
      <c r="C26" s="247">
        <f>B26*'GWP N2O_CH4'!B5</f>
        <v>909.24103136123711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4.6088436969086004</v>
      </c>
      <c r="C27" s="247">
        <f>B27*'GWP N2O_CH4'!B5</f>
        <v>96.785717635080601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0.57248962980000051</v>
      </c>
      <c r="C28" s="247">
        <f>B28*'GWP N2O_CH4'!B4</f>
        <v>177.47178523800017</v>
      </c>
      <c r="D28" s="50"/>
    </row>
    <row r="29" spans="1:4">
      <c r="A29" s="41" t="s">
        <v>276</v>
      </c>
      <c r="B29" s="247">
        <f>B34*'ha_N2O bodem landbouw'!B4</f>
        <v>2.7125526046352211</v>
      </c>
      <c r="C29" s="247">
        <f>B29*'GWP N2O_CH4'!B4</f>
        <v>840.89130743691851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6.1819848513630996E-4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2.5764426675295503E-4</v>
      </c>
      <c r="C5" s="440" t="s">
        <v>210</v>
      </c>
      <c r="D5" s="425">
        <f>SUM(D6:D11)</f>
        <v>1.3149045179225729E-3</v>
      </c>
      <c r="E5" s="425">
        <f>SUM(E6:E11)</f>
        <v>6.8928105029853522E-4</v>
      </c>
      <c r="F5" s="438" t="s">
        <v>210</v>
      </c>
      <c r="G5" s="425">
        <f>SUM(G6:G11)</f>
        <v>0.21971711923025822</v>
      </c>
      <c r="H5" s="425">
        <f>SUM(H6:H11)</f>
        <v>8.3250332663429849E-2</v>
      </c>
      <c r="I5" s="440" t="s">
        <v>210</v>
      </c>
      <c r="J5" s="440" t="s">
        <v>210</v>
      </c>
      <c r="K5" s="440" t="s">
        <v>210</v>
      </c>
      <c r="L5" s="440" t="s">
        <v>210</v>
      </c>
      <c r="M5" s="425">
        <f>SUM(M6:M11)</f>
        <v>1.8157713443105794E-2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1.0453015628629269E-4</v>
      </c>
      <c r="C6" s="426"/>
      <c r="D6" s="893">
        <f>vkm_GW_PW*SUMIFS(TableVerdeelsleutelVkm[CNG],TableVerdeelsleutelVkm[Voertuigtype],"Lichte voertuigen")*SUMIFS(TableECFTransport[EnergieConsumptieFactor (PJ per km)],TableECFTransport[Index],CONCATENATE($A6,"_CNG_CNG"))</f>
        <v>3.77531025051462E-4</v>
      </c>
      <c r="E6" s="893">
        <f>vkm_GW_PW*SUMIFS(TableVerdeelsleutelVkm[LPG],TableVerdeelsleutelVkm[Voertuigtype],"Lichte voertuigen")*SUMIFS(TableECFTransport[EnergieConsumptieFactor (PJ per km)],TableECFTransport[Index],CONCATENATE($A6,"_LPG_LPG"))</f>
        <v>2.0517842139308946E-4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6.3850260563040606E-2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2.4164759909355574E-2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5.2747260466179564E-3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2.9755802162218844E-3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3.1325548831022973E-8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1.6752982694045662E-4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1.531141104666623E-4</v>
      </c>
      <c r="C8" s="426"/>
      <c r="D8" s="428">
        <f>vkm_NGW_PW*SUMIFS(TableVerdeelsleutelVkm[CNG],TableVerdeelsleutelVkm[Voertuigtype],"Lichte voertuigen")*SUMIFS(TableECFTransport[EnergieConsumptieFactor (PJ per km)],TableECFTransport[Index],CONCATENATE($A8,"_CNG_CNG"))</f>
        <v>9.3737349287111081E-4</v>
      </c>
      <c r="E8" s="428">
        <f>vkm_NGW_PW*SUMIFS(TableVerdeelsleutelVkm[LPG],TableVerdeelsleutelVkm[Voertuigtype],"Lichte voertuigen")*SUMIFS(TableECFTransport[EnergieConsumptieFactor (PJ per km)],TableECFTransport[Index],CONCATENATE($A8,"_LPG_LPG"))</f>
        <v>4.8410262890544571E-4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0.14019624081232515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5.9085347311364951E-2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1.2000702861989072E-2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1.2695037638670583E-2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1.9411716047920247E-7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7.1475470755830866E-4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71.56785187582085</v>
      </c>
      <c r="C14" s="21"/>
      <c r="D14" s="21">
        <f t="shared" ref="D14:M14" si="0">((D5)*10^9/3600)+D12</f>
        <v>365.25125497849245</v>
      </c>
      <c r="E14" s="21">
        <f t="shared" si="0"/>
        <v>191.46695841625979</v>
      </c>
      <c r="F14" s="21"/>
      <c r="G14" s="21">
        <f t="shared" si="0"/>
        <v>61032.533119516171</v>
      </c>
      <c r="H14" s="21">
        <f t="shared" si="0"/>
        <v>23125.092406508295</v>
      </c>
      <c r="I14" s="21"/>
      <c r="J14" s="21"/>
      <c r="K14" s="21"/>
      <c r="L14" s="21"/>
      <c r="M14" s="21">
        <f t="shared" si="0"/>
        <v>5043.8092897516099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0.21362571731886434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15.28873369394246</v>
      </c>
      <c r="C18" s="23"/>
      <c r="D18" s="23">
        <f t="shared" ref="D18:M18" si="1">D14*D16</f>
        <v>73.780753505655483</v>
      </c>
      <c r="E18" s="23">
        <f t="shared" si="1"/>
        <v>43.462999560490971</v>
      </c>
      <c r="F18" s="23"/>
      <c r="G18" s="23">
        <f t="shared" si="1"/>
        <v>16295.686342910818</v>
      </c>
      <c r="H18" s="23">
        <f t="shared" si="1"/>
        <v>5758.1480092205657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5.8572604704747525E-3</v>
      </c>
      <c r="H50" s="321">
        <f t="shared" si="2"/>
        <v>0</v>
      </c>
      <c r="I50" s="321">
        <f t="shared" si="2"/>
        <v>0</v>
      </c>
      <c r="J50" s="321">
        <f t="shared" si="2"/>
        <v>0</v>
      </c>
      <c r="K50" s="321">
        <f t="shared" si="2"/>
        <v>0</v>
      </c>
      <c r="L50" s="321">
        <f t="shared" si="2"/>
        <v>0</v>
      </c>
      <c r="M50" s="321">
        <f t="shared" si="2"/>
        <v>3.178483136724614E-4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5.8572604704747525E-3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3.178483136724614E-4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1627.0167973540979</v>
      </c>
      <c r="H54" s="21">
        <f t="shared" si="3"/>
        <v>0</v>
      </c>
      <c r="I54" s="21">
        <f t="shared" si="3"/>
        <v>0</v>
      </c>
      <c r="J54" s="21">
        <f t="shared" si="3"/>
        <v>0</v>
      </c>
      <c r="K54" s="21">
        <f t="shared" si="3"/>
        <v>0</v>
      </c>
      <c r="L54" s="21">
        <f t="shared" si="3"/>
        <v>0</v>
      </c>
      <c r="M54" s="21">
        <f t="shared" si="3"/>
        <v>88.291198242350376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0.21362571731886434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434.41348489354414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17750.814861093986</v>
      </c>
      <c r="D10" s="689">
        <f ca="1">tertiair!C16</f>
        <v>0</v>
      </c>
      <c r="E10" s="689">
        <f ca="1">tertiair!D16</f>
        <v>33448.954419777583</v>
      </c>
      <c r="F10" s="689">
        <f>tertiair!E16</f>
        <v>62.406068068016651</v>
      </c>
      <c r="G10" s="689">
        <f ca="1">tertiair!F16</f>
        <v>3227.4312155982971</v>
      </c>
      <c r="H10" s="689">
        <f>tertiair!G16</f>
        <v>0</v>
      </c>
      <c r="I10" s="689">
        <f>tertiair!H16</f>
        <v>0</v>
      </c>
      <c r="J10" s="689">
        <f>tertiair!I16</f>
        <v>0</v>
      </c>
      <c r="K10" s="689">
        <f>tertiair!J16</f>
        <v>3.1868815627221311E-2</v>
      </c>
      <c r="L10" s="689">
        <f>tertiair!K16</f>
        <v>0</v>
      </c>
      <c r="M10" s="689">
        <f ca="1">tertiair!L16</f>
        <v>0</v>
      </c>
      <c r="N10" s="689">
        <f>tertiair!M16</f>
        <v>0</v>
      </c>
      <c r="O10" s="689">
        <f ca="1">tertiair!N16</f>
        <v>1166.7574325821874</v>
      </c>
      <c r="P10" s="689">
        <f>tertiair!O16</f>
        <v>4.8972607658411542</v>
      </c>
      <c r="Q10" s="690">
        <f>tertiair!P16</f>
        <v>0</v>
      </c>
      <c r="R10" s="692">
        <f ca="1">SUM(C10:Q10)</f>
        <v>55661.293126701537</v>
      </c>
      <c r="S10" s="67"/>
    </row>
    <row r="11" spans="1:19" s="451" customFormat="1">
      <c r="A11" s="811" t="s">
        <v>224</v>
      </c>
      <c r="B11" s="816"/>
      <c r="C11" s="689">
        <f>huishoudens!B8</f>
        <v>33146.112566881806</v>
      </c>
      <c r="D11" s="689">
        <f>huishoudens!C8</f>
        <v>0</v>
      </c>
      <c r="E11" s="689">
        <f>huishoudens!D8</f>
        <v>126590.90138059453</v>
      </c>
      <c r="F11" s="689">
        <f>huishoudens!E8</f>
        <v>1635.5895578389436</v>
      </c>
      <c r="G11" s="689">
        <f>huishoudens!F8</f>
        <v>5145.6222667041084</v>
      </c>
      <c r="H11" s="689">
        <f>huishoudens!G8</f>
        <v>0</v>
      </c>
      <c r="I11" s="689">
        <f>huishoudens!H8</f>
        <v>0</v>
      </c>
      <c r="J11" s="689">
        <f>huishoudens!I8</f>
        <v>0</v>
      </c>
      <c r="K11" s="689">
        <f>huishoudens!J8</f>
        <v>0</v>
      </c>
      <c r="L11" s="689">
        <f>huishoudens!K8</f>
        <v>0</v>
      </c>
      <c r="M11" s="689">
        <f>huishoudens!L8</f>
        <v>0</v>
      </c>
      <c r="N11" s="689">
        <f>huishoudens!M8</f>
        <v>0</v>
      </c>
      <c r="O11" s="689">
        <f>huishoudens!N8</f>
        <v>7153.2261646916158</v>
      </c>
      <c r="P11" s="689">
        <f>huishoudens!O8</f>
        <v>130.94124247954412</v>
      </c>
      <c r="Q11" s="690">
        <f>huishoudens!P8</f>
        <v>158.00938961527535</v>
      </c>
      <c r="R11" s="692">
        <f>SUM(C11:Q11)</f>
        <v>173960.40256880582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1452.2465741213466</v>
      </c>
      <c r="D13" s="689">
        <f>industrie!C18</f>
        <v>0</v>
      </c>
      <c r="E13" s="689">
        <f>industrie!D18</f>
        <v>1900.4860839215894</v>
      </c>
      <c r="F13" s="689">
        <f>industrie!E18</f>
        <v>5.3035820805066738</v>
      </c>
      <c r="G13" s="689">
        <f>industrie!F18</f>
        <v>791.1428697965938</v>
      </c>
      <c r="H13" s="689">
        <f>industrie!G18</f>
        <v>0</v>
      </c>
      <c r="I13" s="689">
        <f>industrie!H18</f>
        <v>0</v>
      </c>
      <c r="J13" s="689">
        <f>industrie!I18</f>
        <v>0</v>
      </c>
      <c r="K13" s="689">
        <f>industrie!J18</f>
        <v>0.145193022457556</v>
      </c>
      <c r="L13" s="689">
        <f>industrie!K18</f>
        <v>0</v>
      </c>
      <c r="M13" s="689">
        <f>industrie!L18</f>
        <v>0</v>
      </c>
      <c r="N13" s="689">
        <f>industrie!M18</f>
        <v>0</v>
      </c>
      <c r="O13" s="689">
        <f>industrie!N18</f>
        <v>55.301354862911289</v>
      </c>
      <c r="P13" s="689">
        <f>industrie!O18</f>
        <v>0</v>
      </c>
      <c r="Q13" s="690">
        <f>industrie!P18</f>
        <v>0</v>
      </c>
      <c r="R13" s="692">
        <f>SUM(C13:Q13)</f>
        <v>4204.6256578054054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52349.174002097141</v>
      </c>
      <c r="D16" s="725">
        <f t="shared" ref="D16:R16" ca="1" si="0">SUM(D9:D15)</f>
        <v>0</v>
      </c>
      <c r="E16" s="725">
        <f t="shared" ca="1" si="0"/>
        <v>161940.34188429371</v>
      </c>
      <c r="F16" s="725">
        <f t="shared" si="0"/>
        <v>1703.2992079874668</v>
      </c>
      <c r="G16" s="725">
        <f t="shared" ca="1" si="0"/>
        <v>9164.1963520989993</v>
      </c>
      <c r="H16" s="725">
        <f t="shared" si="0"/>
        <v>0</v>
      </c>
      <c r="I16" s="725">
        <f t="shared" si="0"/>
        <v>0</v>
      </c>
      <c r="J16" s="725">
        <f t="shared" si="0"/>
        <v>0</v>
      </c>
      <c r="K16" s="725">
        <f t="shared" si="0"/>
        <v>0.17706183808477732</v>
      </c>
      <c r="L16" s="725">
        <f t="shared" si="0"/>
        <v>0</v>
      </c>
      <c r="M16" s="725">
        <f t="shared" ca="1" si="0"/>
        <v>0</v>
      </c>
      <c r="N16" s="725">
        <f t="shared" si="0"/>
        <v>0</v>
      </c>
      <c r="O16" s="725">
        <f t="shared" ca="1" si="0"/>
        <v>8375.2849521367152</v>
      </c>
      <c r="P16" s="725">
        <f t="shared" si="0"/>
        <v>135.83850324538528</v>
      </c>
      <c r="Q16" s="725">
        <f t="shared" si="0"/>
        <v>158.00938961527535</v>
      </c>
      <c r="R16" s="725">
        <f t="shared" ca="1" si="0"/>
        <v>233826.32135331276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1627.0167973540979</v>
      </c>
      <c r="I19" s="689">
        <f>transport!H54</f>
        <v>0</v>
      </c>
      <c r="J19" s="689">
        <f>transport!I54</f>
        <v>0</v>
      </c>
      <c r="K19" s="689">
        <f>transport!J54</f>
        <v>0</v>
      </c>
      <c r="L19" s="689">
        <f>transport!K54</f>
        <v>0</v>
      </c>
      <c r="M19" s="689">
        <f>transport!L54</f>
        <v>0</v>
      </c>
      <c r="N19" s="689">
        <f>transport!M54</f>
        <v>88.291198242350376</v>
      </c>
      <c r="O19" s="689">
        <f>transport!N54</f>
        <v>0</v>
      </c>
      <c r="P19" s="689">
        <f>transport!O54</f>
        <v>0</v>
      </c>
      <c r="Q19" s="690">
        <f>transport!P54</f>
        <v>0</v>
      </c>
      <c r="R19" s="692">
        <f>SUM(C19:Q19)</f>
        <v>1715.3079955964483</v>
      </c>
      <c r="S19" s="67"/>
    </row>
    <row r="20" spans="1:19" s="451" customFormat="1">
      <c r="A20" s="811" t="s">
        <v>306</v>
      </c>
      <c r="B20" s="816"/>
      <c r="C20" s="689">
        <f>transport!B14</f>
        <v>71.56785187582085</v>
      </c>
      <c r="D20" s="689">
        <f>transport!C14</f>
        <v>0</v>
      </c>
      <c r="E20" s="689">
        <f>transport!D14</f>
        <v>365.25125497849245</v>
      </c>
      <c r="F20" s="689">
        <f>transport!E14</f>
        <v>191.46695841625979</v>
      </c>
      <c r="G20" s="689">
        <f>transport!F14</f>
        <v>0</v>
      </c>
      <c r="H20" s="689">
        <f>transport!G14</f>
        <v>61032.533119516171</v>
      </c>
      <c r="I20" s="689">
        <f>transport!H14</f>
        <v>23125.092406508295</v>
      </c>
      <c r="J20" s="689">
        <f>transport!I14</f>
        <v>0</v>
      </c>
      <c r="K20" s="689">
        <f>transport!J14</f>
        <v>0</v>
      </c>
      <c r="L20" s="689">
        <f>transport!K14</f>
        <v>0</v>
      </c>
      <c r="M20" s="689">
        <f>transport!L14</f>
        <v>0</v>
      </c>
      <c r="N20" s="689">
        <f>transport!M14</f>
        <v>5043.8092897516099</v>
      </c>
      <c r="O20" s="689">
        <f>transport!N14</f>
        <v>0</v>
      </c>
      <c r="P20" s="689">
        <f>transport!O14</f>
        <v>0</v>
      </c>
      <c r="Q20" s="690">
        <f>transport!P14</f>
        <v>0</v>
      </c>
      <c r="R20" s="692">
        <f>SUM(C20:Q20)</f>
        <v>89829.72088104664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71.56785187582085</v>
      </c>
      <c r="D22" s="814">
        <f t="shared" ref="D22:R22" si="1">SUM(D18:D21)</f>
        <v>0</v>
      </c>
      <c r="E22" s="814">
        <f t="shared" si="1"/>
        <v>365.25125497849245</v>
      </c>
      <c r="F22" s="814">
        <f t="shared" si="1"/>
        <v>191.46695841625979</v>
      </c>
      <c r="G22" s="814">
        <f t="shared" si="1"/>
        <v>0</v>
      </c>
      <c r="H22" s="814">
        <f t="shared" si="1"/>
        <v>62659.549916870266</v>
      </c>
      <c r="I22" s="814">
        <f t="shared" si="1"/>
        <v>23125.092406508295</v>
      </c>
      <c r="J22" s="814">
        <f t="shared" si="1"/>
        <v>0</v>
      </c>
      <c r="K22" s="814">
        <f t="shared" si="1"/>
        <v>0</v>
      </c>
      <c r="L22" s="814">
        <f t="shared" si="1"/>
        <v>0</v>
      </c>
      <c r="M22" s="814">
        <f t="shared" si="1"/>
        <v>0</v>
      </c>
      <c r="N22" s="814">
        <f t="shared" si="1"/>
        <v>5132.1004879939601</v>
      </c>
      <c r="O22" s="814">
        <f t="shared" si="1"/>
        <v>0</v>
      </c>
      <c r="P22" s="814">
        <f t="shared" si="1"/>
        <v>0</v>
      </c>
      <c r="Q22" s="814">
        <f t="shared" si="1"/>
        <v>0</v>
      </c>
      <c r="R22" s="814">
        <f t="shared" si="1"/>
        <v>91545.028876643089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68.956967903973691</v>
      </c>
      <c r="D24" s="689">
        <f>+landbouw!C8</f>
        <v>0</v>
      </c>
      <c r="E24" s="689">
        <f>+landbouw!D8</f>
        <v>64.102837493379667</v>
      </c>
      <c r="F24" s="689">
        <f>+landbouw!E8</f>
        <v>2.5716162574575465</v>
      </c>
      <c r="G24" s="689">
        <f>+landbouw!F8</f>
        <v>223.72304990175778</v>
      </c>
      <c r="H24" s="689">
        <f>+landbouw!G8</f>
        <v>0</v>
      </c>
      <c r="I24" s="689">
        <f>+landbouw!H8</f>
        <v>0</v>
      </c>
      <c r="J24" s="689">
        <f>+landbouw!I8</f>
        <v>0</v>
      </c>
      <c r="K24" s="689">
        <f>+landbouw!J8</f>
        <v>18.101544508939849</v>
      </c>
      <c r="L24" s="689">
        <f>+landbouw!K8</f>
        <v>0</v>
      </c>
      <c r="M24" s="689">
        <f>+landbouw!L8</f>
        <v>0</v>
      </c>
      <c r="N24" s="689">
        <f>+landbouw!M8</f>
        <v>0</v>
      </c>
      <c r="O24" s="689">
        <f>+landbouw!N8</f>
        <v>0</v>
      </c>
      <c r="P24" s="689">
        <f>+landbouw!O8</f>
        <v>0</v>
      </c>
      <c r="Q24" s="690">
        <f>+landbouw!P8</f>
        <v>0</v>
      </c>
      <c r="R24" s="692">
        <f>SUM(C24:Q24)</f>
        <v>377.45601606550855</v>
      </c>
      <c r="S24" s="67"/>
    </row>
    <row r="25" spans="1:19" s="451" customFormat="1" ht="15" thickBot="1">
      <c r="A25" s="833" t="s">
        <v>714</v>
      </c>
      <c r="B25" s="947"/>
      <c r="C25" s="948">
        <f>IF(Onbekend_ele_kWh="---",0,Onbekend_ele_kWh)/1000+IF(REST_rest_ele_kWh="---",0,REST_rest_ele_kWh)/1000</f>
        <v>1762.08976573782</v>
      </c>
      <c r="D25" s="948"/>
      <c r="E25" s="948">
        <f>IF(onbekend_gas_kWh="---",0,onbekend_gas_kWh)/1000+IF(REST_rest_gas_kWh="---",0,REST_rest_gas_kWh)/1000</f>
        <v>7665.5292244484708</v>
      </c>
      <c r="F25" s="948"/>
      <c r="G25" s="948"/>
      <c r="H25" s="948"/>
      <c r="I25" s="948"/>
      <c r="J25" s="948"/>
      <c r="K25" s="948"/>
      <c r="L25" s="948"/>
      <c r="M25" s="948"/>
      <c r="N25" s="948"/>
      <c r="O25" s="948"/>
      <c r="P25" s="948"/>
      <c r="Q25" s="949"/>
      <c r="R25" s="692">
        <f>SUM(C25:Q25)</f>
        <v>9427.6189901862908</v>
      </c>
      <c r="S25" s="67"/>
    </row>
    <row r="26" spans="1:19" s="451" customFormat="1" ht="15.75" thickBot="1">
      <c r="A26" s="697" t="s">
        <v>715</v>
      </c>
      <c r="B26" s="819"/>
      <c r="C26" s="814">
        <f>SUM(C24:C25)</f>
        <v>1831.0467336417937</v>
      </c>
      <c r="D26" s="814">
        <f t="shared" ref="D26:R26" si="2">SUM(D24:D25)</f>
        <v>0</v>
      </c>
      <c r="E26" s="814">
        <f t="shared" si="2"/>
        <v>7729.6320619418502</v>
      </c>
      <c r="F26" s="814">
        <f t="shared" si="2"/>
        <v>2.5716162574575465</v>
      </c>
      <c r="G26" s="814">
        <f t="shared" si="2"/>
        <v>223.72304990175778</v>
      </c>
      <c r="H26" s="814">
        <f t="shared" si="2"/>
        <v>0</v>
      </c>
      <c r="I26" s="814">
        <f t="shared" si="2"/>
        <v>0</v>
      </c>
      <c r="J26" s="814">
        <f t="shared" si="2"/>
        <v>0</v>
      </c>
      <c r="K26" s="814">
        <f t="shared" si="2"/>
        <v>18.101544508939849</v>
      </c>
      <c r="L26" s="814">
        <f t="shared" si="2"/>
        <v>0</v>
      </c>
      <c r="M26" s="814">
        <f t="shared" si="2"/>
        <v>0</v>
      </c>
      <c r="N26" s="814">
        <f t="shared" si="2"/>
        <v>0</v>
      </c>
      <c r="O26" s="814">
        <f t="shared" si="2"/>
        <v>0</v>
      </c>
      <c r="P26" s="814">
        <f t="shared" si="2"/>
        <v>0</v>
      </c>
      <c r="Q26" s="814">
        <f t="shared" si="2"/>
        <v>0</v>
      </c>
      <c r="R26" s="814">
        <f t="shared" si="2"/>
        <v>9805.0750062518</v>
      </c>
      <c r="S26" s="67"/>
    </row>
    <row r="27" spans="1:19" s="451" customFormat="1" ht="17.25" thickTop="1" thickBot="1">
      <c r="A27" s="698" t="s">
        <v>115</v>
      </c>
      <c r="B27" s="806"/>
      <c r="C27" s="699">
        <f ca="1">C22+C16+C26</f>
        <v>54251.788587614756</v>
      </c>
      <c r="D27" s="699">
        <f t="shared" ref="D27:R27" ca="1" si="3">D22+D16+D26</f>
        <v>0</v>
      </c>
      <c r="E27" s="699">
        <f t="shared" ca="1" si="3"/>
        <v>170035.22520121405</v>
      </c>
      <c r="F27" s="699">
        <f t="shared" si="3"/>
        <v>1897.3377826611841</v>
      </c>
      <c r="G27" s="699">
        <f t="shared" ca="1" si="3"/>
        <v>9387.9194020007562</v>
      </c>
      <c r="H27" s="699">
        <f t="shared" si="3"/>
        <v>62659.549916870266</v>
      </c>
      <c r="I27" s="699">
        <f t="shared" si="3"/>
        <v>23125.092406508295</v>
      </c>
      <c r="J27" s="699">
        <f t="shared" si="3"/>
        <v>0</v>
      </c>
      <c r="K27" s="699">
        <f t="shared" si="3"/>
        <v>18.278606347024628</v>
      </c>
      <c r="L27" s="699">
        <f t="shared" si="3"/>
        <v>0</v>
      </c>
      <c r="M27" s="699">
        <f t="shared" ca="1" si="3"/>
        <v>0</v>
      </c>
      <c r="N27" s="699">
        <f t="shared" si="3"/>
        <v>5132.1004879939601</v>
      </c>
      <c r="O27" s="699">
        <f t="shared" ca="1" si="3"/>
        <v>8375.2849521367152</v>
      </c>
      <c r="P27" s="699">
        <f t="shared" si="3"/>
        <v>135.83850324538528</v>
      </c>
      <c r="Q27" s="699">
        <f t="shared" si="3"/>
        <v>158.00938961527535</v>
      </c>
      <c r="R27" s="699">
        <f t="shared" ca="1" si="3"/>
        <v>335176.42523620767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3792.0305576955607</v>
      </c>
      <c r="D40" s="689">
        <f ca="1">tertiair!C20</f>
        <v>0</v>
      </c>
      <c r="E40" s="689">
        <f ca="1">tertiair!D20</f>
        <v>6756.688792795072</v>
      </c>
      <c r="F40" s="689">
        <f>tertiair!E20</f>
        <v>14.166177451439781</v>
      </c>
      <c r="G40" s="689">
        <f ca="1">tertiair!F20</f>
        <v>861.72413456474533</v>
      </c>
      <c r="H40" s="689">
        <f>tertiair!G20</f>
        <v>0</v>
      </c>
      <c r="I40" s="689">
        <f>tertiair!H20</f>
        <v>0</v>
      </c>
      <c r="J40" s="689">
        <f>tertiair!I20</f>
        <v>0</v>
      </c>
      <c r="K40" s="689">
        <f>tertiair!J20</f>
        <v>1.1281560732036344E-2</v>
      </c>
      <c r="L40" s="689">
        <f>tertiair!K20</f>
        <v>0</v>
      </c>
      <c r="M40" s="689">
        <f ca="1">tertiair!L20</f>
        <v>0</v>
      </c>
      <c r="N40" s="689">
        <f>tertiair!M20</f>
        <v>0</v>
      </c>
      <c r="O40" s="689">
        <f ca="1">tertiair!N20</f>
        <v>0</v>
      </c>
      <c r="P40" s="689">
        <f>tertiair!O20</f>
        <v>0</v>
      </c>
      <c r="Q40" s="772">
        <f>tertiair!P20</f>
        <v>0</v>
      </c>
      <c r="R40" s="852">
        <f t="shared" ca="1" si="4"/>
        <v>11424.620944067548</v>
      </c>
    </row>
    <row r="41" spans="1:18">
      <c r="A41" s="824" t="s">
        <v>224</v>
      </c>
      <c r="B41" s="831"/>
      <c r="C41" s="689">
        <f ca="1">huishoudens!B12</f>
        <v>7080.8620734319493</v>
      </c>
      <c r="D41" s="689">
        <f ca="1">huishoudens!C12</f>
        <v>0</v>
      </c>
      <c r="E41" s="689">
        <f>huishoudens!D12</f>
        <v>25571.362078880098</v>
      </c>
      <c r="F41" s="689">
        <f>huishoudens!E12</f>
        <v>371.27882962944022</v>
      </c>
      <c r="G41" s="689">
        <f>huishoudens!F12</f>
        <v>1373.8811452099969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34397.384127151483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310.23721612053595</v>
      </c>
      <c r="D43" s="689">
        <f ca="1">industrie!C22</f>
        <v>0</v>
      </c>
      <c r="E43" s="689">
        <f>industrie!D22</f>
        <v>383.89818895216109</v>
      </c>
      <c r="F43" s="689">
        <f>industrie!E22</f>
        <v>1.203913132275015</v>
      </c>
      <c r="G43" s="689">
        <f>industrie!F22</f>
        <v>211.23514623569056</v>
      </c>
      <c r="H43" s="689">
        <f>industrie!G22</f>
        <v>0</v>
      </c>
      <c r="I43" s="689">
        <f>industrie!H22</f>
        <v>0</v>
      </c>
      <c r="J43" s="689">
        <f>industrie!I22</f>
        <v>0</v>
      </c>
      <c r="K43" s="689">
        <f>industrie!J22</f>
        <v>5.1398329949974821E-2</v>
      </c>
      <c r="L43" s="689">
        <f>industrie!K22</f>
        <v>0</v>
      </c>
      <c r="M43" s="689">
        <f>industrie!L22</f>
        <v>0</v>
      </c>
      <c r="N43" s="689">
        <f>industrie!M22</f>
        <v>0</v>
      </c>
      <c r="O43" s="689">
        <f>industrie!N22</f>
        <v>0</v>
      </c>
      <c r="P43" s="689">
        <f>industrie!O22</f>
        <v>0</v>
      </c>
      <c r="Q43" s="772">
        <f>industrie!P22</f>
        <v>0</v>
      </c>
      <c r="R43" s="851">
        <f t="shared" ca="1" si="4"/>
        <v>906.62586277061257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11183.129847248047</v>
      </c>
      <c r="D46" s="725">
        <f t="shared" ref="D46:Q46" ca="1" si="5">SUM(D39:D45)</f>
        <v>0</v>
      </c>
      <c r="E46" s="725">
        <f t="shared" ca="1" si="5"/>
        <v>32711.949060627332</v>
      </c>
      <c r="F46" s="725">
        <f t="shared" si="5"/>
        <v>386.64892021315507</v>
      </c>
      <c r="G46" s="725">
        <f t="shared" ca="1" si="5"/>
        <v>2446.840426010433</v>
      </c>
      <c r="H46" s="725">
        <f t="shared" si="5"/>
        <v>0</v>
      </c>
      <c r="I46" s="725">
        <f t="shared" si="5"/>
        <v>0</v>
      </c>
      <c r="J46" s="725">
        <f t="shared" si="5"/>
        <v>0</v>
      </c>
      <c r="K46" s="725">
        <f t="shared" si="5"/>
        <v>6.2679890682011158E-2</v>
      </c>
      <c r="L46" s="725">
        <f t="shared" si="5"/>
        <v>0</v>
      </c>
      <c r="M46" s="725">
        <f t="shared" ca="1" si="5"/>
        <v>0</v>
      </c>
      <c r="N46" s="725">
        <f t="shared" si="5"/>
        <v>0</v>
      </c>
      <c r="O46" s="725">
        <f t="shared" ca="1" si="5"/>
        <v>0</v>
      </c>
      <c r="P46" s="725">
        <f t="shared" si="5"/>
        <v>0</v>
      </c>
      <c r="Q46" s="725">
        <f t="shared" si="5"/>
        <v>0</v>
      </c>
      <c r="R46" s="725">
        <f ca="1">SUM(R39:R45)</f>
        <v>46728.63093398964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434.41348489354414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434.41348489354414</v>
      </c>
    </row>
    <row r="50" spans="1:18">
      <c r="A50" s="827" t="s">
        <v>306</v>
      </c>
      <c r="B50" s="837"/>
      <c r="C50" s="695">
        <f ca="1">transport!B18</f>
        <v>15.28873369394246</v>
      </c>
      <c r="D50" s="695">
        <f>transport!C18</f>
        <v>0</v>
      </c>
      <c r="E50" s="695">
        <f>transport!D18</f>
        <v>73.780753505655483</v>
      </c>
      <c r="F50" s="695">
        <f>transport!E18</f>
        <v>43.462999560490971</v>
      </c>
      <c r="G50" s="695">
        <f>transport!F18</f>
        <v>0</v>
      </c>
      <c r="H50" s="695">
        <f>transport!G18</f>
        <v>16295.686342910818</v>
      </c>
      <c r="I50" s="695">
        <f>transport!H18</f>
        <v>5758.1480092205657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22186.366838891474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15.28873369394246</v>
      </c>
      <c r="D52" s="725">
        <f t="shared" ref="D52:Q52" ca="1" si="6">SUM(D48:D51)</f>
        <v>0</v>
      </c>
      <c r="E52" s="725">
        <f t="shared" si="6"/>
        <v>73.780753505655483</v>
      </c>
      <c r="F52" s="725">
        <f t="shared" si="6"/>
        <v>43.462999560490971</v>
      </c>
      <c r="G52" s="725">
        <f t="shared" si="6"/>
        <v>0</v>
      </c>
      <c r="H52" s="725">
        <f t="shared" si="6"/>
        <v>16730.099827804363</v>
      </c>
      <c r="I52" s="725">
        <f t="shared" si="6"/>
        <v>5758.1480092205657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22620.780323785017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14.730981732620286</v>
      </c>
      <c r="D54" s="695">
        <f ca="1">+landbouw!C12</f>
        <v>0</v>
      </c>
      <c r="E54" s="695">
        <f>+landbouw!D12</f>
        <v>12.948773173662694</v>
      </c>
      <c r="F54" s="695">
        <f>+landbouw!E12</f>
        <v>0.58375689044286305</v>
      </c>
      <c r="G54" s="695">
        <f>+landbouw!F12</f>
        <v>59.734054323769328</v>
      </c>
      <c r="H54" s="695">
        <f>+landbouw!G12</f>
        <v>0</v>
      </c>
      <c r="I54" s="695">
        <f>+landbouw!H12</f>
        <v>0</v>
      </c>
      <c r="J54" s="695">
        <f>+landbouw!I12</f>
        <v>0</v>
      </c>
      <c r="K54" s="695">
        <f>+landbouw!J12</f>
        <v>6.4079467561647059</v>
      </c>
      <c r="L54" s="695">
        <f>+landbouw!K12</f>
        <v>0</v>
      </c>
      <c r="M54" s="695">
        <f>+landbouw!L12</f>
        <v>0</v>
      </c>
      <c r="N54" s="695">
        <f>+landbouw!M12</f>
        <v>0</v>
      </c>
      <c r="O54" s="695">
        <f>+landbouw!N12</f>
        <v>0</v>
      </c>
      <c r="P54" s="695">
        <f>+landbouw!O12</f>
        <v>0</v>
      </c>
      <c r="Q54" s="696">
        <f>+landbouw!P12</f>
        <v>0</v>
      </c>
      <c r="R54" s="724">
        <f ca="1">SUM(C54:Q54)</f>
        <v>94.405512876659884</v>
      </c>
    </row>
    <row r="55" spans="1:18" ht="15" thickBot="1">
      <c r="A55" s="827" t="s">
        <v>714</v>
      </c>
      <c r="B55" s="837"/>
      <c r="C55" s="695">
        <f ca="1">C25*'EF ele_warmte'!B12</f>
        <v>376.42769018597141</v>
      </c>
      <c r="D55" s="695"/>
      <c r="E55" s="695">
        <f>E25*EF_CO2_aardgas</f>
        <v>1548.4369033385913</v>
      </c>
      <c r="F55" s="695"/>
      <c r="G55" s="695"/>
      <c r="H55" s="695"/>
      <c r="I55" s="695"/>
      <c r="J55" s="695"/>
      <c r="K55" s="695"/>
      <c r="L55" s="695"/>
      <c r="M55" s="695"/>
      <c r="N55" s="695"/>
      <c r="O55" s="695"/>
      <c r="P55" s="695"/>
      <c r="Q55" s="696"/>
      <c r="R55" s="724">
        <f ca="1">SUM(C55:Q55)</f>
        <v>1924.8645935245627</v>
      </c>
    </row>
    <row r="56" spans="1:18" ht="15.75" thickBot="1">
      <c r="A56" s="825" t="s">
        <v>715</v>
      </c>
      <c r="B56" s="838"/>
      <c r="C56" s="725">
        <f ca="1">SUM(C54:C55)</f>
        <v>391.15867191859172</v>
      </c>
      <c r="D56" s="725">
        <f t="shared" ref="D56:Q56" ca="1" si="7">SUM(D54:D55)</f>
        <v>0</v>
      </c>
      <c r="E56" s="725">
        <f t="shared" si="7"/>
        <v>1561.3856765122539</v>
      </c>
      <c r="F56" s="725">
        <f t="shared" si="7"/>
        <v>0.58375689044286305</v>
      </c>
      <c r="G56" s="725">
        <f t="shared" si="7"/>
        <v>59.734054323769328</v>
      </c>
      <c r="H56" s="725">
        <f t="shared" si="7"/>
        <v>0</v>
      </c>
      <c r="I56" s="725">
        <f t="shared" si="7"/>
        <v>0</v>
      </c>
      <c r="J56" s="725">
        <f t="shared" si="7"/>
        <v>0</v>
      </c>
      <c r="K56" s="725">
        <f t="shared" si="7"/>
        <v>6.4079467561647059</v>
      </c>
      <c r="L56" s="725">
        <f t="shared" si="7"/>
        <v>0</v>
      </c>
      <c r="M56" s="725">
        <f t="shared" si="7"/>
        <v>0</v>
      </c>
      <c r="N56" s="725">
        <f t="shared" si="7"/>
        <v>0</v>
      </c>
      <c r="O56" s="725">
        <f t="shared" si="7"/>
        <v>0</v>
      </c>
      <c r="P56" s="725">
        <f t="shared" si="7"/>
        <v>0</v>
      </c>
      <c r="Q56" s="726">
        <f t="shared" si="7"/>
        <v>0</v>
      </c>
      <c r="R56" s="727">
        <f ca="1">SUM(R54:R55)</f>
        <v>2019.2701064012226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11589.577252860581</v>
      </c>
      <c r="D61" s="733">
        <f t="shared" ref="D61:Q61" ca="1" si="8">D46+D52+D56</f>
        <v>0</v>
      </c>
      <c r="E61" s="733">
        <f t="shared" ca="1" si="8"/>
        <v>34347.115490645243</v>
      </c>
      <c r="F61" s="733">
        <f t="shared" si="8"/>
        <v>430.69567666408892</v>
      </c>
      <c r="G61" s="733">
        <f t="shared" ca="1" si="8"/>
        <v>2506.5744803342022</v>
      </c>
      <c r="H61" s="733">
        <f t="shared" si="8"/>
        <v>16730.099827804363</v>
      </c>
      <c r="I61" s="733">
        <f t="shared" si="8"/>
        <v>5758.1480092205657</v>
      </c>
      <c r="J61" s="733">
        <f t="shared" si="8"/>
        <v>0</v>
      </c>
      <c r="K61" s="733">
        <f t="shared" si="8"/>
        <v>6.4706266468467168</v>
      </c>
      <c r="L61" s="733">
        <f t="shared" si="8"/>
        <v>0</v>
      </c>
      <c r="M61" s="733">
        <f t="shared" ca="1" si="8"/>
        <v>0</v>
      </c>
      <c r="N61" s="733">
        <f t="shared" si="8"/>
        <v>0</v>
      </c>
      <c r="O61" s="733">
        <f t="shared" ca="1" si="8"/>
        <v>0</v>
      </c>
      <c r="P61" s="733">
        <f t="shared" si="8"/>
        <v>0</v>
      </c>
      <c r="Q61" s="733">
        <f t="shared" si="8"/>
        <v>0</v>
      </c>
      <c r="R61" s="733">
        <f ca="1">R46+R52+R56</f>
        <v>71368.681364175878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0.21362571731886434</v>
      </c>
      <c r="D63" s="779">
        <f t="shared" ca="1" si="9"/>
        <v>0</v>
      </c>
      <c r="E63" s="973">
        <f t="shared" ca="1" si="9"/>
        <v>0.20200000000000001</v>
      </c>
      <c r="F63" s="779">
        <f t="shared" si="9"/>
        <v>0.22700000000000006</v>
      </c>
      <c r="G63" s="779">
        <f t="shared" ca="1" si="9"/>
        <v>0.26700000000000002</v>
      </c>
      <c r="H63" s="779">
        <f t="shared" si="9"/>
        <v>0.26700000000000002</v>
      </c>
      <c r="I63" s="779">
        <f t="shared" si="9"/>
        <v>0.24900000000000003</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1810.2625565714009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1810.2625565714009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1810.2625565714009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1810.2625565714009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33146.112566881806</v>
      </c>
      <c r="C4" s="455">
        <f>huishoudens!C8</f>
        <v>0</v>
      </c>
      <c r="D4" s="455">
        <f>huishoudens!D8</f>
        <v>126590.90138059453</v>
      </c>
      <c r="E4" s="455">
        <f>huishoudens!E8</f>
        <v>1635.5895578389436</v>
      </c>
      <c r="F4" s="455">
        <f>huishoudens!F8</f>
        <v>5145.6222667041084</v>
      </c>
      <c r="G4" s="455">
        <f>huishoudens!G8</f>
        <v>0</v>
      </c>
      <c r="H4" s="455">
        <f>huishoudens!H8</f>
        <v>0</v>
      </c>
      <c r="I4" s="455">
        <f>huishoudens!I8</f>
        <v>0</v>
      </c>
      <c r="J4" s="455">
        <f>huishoudens!J8</f>
        <v>0</v>
      </c>
      <c r="K4" s="455">
        <f>huishoudens!K8</f>
        <v>0</v>
      </c>
      <c r="L4" s="455">
        <f>huishoudens!L8</f>
        <v>0</v>
      </c>
      <c r="M4" s="455">
        <f>huishoudens!M8</f>
        <v>0</v>
      </c>
      <c r="N4" s="455">
        <f>huishoudens!N8</f>
        <v>7153.2261646916158</v>
      </c>
      <c r="O4" s="455">
        <f>huishoudens!O8</f>
        <v>130.94124247954412</v>
      </c>
      <c r="P4" s="456">
        <f>huishoudens!P8</f>
        <v>158.00938961527535</v>
      </c>
      <c r="Q4" s="457">
        <f>SUM(B4:P4)</f>
        <v>173960.40256880582</v>
      </c>
    </row>
    <row r="5" spans="1:17">
      <c r="A5" s="454" t="s">
        <v>155</v>
      </c>
      <c r="B5" s="455">
        <f ca="1">tertiair!B16</f>
        <v>16622.301861093987</v>
      </c>
      <c r="C5" s="455">
        <f ca="1">tertiair!C16</f>
        <v>0</v>
      </c>
      <c r="D5" s="455">
        <f ca="1">tertiair!D16</f>
        <v>33448.954419777583</v>
      </c>
      <c r="E5" s="455">
        <f>tertiair!E16</f>
        <v>62.406068068016651</v>
      </c>
      <c r="F5" s="455">
        <f ca="1">tertiair!F16</f>
        <v>3227.4312155982971</v>
      </c>
      <c r="G5" s="455">
        <f>tertiair!G16</f>
        <v>0</v>
      </c>
      <c r="H5" s="455">
        <f>tertiair!H16</f>
        <v>0</v>
      </c>
      <c r="I5" s="455">
        <f>tertiair!I16</f>
        <v>0</v>
      </c>
      <c r="J5" s="455">
        <f>tertiair!J16</f>
        <v>3.1868815627221311E-2</v>
      </c>
      <c r="K5" s="455">
        <f>tertiair!K16</f>
        <v>0</v>
      </c>
      <c r="L5" s="455">
        <f ca="1">tertiair!L16</f>
        <v>0</v>
      </c>
      <c r="M5" s="455">
        <f>tertiair!M16</f>
        <v>0</v>
      </c>
      <c r="N5" s="455">
        <f ca="1">tertiair!N16</f>
        <v>1166.7574325821874</v>
      </c>
      <c r="O5" s="455">
        <f>tertiair!O16</f>
        <v>4.8972607658411542</v>
      </c>
      <c r="P5" s="456">
        <f>tertiair!P16</f>
        <v>0</v>
      </c>
      <c r="Q5" s="454">
        <f t="shared" ref="Q5:Q14" ca="1" si="0">SUM(B5:P5)</f>
        <v>54532.780126701546</v>
      </c>
    </row>
    <row r="6" spans="1:17">
      <c r="A6" s="454" t="s">
        <v>193</v>
      </c>
      <c r="B6" s="455">
        <f>'openbare verlichting'!B8</f>
        <v>1128.5129999999999</v>
      </c>
      <c r="C6" s="455"/>
      <c r="D6" s="455"/>
      <c r="E6" s="455"/>
      <c r="F6" s="455"/>
      <c r="G6" s="455"/>
      <c r="H6" s="455"/>
      <c r="I6" s="455"/>
      <c r="J6" s="455"/>
      <c r="K6" s="455"/>
      <c r="L6" s="455"/>
      <c r="M6" s="455"/>
      <c r="N6" s="455"/>
      <c r="O6" s="455"/>
      <c r="P6" s="456"/>
      <c r="Q6" s="454">
        <f t="shared" si="0"/>
        <v>1128.5129999999999</v>
      </c>
    </row>
    <row r="7" spans="1:17">
      <c r="A7" s="454" t="s">
        <v>111</v>
      </c>
      <c r="B7" s="455">
        <f>landbouw!B8</f>
        <v>68.956967903973691</v>
      </c>
      <c r="C7" s="455">
        <f>landbouw!C8</f>
        <v>0</v>
      </c>
      <c r="D7" s="455">
        <f>landbouw!D8</f>
        <v>64.102837493379667</v>
      </c>
      <c r="E7" s="455">
        <f>landbouw!E8</f>
        <v>2.5716162574575465</v>
      </c>
      <c r="F7" s="455">
        <f>landbouw!F8</f>
        <v>223.72304990175778</v>
      </c>
      <c r="G7" s="455">
        <f>landbouw!G8</f>
        <v>0</v>
      </c>
      <c r="H7" s="455">
        <f>landbouw!H8</f>
        <v>0</v>
      </c>
      <c r="I7" s="455">
        <f>landbouw!I8</f>
        <v>0</v>
      </c>
      <c r="J7" s="455">
        <f>landbouw!J8</f>
        <v>18.101544508939849</v>
      </c>
      <c r="K7" s="455">
        <f>landbouw!K8</f>
        <v>0</v>
      </c>
      <c r="L7" s="455">
        <f>landbouw!L8</f>
        <v>0</v>
      </c>
      <c r="M7" s="455">
        <f>landbouw!M8</f>
        <v>0</v>
      </c>
      <c r="N7" s="455">
        <f>landbouw!N8</f>
        <v>0</v>
      </c>
      <c r="O7" s="455">
        <f>landbouw!O8</f>
        <v>0</v>
      </c>
      <c r="P7" s="456">
        <f>landbouw!P8</f>
        <v>0</v>
      </c>
      <c r="Q7" s="454">
        <f t="shared" si="0"/>
        <v>377.45601606550855</v>
      </c>
    </row>
    <row r="8" spans="1:17">
      <c r="A8" s="454" t="s">
        <v>626</v>
      </c>
      <c r="B8" s="455">
        <f>industrie!B18</f>
        <v>1452.2465741213466</v>
      </c>
      <c r="C8" s="455">
        <f>industrie!C18</f>
        <v>0</v>
      </c>
      <c r="D8" s="455">
        <f>industrie!D18</f>
        <v>1900.4860839215894</v>
      </c>
      <c r="E8" s="455">
        <f>industrie!E18</f>
        <v>5.3035820805066738</v>
      </c>
      <c r="F8" s="455">
        <f>industrie!F18</f>
        <v>791.1428697965938</v>
      </c>
      <c r="G8" s="455">
        <f>industrie!G18</f>
        <v>0</v>
      </c>
      <c r="H8" s="455">
        <f>industrie!H18</f>
        <v>0</v>
      </c>
      <c r="I8" s="455">
        <f>industrie!I18</f>
        <v>0</v>
      </c>
      <c r="J8" s="455">
        <f>industrie!J18</f>
        <v>0.145193022457556</v>
      </c>
      <c r="K8" s="455">
        <f>industrie!K18</f>
        <v>0</v>
      </c>
      <c r="L8" s="455">
        <f>industrie!L18</f>
        <v>0</v>
      </c>
      <c r="M8" s="455">
        <f>industrie!M18</f>
        <v>0</v>
      </c>
      <c r="N8" s="455">
        <f>industrie!N18</f>
        <v>55.301354862911289</v>
      </c>
      <c r="O8" s="455">
        <f>industrie!O18</f>
        <v>0</v>
      </c>
      <c r="P8" s="456">
        <f>industrie!P18</f>
        <v>0</v>
      </c>
      <c r="Q8" s="454">
        <f t="shared" si="0"/>
        <v>4204.6256578054054</v>
      </c>
    </row>
    <row r="9" spans="1:17" s="460" customFormat="1">
      <c r="A9" s="458" t="s">
        <v>552</v>
      </c>
      <c r="B9" s="459">
        <f>transport!B14</f>
        <v>71.56785187582085</v>
      </c>
      <c r="C9" s="459">
        <f>transport!C14</f>
        <v>0</v>
      </c>
      <c r="D9" s="459">
        <f>transport!D14</f>
        <v>365.25125497849245</v>
      </c>
      <c r="E9" s="459">
        <f>transport!E14</f>
        <v>191.46695841625979</v>
      </c>
      <c r="F9" s="459">
        <f>transport!F14</f>
        <v>0</v>
      </c>
      <c r="G9" s="459">
        <f>transport!G14</f>
        <v>61032.533119516171</v>
      </c>
      <c r="H9" s="459">
        <f>transport!H14</f>
        <v>23125.092406508295</v>
      </c>
      <c r="I9" s="459">
        <f>transport!I14</f>
        <v>0</v>
      </c>
      <c r="J9" s="459">
        <f>transport!J14</f>
        <v>0</v>
      </c>
      <c r="K9" s="459">
        <f>transport!K14</f>
        <v>0</v>
      </c>
      <c r="L9" s="459">
        <f>transport!L14</f>
        <v>0</v>
      </c>
      <c r="M9" s="459">
        <f>transport!M14</f>
        <v>5043.8092897516099</v>
      </c>
      <c r="N9" s="459">
        <f>transport!N14</f>
        <v>0</v>
      </c>
      <c r="O9" s="459">
        <f>transport!O14</f>
        <v>0</v>
      </c>
      <c r="P9" s="459">
        <f>transport!P14</f>
        <v>0</v>
      </c>
      <c r="Q9" s="458">
        <f>SUM(B9:P9)</f>
        <v>89829.72088104664</v>
      </c>
    </row>
    <row r="10" spans="1:17">
      <c r="A10" s="454" t="s">
        <v>542</v>
      </c>
      <c r="B10" s="455">
        <f>transport!B54</f>
        <v>0</v>
      </c>
      <c r="C10" s="455">
        <f>transport!C54</f>
        <v>0</v>
      </c>
      <c r="D10" s="455">
        <f>transport!D54</f>
        <v>0</v>
      </c>
      <c r="E10" s="455">
        <f>transport!E54</f>
        <v>0</v>
      </c>
      <c r="F10" s="455">
        <f>transport!F54</f>
        <v>0</v>
      </c>
      <c r="G10" s="455">
        <f>transport!G54</f>
        <v>1627.0167973540979</v>
      </c>
      <c r="H10" s="455">
        <f>transport!H54</f>
        <v>0</v>
      </c>
      <c r="I10" s="455">
        <f>transport!I54</f>
        <v>0</v>
      </c>
      <c r="J10" s="455">
        <f>transport!J54</f>
        <v>0</v>
      </c>
      <c r="K10" s="455">
        <f>transport!K54</f>
        <v>0</v>
      </c>
      <c r="L10" s="455">
        <f>transport!L54</f>
        <v>0</v>
      </c>
      <c r="M10" s="455">
        <f>transport!M54</f>
        <v>88.291198242350376</v>
      </c>
      <c r="N10" s="455">
        <f>transport!N54</f>
        <v>0</v>
      </c>
      <c r="O10" s="455">
        <f>transport!O54</f>
        <v>0</v>
      </c>
      <c r="P10" s="456">
        <f>transport!P54</f>
        <v>0</v>
      </c>
      <c r="Q10" s="454">
        <f t="shared" si="0"/>
        <v>1715.3079955964483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1762.08976573782</v>
      </c>
      <c r="C14" s="462"/>
      <c r="D14" s="462">
        <f>'SEAP template'!E25</f>
        <v>7665.5292244484708</v>
      </c>
      <c r="E14" s="462"/>
      <c r="F14" s="462"/>
      <c r="G14" s="462"/>
      <c r="H14" s="462"/>
      <c r="I14" s="462"/>
      <c r="J14" s="462"/>
      <c r="K14" s="462"/>
      <c r="L14" s="462"/>
      <c r="M14" s="462"/>
      <c r="N14" s="462"/>
      <c r="O14" s="462"/>
      <c r="P14" s="463"/>
      <c r="Q14" s="454">
        <f t="shared" si="0"/>
        <v>9427.6189901862908</v>
      </c>
    </row>
    <row r="15" spans="1:17" s="466" customFormat="1">
      <c r="A15" s="464" t="s">
        <v>546</v>
      </c>
      <c r="B15" s="465">
        <f ca="1">SUM(B4:B14)</f>
        <v>54251.788587614748</v>
      </c>
      <c r="C15" s="465">
        <f t="shared" ref="C15:Q15" ca="1" si="1">SUM(C4:C14)</f>
        <v>0</v>
      </c>
      <c r="D15" s="465">
        <f t="shared" ca="1" si="1"/>
        <v>170035.22520121405</v>
      </c>
      <c r="E15" s="465">
        <f t="shared" si="1"/>
        <v>1897.3377826611841</v>
      </c>
      <c r="F15" s="465">
        <f t="shared" ca="1" si="1"/>
        <v>9387.9194020007562</v>
      </c>
      <c r="G15" s="465">
        <f t="shared" si="1"/>
        <v>62659.549916870266</v>
      </c>
      <c r="H15" s="465">
        <f t="shared" si="1"/>
        <v>23125.092406508295</v>
      </c>
      <c r="I15" s="465">
        <f t="shared" si="1"/>
        <v>0</v>
      </c>
      <c r="J15" s="465">
        <f t="shared" si="1"/>
        <v>18.278606347024624</v>
      </c>
      <c r="K15" s="465">
        <f t="shared" si="1"/>
        <v>0</v>
      </c>
      <c r="L15" s="465">
        <f t="shared" ca="1" si="1"/>
        <v>0</v>
      </c>
      <c r="M15" s="465">
        <f t="shared" si="1"/>
        <v>5132.1004879939601</v>
      </c>
      <c r="N15" s="465">
        <f t="shared" ca="1" si="1"/>
        <v>8375.2849521367152</v>
      </c>
      <c r="O15" s="465">
        <f t="shared" si="1"/>
        <v>135.83850324538528</v>
      </c>
      <c r="P15" s="465">
        <f t="shared" si="1"/>
        <v>158.00938961527535</v>
      </c>
      <c r="Q15" s="465">
        <f t="shared" ca="1" si="1"/>
        <v>335176.42523620767</v>
      </c>
    </row>
    <row r="17" spans="1:17">
      <c r="A17" s="467" t="s">
        <v>547</v>
      </c>
      <c r="B17" s="784">
        <f ca="1">huishoudens!B10</f>
        <v>0.21362571731886434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7080.8620734319493</v>
      </c>
      <c r="C22" s="455">
        <f t="shared" ref="C22:C32" ca="1" si="3">C4*$C$17</f>
        <v>0</v>
      </c>
      <c r="D22" s="455">
        <f t="shared" ref="D22:D32" si="4">D4*$D$17</f>
        <v>25571.362078880098</v>
      </c>
      <c r="E22" s="455">
        <f t="shared" ref="E22:E32" si="5">E4*$E$17</f>
        <v>371.27882962944022</v>
      </c>
      <c r="F22" s="455">
        <f t="shared" ref="F22:F32" si="6">F4*$F$17</f>
        <v>1373.8811452099969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34397.384127151483</v>
      </c>
    </row>
    <row r="23" spans="1:17">
      <c r="A23" s="454" t="s">
        <v>155</v>
      </c>
      <c r="B23" s="455">
        <f t="shared" ca="1" si="2"/>
        <v>3550.951158566897</v>
      </c>
      <c r="C23" s="455">
        <f t="shared" ca="1" si="3"/>
        <v>0</v>
      </c>
      <c r="D23" s="455">
        <f t="shared" ca="1" si="4"/>
        <v>6756.688792795072</v>
      </c>
      <c r="E23" s="455">
        <f t="shared" si="5"/>
        <v>14.166177451439781</v>
      </c>
      <c r="F23" s="455">
        <f t="shared" ca="1" si="6"/>
        <v>861.72413456474533</v>
      </c>
      <c r="G23" s="455">
        <f t="shared" si="7"/>
        <v>0</v>
      </c>
      <c r="H23" s="455">
        <f t="shared" si="8"/>
        <v>0</v>
      </c>
      <c r="I23" s="455">
        <f t="shared" si="9"/>
        <v>0</v>
      </c>
      <c r="J23" s="455">
        <f t="shared" si="10"/>
        <v>1.1281560732036344E-2</v>
      </c>
      <c r="K23" s="455">
        <f t="shared" si="11"/>
        <v>0</v>
      </c>
      <c r="L23" s="455">
        <f t="shared" ca="1" si="12"/>
        <v>0</v>
      </c>
      <c r="M23" s="455">
        <f t="shared" si="13"/>
        <v>0</v>
      </c>
      <c r="N23" s="455">
        <f t="shared" ca="1" si="14"/>
        <v>0</v>
      </c>
      <c r="O23" s="455">
        <f t="shared" si="15"/>
        <v>0</v>
      </c>
      <c r="P23" s="456">
        <f t="shared" si="16"/>
        <v>0</v>
      </c>
      <c r="Q23" s="454">
        <f t="shared" ref="Q23:Q31" ca="1" si="17">SUM(B23:P23)</f>
        <v>11183.541544938886</v>
      </c>
    </row>
    <row r="24" spans="1:17">
      <c r="A24" s="454" t="s">
        <v>193</v>
      </c>
      <c r="B24" s="455">
        <f t="shared" ca="1" si="2"/>
        <v>241.07939912866354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241.07939912866354</v>
      </c>
    </row>
    <row r="25" spans="1:17">
      <c r="A25" s="454" t="s">
        <v>111</v>
      </c>
      <c r="B25" s="455">
        <f t="shared" ca="1" si="2"/>
        <v>14.730981732620286</v>
      </c>
      <c r="C25" s="455">
        <f t="shared" ca="1" si="3"/>
        <v>0</v>
      </c>
      <c r="D25" s="455">
        <f t="shared" si="4"/>
        <v>12.948773173662694</v>
      </c>
      <c r="E25" s="455">
        <f t="shared" si="5"/>
        <v>0.58375689044286305</v>
      </c>
      <c r="F25" s="455">
        <f t="shared" si="6"/>
        <v>59.734054323769328</v>
      </c>
      <c r="G25" s="455">
        <f t="shared" si="7"/>
        <v>0</v>
      </c>
      <c r="H25" s="455">
        <f t="shared" si="8"/>
        <v>0</v>
      </c>
      <c r="I25" s="455">
        <f t="shared" si="9"/>
        <v>0</v>
      </c>
      <c r="J25" s="455">
        <f t="shared" si="10"/>
        <v>6.4079467561647059</v>
      </c>
      <c r="K25" s="455">
        <f t="shared" si="11"/>
        <v>0</v>
      </c>
      <c r="L25" s="455">
        <f t="shared" si="12"/>
        <v>0</v>
      </c>
      <c r="M25" s="455">
        <f t="shared" si="13"/>
        <v>0</v>
      </c>
      <c r="N25" s="455">
        <f t="shared" si="14"/>
        <v>0</v>
      </c>
      <c r="O25" s="455">
        <f t="shared" si="15"/>
        <v>0</v>
      </c>
      <c r="P25" s="456">
        <f t="shared" si="16"/>
        <v>0</v>
      </c>
      <c r="Q25" s="454">
        <f t="shared" ca="1" si="17"/>
        <v>94.405512876659884</v>
      </c>
    </row>
    <row r="26" spans="1:17">
      <c r="A26" s="454" t="s">
        <v>626</v>
      </c>
      <c r="B26" s="455">
        <f t="shared" ca="1" si="2"/>
        <v>310.23721612053595</v>
      </c>
      <c r="C26" s="455">
        <f t="shared" ca="1" si="3"/>
        <v>0</v>
      </c>
      <c r="D26" s="455">
        <f t="shared" si="4"/>
        <v>383.89818895216109</v>
      </c>
      <c r="E26" s="455">
        <f t="shared" si="5"/>
        <v>1.203913132275015</v>
      </c>
      <c r="F26" s="455">
        <f t="shared" si="6"/>
        <v>211.23514623569056</v>
      </c>
      <c r="G26" s="455">
        <f t="shared" si="7"/>
        <v>0</v>
      </c>
      <c r="H26" s="455">
        <f t="shared" si="8"/>
        <v>0</v>
      </c>
      <c r="I26" s="455">
        <f t="shared" si="9"/>
        <v>0</v>
      </c>
      <c r="J26" s="455">
        <f t="shared" si="10"/>
        <v>5.1398329949974821E-2</v>
      </c>
      <c r="K26" s="455">
        <f t="shared" si="11"/>
        <v>0</v>
      </c>
      <c r="L26" s="455">
        <f t="shared" si="12"/>
        <v>0</v>
      </c>
      <c r="M26" s="455">
        <f t="shared" si="13"/>
        <v>0</v>
      </c>
      <c r="N26" s="455">
        <f t="shared" si="14"/>
        <v>0</v>
      </c>
      <c r="O26" s="455">
        <f t="shared" si="15"/>
        <v>0</v>
      </c>
      <c r="P26" s="456">
        <f t="shared" si="16"/>
        <v>0</v>
      </c>
      <c r="Q26" s="454">
        <f t="shared" ca="1" si="17"/>
        <v>906.62586277061257</v>
      </c>
    </row>
    <row r="27" spans="1:17" s="460" customFormat="1">
      <c r="A27" s="458" t="s">
        <v>552</v>
      </c>
      <c r="B27" s="778">
        <f t="shared" ca="1" si="2"/>
        <v>15.28873369394246</v>
      </c>
      <c r="C27" s="459">
        <f t="shared" ca="1" si="3"/>
        <v>0</v>
      </c>
      <c r="D27" s="459">
        <f t="shared" si="4"/>
        <v>73.780753505655483</v>
      </c>
      <c r="E27" s="459">
        <f t="shared" si="5"/>
        <v>43.462999560490971</v>
      </c>
      <c r="F27" s="459">
        <f t="shared" si="6"/>
        <v>0</v>
      </c>
      <c r="G27" s="459">
        <f t="shared" si="7"/>
        <v>16295.686342910818</v>
      </c>
      <c r="H27" s="459">
        <f t="shared" si="8"/>
        <v>5758.1480092205657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22186.366838891474</v>
      </c>
    </row>
    <row r="28" spans="1:17" ht="16.5" customHeight="1">
      <c r="A28" s="454" t="s">
        <v>542</v>
      </c>
      <c r="B28" s="455">
        <f t="shared" ca="1" si="2"/>
        <v>0</v>
      </c>
      <c r="C28" s="455">
        <f t="shared" ca="1" si="3"/>
        <v>0</v>
      </c>
      <c r="D28" s="455">
        <f t="shared" si="4"/>
        <v>0</v>
      </c>
      <c r="E28" s="455">
        <f t="shared" si="5"/>
        <v>0</v>
      </c>
      <c r="F28" s="455">
        <f t="shared" si="6"/>
        <v>0</v>
      </c>
      <c r="G28" s="455">
        <f t="shared" si="7"/>
        <v>434.41348489354414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434.41348489354414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376.42769018597141</v>
      </c>
      <c r="C32" s="455">
        <f t="shared" ca="1" si="3"/>
        <v>0</v>
      </c>
      <c r="D32" s="455">
        <f t="shared" si="4"/>
        <v>1548.4369033385913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1924.8645935245627</v>
      </c>
    </row>
    <row r="33" spans="1:17" s="466" customFormat="1">
      <c r="A33" s="464" t="s">
        <v>546</v>
      </c>
      <c r="B33" s="465">
        <f ca="1">SUM(B22:B32)</f>
        <v>11589.577252860581</v>
      </c>
      <c r="C33" s="465">
        <f t="shared" ref="C33:Q33" ca="1" si="19">SUM(C22:C32)</f>
        <v>0</v>
      </c>
      <c r="D33" s="465">
        <f t="shared" ca="1" si="19"/>
        <v>34347.115490645236</v>
      </c>
      <c r="E33" s="465">
        <f t="shared" si="19"/>
        <v>430.69567666408892</v>
      </c>
      <c r="F33" s="465">
        <f t="shared" ca="1" si="19"/>
        <v>2506.5744803342022</v>
      </c>
      <c r="G33" s="465">
        <f t="shared" si="19"/>
        <v>16730.099827804363</v>
      </c>
      <c r="H33" s="465">
        <f t="shared" si="19"/>
        <v>5758.1480092205657</v>
      </c>
      <c r="I33" s="465">
        <f t="shared" si="19"/>
        <v>0</v>
      </c>
      <c r="J33" s="465">
        <f t="shared" si="19"/>
        <v>6.4706266468467168</v>
      </c>
      <c r="K33" s="465">
        <f t="shared" si="19"/>
        <v>0</v>
      </c>
      <c r="L33" s="465">
        <f t="shared" ca="1" si="19"/>
        <v>0</v>
      </c>
      <c r="M33" s="465">
        <f t="shared" si="19"/>
        <v>0</v>
      </c>
      <c r="N33" s="465">
        <f t="shared" ca="1" si="19"/>
        <v>0</v>
      </c>
      <c r="O33" s="465">
        <f t="shared" si="19"/>
        <v>0</v>
      </c>
      <c r="P33" s="465">
        <f t="shared" si="19"/>
        <v>0</v>
      </c>
      <c r="Q33" s="465">
        <f t="shared" ca="1" si="19"/>
        <v>71368.681364175893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1810.2625565714009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1810.2625565714009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0.21362571731886434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0.21362571731886434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2020-06-20T15:20:09Z</dcterms:modified>
</cp:coreProperties>
</file>