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20" i="15" l="1"/>
  <c r="K40" i="14" s="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<sst xmlns="http://schemas.openxmlformats.org/spreadsheetml/2006/main" count="2366" uniqueCount="865">
  <si>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</si>
  <si>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</si>
  <si>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</si>
  <si>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</si>
  <si>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</si>
  <si>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</si>
  <si>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</si>
  <si>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</si>
  <si>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</si>
  <si>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</si>
  <si>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</si>
  <si>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</si>
  <si>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</si>
  <si>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</si>
  <si>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</si>
  <si>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</si>
  <si>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</si>
  <si>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</si>
  <si>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</si>
  <si>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</si>
  <si>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</si>
  <si>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</si>
  <si>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</si>
  <si>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</si>
  <si>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</si>
  <si>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</si>
  <si>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</si>
  <si>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</si>
  <si>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</si>
  <si>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</si>
  <si>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</si>
  <si>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</si>
  <si>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</si>
  <si>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</si>
  <si>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</si>
  <si>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</si>
  <si>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</si>
  <si>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</si>
  <si>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</si>
  <si>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</si>
  <si>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</si>
  <si>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</si>
  <si>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</si>
  <si>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</si>
  <si>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</si>
  <si>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</si>
  <si>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</si>
  <si>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</si>
  <si>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</si>
  <si>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</si>
  <si>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</si>
  <si>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</si>
  <si>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</si>
  <si>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</si>
  <si>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</si>
  <si>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</si>
  <si>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</si>
  <si>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</si>
  <si>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</si>
  <si>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</si>
  <si>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</si>
  <si>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</si>
  <si>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</si>
  <si>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</si>
  <si>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</si>
  <si>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</si>
  <si>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</si>
  <si>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</si>
  <si>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</si>
  <si>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</si>
  <si>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</si>
  <si>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</si>
  <si>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</si>
  <si>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</si>
  <si>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</si>
  <si>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</si>
  <si>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</si>
  <si>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</si>
  <si>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</si>
  <si>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</si>
  <si>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</si>
  <si>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</si>
  <si>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</si>
  <si>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</si>
  <si>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</si>
  <si>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</si>
  <si>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</si>
  <si>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</si>
  <si>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</si>
  <si>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</si>
  <si>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</si>
  <si>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</si>
  <si>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</si>
  <si>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</si>
  <si>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</si>
  <si>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</si>
  <si>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</si>
  <si>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</si>
  <si>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</si>
  <si>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</si>
  <si>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</si>
  <si>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</si>
  <si>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</si>
  <si>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</si>
  <si>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</si>
  <si>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</si>
  <si>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</si>
  <si>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</si>
  <si>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</si>
  <si>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</si>
  <si>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</si>
  <si>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</si>
  <si>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</si>
  <si>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</si>
  <si>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</si>
  <si>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</si>
  <si>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</si>
  <si>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</si>
  <si>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</si>
  <si>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</si>
  <si>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</si>
  <si>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</si>
  <si>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</si>
  <si>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</si>
  <si>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</si>
  <si>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</si>
  <si>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</si>
  <si>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</si>
  <si>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</si>
  <si>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</si>
  <si>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</si>
  <si>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</si>
  <si>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</si>
  <si>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</si>
  <si>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</si>
  <si>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</si>
  <si>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</si>
  <si>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</si>
  <si>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</si>
  <si>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</si>
  <si>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</si>
  <si>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</si>
  <si>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</si>
  <si>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</si>
  <si>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</si>
  <si>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</si>
  <si>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</si>
  <si>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</si>
  <si>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</si>
  <si>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</si>
  <si>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</si>
  <si>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</si>
  <si>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</si>
  <si>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</si>
  <si>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</si>
  <si>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</si>
  <si>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</si>
  <si>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</si>
  <si>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</si>
  <si>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</si>
  <si>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</si>
  <si>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</si>
  <si>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</si>
  <si>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</si>
  <si>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</si>
  <si>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</si>
  <si>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</si>
  <si>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</si>
  <si>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</si>
  <si>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</si>
  <si>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</si>
  <si>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</si>
  <si>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</si>
  <si>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</si>
  <si>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</si>
  <si>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</si>
  <si>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</si>
  <si>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</si>
  <si>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</si>
  <si>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</si>
  <si>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</si>
  <si>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</si>
  <si>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</si>
  <si>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</si>
  <si>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</si>
  <si>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</si>
  <si>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</si>
  <si>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</si>
  <si>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</si>
  <si>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</si>
  <si>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</si>
  <si>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</si>
  <si>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</si>
  <si>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</si>
  <si>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</si>
  <si>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</si>
  <si>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</si>
  <si>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</si>
  <si>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</si>
  <si>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</si>
  <si>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</si>
  <si>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</si>
  <si>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</si>
  <si>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</si>
  <si>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</si>
  <si>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</si>
  <si>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</si>
  <si>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</si>
  <si>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</si>
  <si>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</si>
  <si>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</si>
  <si>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</si>
  <si>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</si>
  <si>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</si>
  <si>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</si>
  <si>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</si>
  <si>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</si>
  <si>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</si>
  <si>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</si>
  <si>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</si>
  <si>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</si>
  <si>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</si>
  <si>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</si>
  <si>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</si>
  <si>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</si>
  <si>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</si>
  <si>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</si>
  <si>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</si>
  <si>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</si>
  <si>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</si>
  <si>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</si>
  <si>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</si>
  <si>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</si>
  <si>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</si>
  <si>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</si>
  <si>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</si>
  <si>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</si>
  <si>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</si>
  <si>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</si>
  <si>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</si>
  <si>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</si>
  <si>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</si>
  <si>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</si>
  <si>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</si>
  <si>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</si>
  <si>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</si>
  <si>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</si>
  <si>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</si>
  <si>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</si>
  <si>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</si>
  <si>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</si>
  <si>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</si>
  <si>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</si>
  <si>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</si>
  <si>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</si>
  <si>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</si>
  <si>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</si>
  <si>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</si>
  <si>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</si>
  <si>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</si>
  <si>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</si>
  <si>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</si>
  <si>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</si>
  <si>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</si>
  <si>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</si>
  <si>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</si>
  <si>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</si>
  <si>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</si>
  <si>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</si>
  <si>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</si>
  <si>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</si>
  <si>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</si>
  <si>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</si>
  <si>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</si>
  <si>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</si>
  <si>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</si>
  <si>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</si>
  <si>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</si>
  <si>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</si>
  <si>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</si>
  <si>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</si>
  <si>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</si>
  <si>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</si>
  <si>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</si>
  <si>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</si>
  <si>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</si>
  <si>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</si>
  <si>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</si>
  <si>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</si>
  <si>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</si>
  <si>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</si>
  <si>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</si>
  <si>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</si>
  <si>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</si>
  <si>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</si>
  <si>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</si>
  <si>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</si>
  <si>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</si>
  <si>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</si>
  <si>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</si>
  <si>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</si>
  <si>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</si>
  <si>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</si>
  <si>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</si>
  <si>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</si>
  <si>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</si>
  <si>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</si>
  <si>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</si>
  <si>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</si>
  <si>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</si>
  <si>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</si>
  <si>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</si>
  <si>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</si>
  <si>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</si>
  <si>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</si>
  <si>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</si>
  <si>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</si>
  <si>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</si>
  <si>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</si>
  <si>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</si>
  <si>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</si>
  <si>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</si>
  <si>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</si>
  <si>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</si>
  <si>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</si>
  <si>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</si>
  <si>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</si>
  <si>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</si>
  <si>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</si>
  <si>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</si>
  <si>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</si>
  <si>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</si>
  <si>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</si>
  <si>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</si>
  <si>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</si>
  <si>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</si>
  <si>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</si>
  <si>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</si>
  <si>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</si>
  <si>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</si>
  <si>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</si>
  <si>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</si>
  <si>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</si>
  <si>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</si>
  <si>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</si>
  <si>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</si>
  <si>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</si>
  <si>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</si>
  <si>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</si>
  <si>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</si>
  <si>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</si>
  <si>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</si>
  <si>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</si>
  <si>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</si>
  <si>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</si>
  <si>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</si>
  <si>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</si>
  <si>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</si>
  <si>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</si>
  <si>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</si>
  <si>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</si>
  <si>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</si>
  <si>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</si>
  <si>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</si>
  <si>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</si>
  <si>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</si>
  <si>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</si>
  <si>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</si>
  <si>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</si>
  <si>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</si>
  <si>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</si>
  <si>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</si>
  <si>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</si>
  <si>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</si>
  <si>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</si>
  <si>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</si>
  <si>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</si>
  <si>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</si>
  <si>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</si>
  <si>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</si>
  <si>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</si>
  <si>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</si>
  <si>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</si>
  <si>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</si>
  <si>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</si>
  <si>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</si>
  <si>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</si>
  <si>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</si>
  <si>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</si>
  <si>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</si>
  <si>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</si>
  <si>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</si>
  <si>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</si>
  <si>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</si>
  <si>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</si>
  <si>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</si>
  <si>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</si>
  <si>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</si>
  <si>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</si>
  <si>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</si>
  <si>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</si>
  <si>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</si>
  <si>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</si>
  <si>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</si>
  <si>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</si>
  <si>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</si>
  <si>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</si>
  <si>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</si>
  <si>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</si>
  <si>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</si>
  <si>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</si>
  <si>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</si>
  <si>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</si>
  <si>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</si>
  <si>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</si>
  <si>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</si>
  <si>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</si>
  <si>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</si>
  <si>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</si>
  <si>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</si>
  <si>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</si>
  <si>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</si>
  <si>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</si>
  <si>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</si>
  <si>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</si>
  <si>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</si>
  <si>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</si>
  <si>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</si>
  <si>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</si>
  <si>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</si>
  <si>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</si>
  <si>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</si>
  <si>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</si>
  <si>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</si>
  <si>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</si>
  <si>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</si>
  <si>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</si>
  <si>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</si>
  <si>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</si>
  <si>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</si>
  <si>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</si>
  <si>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</si>
  <si>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</si>
  <si>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</si>
  <si>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</si>
  <si>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</si>
  <si>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</si>
  <si>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</si>
  <si>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</si>
  <si>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</si>
  <si>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</si>
  <si>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</si>
  <si>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</si>
  <si>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</si>
  <si>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</si>
  <si>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</si>
  <si>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</si>
  <si>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</si>
  <si>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</si>
  <si>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</si>
  <si>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</si>
  <si>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</si>
  <si>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</si>
  <si>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</si>
  <si>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</si>
  <si>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</si>
  <si>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</si>
  <si>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</si>
  <si>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</si>
  <si>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</si>
  <si>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</si>
  <si>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</si>
  <si>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</si>
  <si>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</si>
  <si>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</si>
  <si>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</si>
  <si>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</si>
  <si>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</si>
  <si>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</si>
  <si>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</si>
  <si>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</si>
  <si>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</si>
  <si>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</si>
  <si>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</si>
  <si>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</si>
  <si>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</si>
  <si>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</si>
  <si>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</si>
  <si>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</si>
  <si>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</si>
  <si>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</si>
  <si>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</si>
  <si>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</si>
  <si>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</si>
  <si>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</si>
  <si>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</si>
  <si>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</si>
  <si>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</si>
  <si>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</si>
  <si>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</si>
  <si>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</si>
  <si>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</si>
  <si>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</si>
  <si>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</si>
  <si>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</si>
  <si>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</si>
  <si>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</si>
  <si>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</si>
  <si>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</si>
  <si>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</si>
  <si>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</si>
  <si>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</si>
  <si>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</si>
  <si>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</si>
  <si>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</si>
  <si>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</si>
  <si>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</si>
  <si>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</si>
  <si>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</si>
  <si>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</si>
  <si>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</si>
  <si>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</si>
  <si>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</si>
  <si>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</si>
  <si>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</si>
  <si>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</si>
  <si>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</si>
  <si>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</si>
  <si>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</si>
  <si>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</si>
  <si>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</si>
  <si>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</si>
  <si>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</si>
  <si>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</si>
  <si>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</si>
  <si>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</si>
  <si>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</si>
  <si>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</si>
  <si>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</si>
  <si>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</si>
  <si>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</si>
  <si>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</si>
  <si>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</si>
  <si>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</si>
  <si>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</si>
  <si>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</si>
  <si>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</si>
  <si>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</si>
  <si>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</si>
  <si>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</si>
  <si>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</si>
  <si>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</si>
  <si>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</si>
  <si>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</si>
  <si>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</si>
  <si>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</si>
  <si>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</si>
  <si>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</si>
  <si>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</si>
  <si>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</si>
  <si>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</si>
  <si>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</si>
  <si>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</si>
  <si>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</si>
  <si>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</si>
  <si>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</si>
  <si>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</si>
  <si>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</si>
  <si>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</si>
  <si>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</si>
  <si>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</si>
  <si>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</si>
  <si>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</si>
  <si>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</si>
  <si>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</si>
  <si>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</si>
  <si>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</si>
  <si>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</si>
  <si>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</si>
  <si>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</si>
  <si>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</si>
  <si>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</si>
  <si>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</si>
  <si>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</si>
  <si>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</si>
  <si>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</si>
  <si>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</si>
  <si>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</si>
  <si>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</si>
  <si>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</si>
  <si>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</si>
  <si>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</si>
  <si>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</si>
  <si>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</si>
  <si>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</si>
  <si>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</si>
  <si>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</si>
  <si>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</si>
  <si>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</si>
  <si>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</si>
  <si>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</si>
  <si>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</si>
  <si>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</si>
  <si>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</si>
  <si>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</si>
  <si>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</si>
  <si>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</si>
  <si>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</si>
  <si>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</si>
  <si>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</si>
  <si>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</si>
  <si>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</si>
  <si>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</si>
  <si>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</si>
  <si>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</si>
  <si>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</si>
  <si>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</si>
  <si>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</si>
  <si>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</si>
  <si>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</si>
  <si>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</si>
  <si>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</si>
  <si>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</si>
  <si>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</si>
  <si>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</si>
  <si>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</si>
  <si>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</si>
  <si>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</si>
  <si>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</si>
  <si>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</si>
  <si>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</si>
  <si>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</si>
  <si>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</si>
  <si>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</si>
  <si>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</si>
  <si>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</si>
  <si>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</si>
  <si>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</si>
  <si>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</si>
  <si>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</si>
  <si>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</si>
  <si>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</si>
  <si>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</si>
  <si>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</si>
  <si>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</si>
  <si>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</si>
  <si>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</si>
  <si>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</si>
  <si>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</si>
  <si>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</si>
  <si>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</si>
  <si>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</si>
  <si>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</si>
  <si>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</si>
  <si>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</si>
  <si>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</si>
  <si>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</si>
  <si>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</si>
  <si>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</si>
  <si>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</si>
  <si>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</si>
  <si>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</si>
  <si>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</si>
  <si>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</si>
  <si>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</si>
  <si>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</si>
  <si>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</si>
  <si>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</si>
  <si>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</si>
  <si>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</si>
  <si>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</si>
  <si>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</si>
  <si>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</si>
  <si>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</si>
  <si>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</si>
  <si>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</si>
  <si>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</si>
  <si>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</si>
  <si>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</si>
  <si>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</si>
  <si>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</si>
  <si>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</si>
  <si>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</si>
  <si>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</si>
  <si>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</si>
  <si>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</si>
  <si>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</si>
  <si>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</si>
  <si>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</si>
  <si>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</si>
  <si>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</si>
  <si>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</si>
  <si>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</si>
  <si>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</si>
  <si>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</si>
  <si>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</si>
  <si>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</si>
  <si>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</si>
  <si>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</si>
  <si>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</si>
  <si>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</si>
  <si>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</si>
  <si>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</si>
  <si>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</si>
  <si>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</si>
  <si>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</si>
  <si>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</si>
  <si>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</si>
  <si>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</si>
  <si>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</si>
  <si>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</si>
  <si>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</si>
  <si>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</si>
  <si>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</si>
  <si>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</si>
  <si>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</si>
  <si>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</si>
  <si>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</si>
  <si>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</si>
  <si>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</si>
  <si>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</si>
  <si>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</si>
  <si>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</si>
  <si>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</si>
  <si>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</si>
  <si>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</si>
  <si>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</si>
  <si>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</si>
  <si>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</si>
  <si>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</si>
  <si>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</si>
  <si>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</si>
  <si>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</si>
  <si>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</si>
  <si>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</si>
  <si>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</si>
  <si>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</si>
  <si>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</si>
  <si>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</si>
  <si>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</si>
  <si>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</si>
  <si>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</si>
  <si>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</si>
  <si>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</si>
  <si>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</si>
  <si>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</si>
  <si>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</si>
  <si>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</si>
  <si>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</si>
  <si>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</si>
  <si>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</si>
  <si>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</si>
  <si>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</si>
  <si>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</si>
  <si>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</si>
  <si>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</si>
  <si>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</si>
  <si>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</si>
  <si>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</si>
  <si>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</si>
  <si>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</si>
  <si>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</si>
  <si>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</si>
  <si>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</si>
  <si>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</si>
  <si>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</si>
  <si>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</si>
  <si>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</si>
  <si>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</si>
  <si>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</si>
  <si>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</si>
  <si>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</si>
  <si>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</si>
  <si>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</si>
  <si>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</si>
  <si>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</si>
  <si>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</si>
  <si>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</si>
  <si>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</si>
  <si>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</si>
  <si>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</si>
  <si>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</si>
  <si>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</si>
  <si>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</si>
  <si>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</si>
  <si>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</si>
  <si>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</si>
  <si>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</si>
  <si>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</si>
  <si>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</si>
  <si>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</si>
  <si>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</si>
  <si>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</si>
  <si>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</si>
  <si>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</si>
  <si>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</si>
  <si>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</si>
  <si>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</si>
  <si>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</si>
  <si>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</si>
  <si>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</si>
  <si>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</si>
  <si>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</si>
  <si>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</si>
  <si>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</si>
  <si>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</si>
  <si>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</si>
  <si>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</si>
  <si>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</si>
  <si>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</si>
  <si>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</si>
  <si>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</si>
  <si>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</si>
  <si>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</si>
  <si>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</si>
  <si>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</si>
  <si>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</si>
  <si>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</si>
  <si>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</si>
  <si>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</si>
  <si>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</si>
  <si>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</si>
  <si>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</si>
  <si>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</si>
  <si>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</si>
  <si>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</si>
  <si>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</si>
  <si>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</si>
  <si>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</si>
  <si>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</si>
  <si>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</si>
  <si>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</si>
  <si>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</si>
  <si>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</si>
  <si>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</si>
  <si>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</si>
  <si>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</si>
  <si>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</si>
  <si>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</si>
  <si>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</si>
  <si>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</si>
  <si>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</si>
  <si>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</si>
  <si>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</si>
  <si>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</si>
  <si>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</si>
  <si>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</si>
  <si>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</si>
  <si>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</si>
  <si>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</si>
  <si>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</si>
  <si>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</si>
  <si>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</si>
  <si>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</si>
  <si>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</si>
  <si>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</si>
  <si>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</si>
  <si>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</si>
  <si>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</si>
  <si>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</si>
  <si>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</si>
  <si>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</si>
  <si>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23099</t>
  </si>
  <si>
    <t>KRAAINEM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</si>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</sst>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109224.92107327109</c:v>
                </c:pt>
                <c:pt idx="1">
                  <c:v>28933.382230703228</c:v>
                </c:pt>
                <c:pt idx="2">
                  <c:v>978.56899999999996</c:v>
                </c:pt>
                <c:pt idx="3">
                  <c:v>5.3109383823057748</c:v>
                </c:pt>
                <c:pt idx="4">
                  <c:v>1086.9541219250061</c:v>
                </c:pt>
                <c:pt idx="5">
                  <c:v>148509.6108492869</c:v>
                </c:pt>
                <c:pt idx="6">
                  <c:v>1611.747468603781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109224.92107327109</c:v>
                </c:pt>
                <c:pt idx="1">
                  <c:v>28933.382230703228</c:v>
                </c:pt>
                <c:pt idx="2">
                  <c:v>978.56899999999996</c:v>
                </c:pt>
                <c:pt idx="3">
                  <c:v>5.3109383823057748</c:v>
                </c:pt>
                <c:pt idx="4">
                  <c:v>1086.9541219250061</c:v>
                </c:pt>
                <c:pt idx="5">
                  <c:v>148509.6108492869</c:v>
                </c:pt>
                <c:pt idx="6">
                  <c:v>1611.747468603781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21736.35024308561</c:v>
                </c:pt>
                <c:pt idx="1">
                  <c:v>6068.7847704470223</c:v>
                </c:pt>
                <c:pt idx="2">
                  <c:v>212.37736532925064</c:v>
                </c:pt>
                <c:pt idx="3">
                  <c:v>1.3845652267660036</c:v>
                </c:pt>
                <c:pt idx="4">
                  <c:v>233.31278114337442</c:v>
                </c:pt>
                <c:pt idx="5">
                  <c:v>36891.16996901208</c:v>
                </c:pt>
                <c:pt idx="6">
                  <c:v>408.1860729396617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21736.35024308561</c:v>
                </c:pt>
                <c:pt idx="1">
                  <c:v>6068.7847704470223</c:v>
                </c:pt>
                <c:pt idx="2">
                  <c:v>212.37736532925064</c:v>
                </c:pt>
                <c:pt idx="3">
                  <c:v>1.3845652267660036</c:v>
                </c:pt>
                <c:pt idx="4">
                  <c:v>233.31278114337442</c:v>
                </c:pt>
                <c:pt idx="5">
                  <c:v>36891.16996901208</c:v>
                </c:pt>
                <c:pt idx="6">
                  <c:v>408.1860729396617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23099</v>
      </c>
      <c r="B6" s="392"/>
      <c r="C6" s="393"/>
    </row>
    <row r="7" spans="1:7" s="390" customFormat="1" ht="15.75" customHeight="1">
      <c r="A7" s="394" t="str">
        <f>txtMunicipality</f>
        <v>KRAAINEM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0.21702850318092096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0.21702850318092096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5317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65.72</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47</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0</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3643.6066394847999</v>
      </c>
    </row>
    <row r="39" spans="1:6">
      <c r="A39" s="1310" t="s">
        <v>29</v>
      </c>
      <c r="B39" s="1310" t="s">
        <v>30</v>
      </c>
      <c r="C39" s="1311">
        <v>4328</v>
      </c>
      <c r="D39" s="1311">
        <v>92858719.741168007</v>
      </c>
      <c r="E39" s="1311">
        <v>5391</v>
      </c>
      <c r="F39" s="1311">
        <v>19519513.782108001</v>
      </c>
    </row>
    <row r="40" spans="1:6">
      <c r="A40" s="1310" t="s">
        <v>29</v>
      </c>
      <c r="B40" s="1310" t="s">
        <v>28</v>
      </c>
      <c r="C40" s="1311">
        <v>0</v>
      </c>
      <c r="D40" s="1311">
        <v>0</v>
      </c>
      <c r="E40" s="1311">
        <v>0</v>
      </c>
      <c r="F40" s="1311">
        <v>0</v>
      </c>
    </row>
    <row r="41" spans="1:6">
      <c r="A41" s="1310" t="s">
        <v>31</v>
      </c>
      <c r="B41" s="1310" t="s">
        <v>32</v>
      </c>
      <c r="C41" s="1311">
        <v>25</v>
      </c>
      <c r="D41" s="1311">
        <v>514140.88127841399</v>
      </c>
      <c r="E41" s="1311">
        <v>48</v>
      </c>
      <c r="F41" s="1311">
        <v>243420.56720240801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119331.440918329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2</v>
      </c>
      <c r="D48" s="1311">
        <v>49909.1398263253</v>
      </c>
      <c r="E48" s="1311">
        <v>0</v>
      </c>
      <c r="F48" s="1311">
        <v>0</v>
      </c>
    </row>
    <row r="49" spans="1:6">
      <c r="A49" s="1310" t="s">
        <v>31</v>
      </c>
      <c r="B49" s="1310" t="s">
        <v>39</v>
      </c>
      <c r="C49" s="1311">
        <v>0</v>
      </c>
      <c r="D49" s="1311">
        <v>0</v>
      </c>
      <c r="E49" s="1311">
        <v>0</v>
      </c>
      <c r="F49" s="1311">
        <v>0</v>
      </c>
    </row>
    <row r="50" spans="1:6">
      <c r="A50" s="1310" t="s">
        <v>31</v>
      </c>
      <c r="B50" s="1310" t="s">
        <v>40</v>
      </c>
      <c r="C50" s="1311">
        <v>0</v>
      </c>
      <c r="D50" s="1311">
        <v>0</v>
      </c>
      <c r="E50" s="1311">
        <v>4</v>
      </c>
      <c r="F50" s="1311">
        <v>42339.7690410211</v>
      </c>
    </row>
    <row r="51" spans="1:6">
      <c r="A51" s="1310" t="s">
        <v>41</v>
      </c>
      <c r="B51" s="1310" t="s">
        <v>42</v>
      </c>
      <c r="C51" s="1311">
        <v>0</v>
      </c>
      <c r="D51" s="1311">
        <v>0</v>
      </c>
      <c r="E51" s="1311">
        <v>0</v>
      </c>
      <c r="F51" s="1311">
        <v>0</v>
      </c>
    </row>
    <row r="52" spans="1:6">
      <c r="A52" s="1310" t="s">
        <v>41</v>
      </c>
      <c r="B52" s="1310" t="s">
        <v>28</v>
      </c>
      <c r="C52" s="1311">
        <v>0</v>
      </c>
      <c r="D52" s="1311">
        <v>0</v>
      </c>
      <c r="E52" s="1311">
        <v>1</v>
      </c>
      <c r="F52" s="1311">
        <v>1168.7330227108</v>
      </c>
    </row>
    <row r="53" spans="1:6">
      <c r="A53" s="1310" t="s">
        <v>43</v>
      </c>
      <c r="B53" s="1310" t="s">
        <v>44</v>
      </c>
      <c r="C53" s="1311">
        <v>167</v>
      </c>
      <c r="D53" s="1311">
        <v>6079091.6002519</v>
      </c>
      <c r="E53" s="1311">
        <v>287</v>
      </c>
      <c r="F53" s="1311">
        <v>1274411.10701605</v>
      </c>
    </row>
    <row r="54" spans="1:6">
      <c r="A54" s="1310" t="s">
        <v>45</v>
      </c>
      <c r="B54" s="1310" t="s">
        <v>46</v>
      </c>
      <c r="C54" s="1311">
        <v>0</v>
      </c>
      <c r="D54" s="1311">
        <v>0</v>
      </c>
      <c r="E54" s="1311">
        <v>1</v>
      </c>
      <c r="F54" s="1311">
        <v>978569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23</v>
      </c>
      <c r="D57" s="1311">
        <v>1187318.8229374399</v>
      </c>
      <c r="E57" s="1311">
        <v>39</v>
      </c>
      <c r="F57" s="1311">
        <v>393296.84559932898</v>
      </c>
    </row>
    <row r="58" spans="1:6">
      <c r="A58" s="1310" t="s">
        <v>48</v>
      </c>
      <c r="B58" s="1310" t="s">
        <v>50</v>
      </c>
      <c r="C58" s="1311">
        <v>27</v>
      </c>
      <c r="D58" s="1311">
        <v>1261092.49516565</v>
      </c>
      <c r="E58" s="1311">
        <v>39</v>
      </c>
      <c r="F58" s="1311">
        <v>294176.46320520103</v>
      </c>
    </row>
    <row r="59" spans="1:6">
      <c r="A59" s="1310" t="s">
        <v>48</v>
      </c>
      <c r="B59" s="1310" t="s">
        <v>51</v>
      </c>
      <c r="C59" s="1311">
        <v>54</v>
      </c>
      <c r="D59" s="1311">
        <v>3939981.18522827</v>
      </c>
      <c r="E59" s="1311">
        <v>85</v>
      </c>
      <c r="F59" s="1311">
        <v>6438584.3057174701</v>
      </c>
    </row>
    <row r="60" spans="1:6">
      <c r="A60" s="1310" t="s">
        <v>48</v>
      </c>
      <c r="B60" s="1310" t="s">
        <v>52</v>
      </c>
      <c r="C60" s="1311">
        <v>49</v>
      </c>
      <c r="D60" s="1311">
        <v>3465599.8521832302</v>
      </c>
      <c r="E60" s="1311">
        <v>66</v>
      </c>
      <c r="F60" s="1311">
        <v>1243061.71031062</v>
      </c>
    </row>
    <row r="61" spans="1:6">
      <c r="A61" s="1310" t="s">
        <v>48</v>
      </c>
      <c r="B61" s="1310" t="s">
        <v>53</v>
      </c>
      <c r="C61" s="1311">
        <v>218</v>
      </c>
      <c r="D61" s="1311">
        <v>7878061.9024533303</v>
      </c>
      <c r="E61" s="1311">
        <v>365</v>
      </c>
      <c r="F61" s="1311">
        <v>3045796.5656421902</v>
      </c>
    </row>
    <row r="62" spans="1:6">
      <c r="A62" s="1310" t="s">
        <v>48</v>
      </c>
      <c r="B62" s="1310" t="s">
        <v>54</v>
      </c>
      <c r="C62" s="1311">
        <v>0</v>
      </c>
      <c r="D62" s="1311">
        <v>0</v>
      </c>
      <c r="E62" s="1311">
        <v>3</v>
      </c>
      <c r="F62" s="1311">
        <v>16566.283065840202</v>
      </c>
    </row>
    <row r="63" spans="1:6">
      <c r="A63" s="1310" t="s">
        <v>48</v>
      </c>
      <c r="B63" s="1310" t="s">
        <v>28</v>
      </c>
      <c r="C63" s="1311">
        <v>2</v>
      </c>
      <c r="D63" s="1311">
        <v>68657.171464007697</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13892.594009743199</v>
      </c>
      <c r="E65" s="1311">
        <v>0</v>
      </c>
      <c r="F65" s="1311">
        <v>0</v>
      </c>
    </row>
    <row r="66" spans="1:6">
      <c r="A66" s="1310" t="s">
        <v>55</v>
      </c>
      <c r="B66" s="1310" t="s">
        <v>57</v>
      </c>
      <c r="C66" s="1311">
        <v>0</v>
      </c>
      <c r="D66" s="1311">
        <v>0</v>
      </c>
      <c r="E66" s="1311">
        <v>6</v>
      </c>
      <c r="F66" s="1311">
        <v>199300.769539122</v>
      </c>
    </row>
    <row r="67" spans="1:6">
      <c r="A67" s="1312" t="s">
        <v>55</v>
      </c>
      <c r="B67" s="1312" t="s">
        <v>58</v>
      </c>
      <c r="C67" s="1311">
        <v>0</v>
      </c>
      <c r="D67" s="1311">
        <v>0</v>
      </c>
      <c r="E67" s="1311">
        <v>0</v>
      </c>
      <c r="F67" s="1311">
        <v>0</v>
      </c>
    </row>
    <row r="68" spans="1:6">
      <c r="A68" s="1305" t="s">
        <v>55</v>
      </c>
      <c r="B68" s="1305" t="s">
        <v>59</v>
      </c>
      <c r="C68" s="1314">
        <v>0</v>
      </c>
      <c r="D68" s="1314">
        <v>0</v>
      </c>
      <c r="E68" s="1314">
        <v>3</v>
      </c>
      <c r="F68" s="1314">
        <v>10678.3658439639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39663229</v>
      </c>
      <c r="E73" s="453"/>
      <c r="F73" s="332"/>
    </row>
    <row r="74" spans="1:6">
      <c r="A74" s="1310" t="s">
        <v>63</v>
      </c>
      <c r="B74" s="1310" t="s">
        <v>648</v>
      </c>
      <c r="C74" s="1324" t="s">
        <v>650</v>
      </c>
      <c r="D74" s="1325">
        <v>511428.19867234898</v>
      </c>
      <c r="E74" s="453"/>
      <c r="F74" s="332"/>
    </row>
    <row r="75" spans="1:6">
      <c r="A75" s="1310" t="s">
        <v>64</v>
      </c>
      <c r="B75" s="1310" t="s">
        <v>647</v>
      </c>
      <c r="C75" s="1324" t="s">
        <v>651</v>
      </c>
      <c r="D75" s="1325">
        <v>9181415</v>
      </c>
      <c r="E75" s="453"/>
      <c r="F75" s="332"/>
    </row>
    <row r="76" spans="1:6">
      <c r="A76" s="1310" t="s">
        <v>64</v>
      </c>
      <c r="B76" s="1310" t="s">
        <v>648</v>
      </c>
      <c r="C76" s="1324" t="s">
        <v>652</v>
      </c>
      <c r="D76" s="1325">
        <v>8083.6</v>
      </c>
      <c r="E76" s="453"/>
      <c r="F76" s="332"/>
    </row>
    <row r="77" spans="1:6">
      <c r="A77" s="1310" t="s">
        <v>65</v>
      </c>
      <c r="B77" s="1310" t="s">
        <v>647</v>
      </c>
      <c r="C77" s="1324" t="s">
        <v>653</v>
      </c>
      <c r="D77" s="1325">
        <v>123361871</v>
      </c>
      <c r="E77" s="453"/>
      <c r="F77" s="332"/>
    </row>
    <row r="78" spans="1:6">
      <c r="A78" s="1305" t="s">
        <v>65</v>
      </c>
      <c r="B78" s="1305" t="s">
        <v>648</v>
      </c>
      <c r="C78" s="1305" t="s">
        <v>654</v>
      </c>
      <c r="D78" s="1326">
        <v>12128601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447059.60265530198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617.17673506254198</v>
      </c>
      <c r="C91" s="332"/>
      <c r="D91" s="332"/>
      <c r="E91" s="332"/>
      <c r="F91" s="332"/>
    </row>
    <row r="92" spans="1:6">
      <c r="A92" s="1305" t="s">
        <v>68</v>
      </c>
      <c r="B92" s="1306">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3016</v>
      </c>
      <c r="C97" s="332"/>
      <c r="D97" s="332"/>
      <c r="E97" s="332"/>
      <c r="F97" s="332"/>
    </row>
    <row r="98" spans="1:6">
      <c r="A98" s="1310" t="s">
        <v>71</v>
      </c>
      <c r="B98" s="1311">
        <v>1</v>
      </c>
      <c r="C98" s="332"/>
      <c r="D98" s="332"/>
      <c r="E98" s="332"/>
      <c r="F98" s="332"/>
    </row>
    <row r="99" spans="1:6">
      <c r="A99" s="1310" t="s">
        <v>72</v>
      </c>
      <c r="B99" s="1311">
        <v>9</v>
      </c>
      <c r="C99" s="332"/>
      <c r="D99" s="332"/>
      <c r="E99" s="332"/>
      <c r="F99" s="332"/>
    </row>
    <row r="100" spans="1:6">
      <c r="A100" s="1310" t="s">
        <v>73</v>
      </c>
      <c r="B100" s="1311">
        <v>151</v>
      </c>
      <c r="C100" s="332"/>
      <c r="D100" s="332"/>
      <c r="E100" s="332"/>
      <c r="F100" s="332"/>
    </row>
    <row r="101" spans="1:6">
      <c r="A101" s="1310" t="s">
        <v>74</v>
      </c>
      <c r="B101" s="1311">
        <v>8</v>
      </c>
      <c r="C101" s="332"/>
      <c r="D101" s="332"/>
      <c r="E101" s="332"/>
      <c r="F101" s="332"/>
    </row>
    <row r="102" spans="1:6">
      <c r="A102" s="1310" t="s">
        <v>75</v>
      </c>
      <c r="B102" s="1311">
        <v>72</v>
      </c>
      <c r="C102" s="332"/>
      <c r="D102" s="332"/>
      <c r="E102" s="332"/>
      <c r="F102" s="332"/>
    </row>
    <row r="103" spans="1:6">
      <c r="A103" s="1310" t="s">
        <v>76</v>
      </c>
      <c r="B103" s="1311">
        <v>14</v>
      </c>
      <c r="C103" s="332"/>
      <c r="D103" s="332"/>
      <c r="E103" s="332"/>
      <c r="F103" s="332"/>
    </row>
    <row r="104" spans="1:6">
      <c r="A104" s="1310" t="s">
        <v>77</v>
      </c>
      <c r="B104" s="1311">
        <v>1300</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5</v>
      </c>
      <c r="C123" s="1311">
        <v>12</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40</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34343.741078571744</v>
      </c>
      <c r="C3" s="43" t="s">
        <v>169</v>
      </c>
      <c r="D3" s="43"/>
      <c r="E3" s="154"/>
      <c r="F3" s="43"/>
      <c r="G3" s="43"/>
      <c r="H3" s="43"/>
      <c r="I3" s="43"/>
      <c r="J3" s="43"/>
      <c r="K3" s="96"/>
    </row>
    <row r="4" spans="1:11">
      <c r="A4" s="360" t="s">
        <v>170</v>
      </c>
      <c r="B4" s="49">
        <f>IF(ISERROR('SEAP template'!B78+'SEAP template'!C78),0,'SEAP template'!B78+'SEAP template'!C78)</f>
        <v>617.17673506254198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0.21702850318092096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978.56899999999996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978.56899999999996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0.21702850318092096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212.37736532925064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19519.513782108002</v>
      </c>
      <c r="C5" s="17">
        <f>IF(ISERROR('Eigen informatie GS &amp; warmtenet'!B59),0,'Eigen informatie GS &amp; warmtenet'!B59)</f>
        <v>0</v>
      </c>
      <c r="D5" s="30">
        <f>(SUM(HH_hh_gas_kWh,HH_rest_gas_kWh)/1000)*0.903</f>
        <v>83851.423926274714</v>
      </c>
      <c r="E5" s="17">
        <f>B46*B57</f>
        <v>1886.0211807011078</v>
      </c>
      <c r="F5" s="17">
        <f>B51*B62</f>
        <v>0</v>
      </c>
      <c r="G5" s="18"/>
      <c r="H5" s="17"/>
      <c r="I5" s="17"/>
      <c r="J5" s="17">
        <f>B50*B61+C50*C61</f>
        <v>0</v>
      </c>
      <c r="K5" s="17"/>
      <c r="L5" s="17"/>
      <c r="M5" s="17"/>
      <c r="N5" s="17">
        <f>B48*B59+C48*C59</f>
        <v>3142.2800286397573</v>
      </c>
      <c r="O5" s="17">
        <f>B69*B70*B71</f>
        <v>103.16582740812565</v>
      </c>
      <c r="P5" s="17">
        <f>B77*B78*B79/1000-B77*B78*B79/1000/B80</f>
        <v>105.33959307685021</v>
      </c>
    </row>
    <row r="6" spans="1:16">
      <c r="A6" s="16" t="s">
        <v>612</v>
      </c>
      <c r="B6" s="786">
        <f>kWh_PV_kleiner_dan_10kW</f>
        <v>617.17673506254198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20136.690517170544</v>
      </c>
      <c r="C8" s="21">
        <f>C5</f>
        <v>0</v>
      </c>
      <c r="D8" s="21">
        <f>D5</f>
        <v>83851.423926274714</v>
      </c>
      <c r="E8" s="21">
        <f>E5</f>
        <v>1886.0211807011078</v>
      </c>
      <c r="F8" s="21">
        <f>F5</f>
        <v>0</v>
      </c>
      <c r="G8" s="21"/>
      <c r="H8" s="21"/>
      <c r="I8" s="21"/>
      <c r="J8" s="21">
        <f>J5</f>
        <v>0</v>
      </c>
      <c r="K8" s="21"/>
      <c r="L8" s="21">
        <f>L5</f>
        <v>0</v>
      </c>
      <c r="M8" s="21">
        <f>M5</f>
        <v>0</v>
      </c>
      <c r="N8" s="21">
        <f>N5</f>
        <v>3142.2800286397573</v>
      </c>
      <c r="O8" s="21">
        <f>O5</f>
        <v>103.16582740812565</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0.21702850318092096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4370.2358019589683</v>
      </c>
      <c r="C12" s="23">
        <f ca="1">C10*C8</f>
        <v>0</v>
      </c>
      <c r="D12" s="23">
        <f>D8*D10</f>
        <v>16937.987633107492</v>
      </c>
      <c r="E12" s="23">
        <f>E10*E8</f>
        <v>428.1268080191515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5317</v>
      </c>
      <c r="C28" s="36"/>
      <c r="D28" s="228"/>
    </row>
    <row r="29" spans="1:7" s="15" customFormat="1">
      <c r="A29" s="230" t="s">
        <v>839</v>
      </c>
      <c r="B29" s="37">
        <f>SUM(HH_hh_gas_aantal,HH_rest_gas_aantal)</f>
        <v>4328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4328</v>
      </c>
      <c r="C32" s="167">
        <f>IF(ISERROR(B32/SUM($B$32,$B$34,$B$35,$B$36,$B$38,$B$39)*100),0,B32/SUM($B$32,$B$34,$B$35,$B$36,$B$38,$B$39)*100)</f>
        <v>81.552666289805913</v>
      </c>
      <c r="D32" s="233"/>
      <c r="G32" s="15"/>
    </row>
    <row r="33" spans="1:7">
      <c r="A33" s="171" t="s">
        <v>71</v>
      </c>
      <c r="B33" s="34" t="s">
        <v>110</v>
      </c>
      <c r="C33" s="167"/>
      <c r="D33" s="233"/>
      <c r="G33" s="15"/>
    </row>
    <row r="34" spans="1:7">
      <c r="A34" s="171" t="s">
        <v>72</v>
      </c>
      <c r="B34" s="33">
        <f>IF((($B$28-$B$32-$B$39-$B$77-$B$38)*C20/100)&lt;0,0,($B$28-$B$32-$B$39-$B$77-$B$38)*C20/100)</f>
        <v>52.446428571428569</v>
      </c>
      <c r="C34" s="167">
        <f>IF(ISERROR(B34/SUM($B$32,$B$34,$B$35,$B$36,$B$38,$B$39)*100),0,B34/SUM($B$32,$B$34,$B$35,$B$36,$B$38,$B$39)*100)</f>
        <v>0.98825002018896879</v>
      </c>
      <c r="D34" s="233"/>
      <c r="G34" s="15"/>
    </row>
    <row r="35" spans="1:7">
      <c r="A35" s="171" t="s">
        <v>73</v>
      </c>
      <c r="B35" s="33">
        <f>IF((($B$28-$B$32-$B$39-$B$77-$B$38)*C21/100)&lt;0,0,($B$28-$B$32-$B$39-$B$77-$B$38)*C21/100)</f>
        <v>879.93452380952385</v>
      </c>
      <c r="C35" s="167">
        <f>IF(ISERROR(B35/SUM($B$32,$B$34,$B$35,$B$36,$B$38,$B$39)*100),0,B35/SUM($B$32,$B$34,$B$35,$B$36,$B$38,$B$39)*100)</f>
        <v>16.58063922761492</v>
      </c>
      <c r="D35" s="233"/>
      <c r="G35" s="15"/>
    </row>
    <row r="36" spans="1:7">
      <c r="A36" s="171" t="s">
        <v>74</v>
      </c>
      <c r="B36" s="33">
        <f>IF((($B$28-$B$32-$B$39-$B$77-$B$38)*C22/100)&lt;0,0,($B$28-$B$32-$B$39-$B$77-$B$38)*C22/100)</f>
        <v>46.619047619047613</v>
      </c>
      <c r="C36" s="167">
        <f>IF(ISERROR(B36/SUM($B$32,$B$34,$B$35,$B$36,$B$38,$B$39)*100),0,B36/SUM($B$32,$B$34,$B$35,$B$36,$B$38,$B$39)*100)</f>
        <v>0.87844446239019425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4328</v>
      </c>
      <c r="C44" s="34" t="s">
        <v>110</v>
      </c>
      <c r="D44" s="174"/>
    </row>
    <row r="45" spans="1:7">
      <c r="A45" s="171" t="s">
        <v>71</v>
      </c>
      <c r="B45" s="33" t="str">
        <f t="shared" si="0"/>
        <v>-</v>
      </c>
      <c r="C45" s="34" t="s">
        <v>110</v>
      </c>
      <c r="D45" s="174"/>
    </row>
    <row r="46" spans="1:7">
      <c r="A46" s="171" t="s">
        <v>72</v>
      </c>
      <c r="B46" s="33">
        <f t="shared" si="0"/>
        <v>52.446428571428569</v>
      </c>
      <c r="C46" s="34" t="s">
        <v>110</v>
      </c>
      <c r="D46" s="174"/>
    </row>
    <row r="47" spans="1:7">
      <c r="A47" s="171" t="s">
        <v>73</v>
      </c>
      <c r="B47" s="33">
        <f t="shared" si="0"/>
        <v>879.93452380952385</v>
      </c>
      <c r="C47" s="34" t="s">
        <v>110</v>
      </c>
      <c r="D47" s="174"/>
    </row>
    <row r="48" spans="1:7">
      <c r="A48" s="171" t="s">
        <v>74</v>
      </c>
      <c r="B48" s="33">
        <f t="shared" si="0"/>
        <v>46.619047619047613</v>
      </c>
      <c r="C48" s="33">
        <f>B48*10</f>
        <v>466.19047619047615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11431.482173540651</v>
      </c>
      <c r="C5" s="17">
        <f>IF(ISERROR('Eigen informatie GS &amp; warmtenet'!B60),0,'Eigen informatie GS &amp; warmtenet'!B60)</f>
        <v>0</v>
      </c>
      <c r="D5" s="30">
        <f>SUM(D6:D12)</f>
        <v>16074.042420777034</v>
      </c>
      <c r="E5" s="17">
        <f>SUM(E6:E12)</f>
        <v>28.990684212569072</v>
      </c>
      <c r="F5" s="17">
        <f>SUM(F6:F12)</f>
        <v>1252.0167636302269</v>
      </c>
      <c r="G5" s="18"/>
      <c r="H5" s="17"/>
      <c r="I5" s="17"/>
      <c r="J5" s="17">
        <f>SUM(J6:J12)</f>
        <v>3.884128895832516E-3</v>
      </c>
      <c r="K5" s="17"/>
      <c r="L5" s="17"/>
      <c r="M5" s="17"/>
      <c r="N5" s="17">
        <f>SUM(N6:N12)</f>
        <v>146.84630441385056</v>
      </c>
      <c r="O5" s="17">
        <f>B38*B39*B40</f>
        <v>0</v>
      </c>
      <c r="P5" s="17">
        <f>B46*B47*B48/1000-B46*B47*B48/1000/B49</f>
        <v>0</v>
      </c>
      <c r="R5" s="32"/>
    </row>
    <row r="6" spans="1:18">
      <c r="A6" s="32" t="s">
        <v>53</v>
      </c>
      <c r="B6" s="37">
        <f>B26</f>
        <v>3045.7965656421902</v>
      </c>
      <c r="C6" s="33"/>
      <c r="D6" s="37">
        <f>IF(ISERROR(TER_kantoor_gas_kWh/1000),0,TER_kantoor_gas_kWh/1000)*0.903</f>
        <v>7113.8898979153582</v>
      </c>
      <c r="E6" s="33">
        <f>$C$26*'E Balans VL '!I12/100/3.6*1000000</f>
        <v>0.72970045970384112</v>
      </c>
      <c r="F6" s="33">
        <f>$C$26*('E Balans VL '!L12+'E Balans VL '!N12)/100/3.6*1000000</f>
        <v>288.82931093621539</v>
      </c>
      <c r="G6" s="34"/>
      <c r="H6" s="33"/>
      <c r="I6" s="33"/>
      <c r="J6" s="33">
        <f>$C$26*('E Balans VL '!D12+'E Balans VL '!E12)/100/3.6*1000000</f>
        <v>0</v>
      </c>
      <c r="K6" s="33"/>
      <c r="L6" s="33"/>
      <c r="M6" s="33"/>
      <c r="N6" s="33">
        <f>$C$26*'E Balans VL '!Y12/100/3.6*1000000</f>
        <v>1.5471071154911253</v>
      </c>
      <c r="O6" s="33"/>
      <c r="P6" s="33"/>
      <c r="R6" s="32"/>
    </row>
    <row r="7" spans="1:18">
      <c r="A7" s="32" t="s">
        <v>52</v>
      </c>
      <c r="B7" s="37">
        <f t="shared" ref="B7:B12" si="0">B27</f>
        <v>1243.0617103106201</v>
      </c>
      <c r="C7" s="33"/>
      <c r="D7" s="37">
        <f>IF(ISERROR(TER_horeca_gas_kWh/1000),0,TER_horeca_gas_kWh/1000)*0.903</f>
        <v>3129.436666521457</v>
      </c>
      <c r="E7" s="33">
        <f>$C$27*'E Balans VL '!I9/100/3.6*1000000</f>
        <v>0</v>
      </c>
      <c r="F7" s="33">
        <f>$C$27*('E Balans VL '!L9+'E Balans VL '!N9)/100/3.6*1000000</f>
        <v>101.92813819361122</v>
      </c>
      <c r="G7" s="34"/>
      <c r="H7" s="33"/>
      <c r="I7" s="33"/>
      <c r="J7" s="33">
        <f>$C$27*('E Balans VL '!D9+'E Balans VL '!E9)/100/3.6*1000000</f>
        <v>0</v>
      </c>
      <c r="K7" s="33"/>
      <c r="L7" s="33"/>
      <c r="M7" s="33"/>
      <c r="N7" s="33">
        <f>$C$27*'E Balans VL '!Y9/100/3.6*1000000</f>
        <v>0.3810483567672539</v>
      </c>
      <c r="O7" s="33"/>
      <c r="P7" s="33"/>
      <c r="R7" s="32"/>
    </row>
    <row r="8" spans="1:18">
      <c r="A8" s="6" t="s">
        <v>51</v>
      </c>
      <c r="B8" s="37">
        <f t="shared" si="0"/>
        <v>6438.5843057174698</v>
      </c>
      <c r="C8" s="33"/>
      <c r="D8" s="37">
        <f>IF(ISERROR(TER_handel_gas_kWh/1000),0,TER_handel_gas_kWh/1000)*0.903</f>
        <v>3557.8030102611278</v>
      </c>
      <c r="E8" s="33">
        <f>$C$28*'E Balans VL '!I13/100/3.6*1000000</f>
        <v>22.628104806369912</v>
      </c>
      <c r="F8" s="33">
        <f>$C$28*('E Balans VL '!L13+'E Balans VL '!N13)/100/3.6*1000000</f>
        <v>589.11890135483259</v>
      </c>
      <c r="G8" s="34"/>
      <c r="H8" s="33"/>
      <c r="I8" s="33"/>
      <c r="J8" s="33">
        <f>$C$28*('E Balans VL '!D13+'E Balans VL '!E13)/100/3.6*1000000</f>
        <v>0</v>
      </c>
      <c r="K8" s="33"/>
      <c r="L8" s="33"/>
      <c r="M8" s="33"/>
      <c r="N8" s="33">
        <f>$C$28*'E Balans VL '!Y13/100/3.6*1000000</f>
        <v>2.3317780441027183</v>
      </c>
      <c r="O8" s="33"/>
      <c r="P8" s="33"/>
      <c r="R8" s="32"/>
    </row>
    <row r="9" spans="1:18">
      <c r="A9" s="32" t="s">
        <v>50</v>
      </c>
      <c r="B9" s="37">
        <f t="shared" si="0"/>
        <v>294.176463205201</v>
      </c>
      <c r="C9" s="33"/>
      <c r="D9" s="37">
        <f>IF(ISERROR(TER_gezond_gas_kWh/1000),0,TER_gezond_gas_kWh/1000)*0.903</f>
        <v>1138.766523134582</v>
      </c>
      <c r="E9" s="33">
        <f>$C$29*'E Balans VL '!I10/100/3.6*1000000</f>
        <v>0</v>
      </c>
      <c r="F9" s="33">
        <f>$C$29*('E Balans VL '!L10+'E Balans VL '!N10)/100/3.6*1000000</f>
        <v>36.060632441778687</v>
      </c>
      <c r="G9" s="34"/>
      <c r="H9" s="33"/>
      <c r="I9" s="33"/>
      <c r="J9" s="33">
        <f>$C$29*('E Balans VL '!D10+'E Balans VL '!E10)/100/3.6*1000000</f>
        <v>0</v>
      </c>
      <c r="K9" s="33"/>
      <c r="L9" s="33"/>
      <c r="M9" s="33"/>
      <c r="N9" s="33">
        <f>$C$29*'E Balans VL '!Y10/100/3.6*1000000</f>
        <v>2.1693464178475339</v>
      </c>
      <c r="O9" s="33"/>
      <c r="P9" s="33"/>
      <c r="R9" s="32"/>
    </row>
    <row r="10" spans="1:18">
      <c r="A10" s="32" t="s">
        <v>49</v>
      </c>
      <c r="B10" s="37">
        <f t="shared" si="0"/>
        <v>393.296845599329</v>
      </c>
      <c r="C10" s="33"/>
      <c r="D10" s="37">
        <f>IF(ISERROR(TER_ander_gas_kWh/1000),0,TER_ander_gas_kWh/1000)*0.903</f>
        <v>1072.1488971125082</v>
      </c>
      <c r="E10" s="33">
        <f>$C$30*'E Balans VL '!I14/100/3.6*1000000</f>
        <v>5.6328789464953175</v>
      </c>
      <c r="F10" s="33">
        <f>$C$30*('E Balans VL '!L14+'E Balans VL '!N14)/100/3.6*1000000</f>
        <v>234.14298493525521</v>
      </c>
      <c r="G10" s="34"/>
      <c r="H10" s="33"/>
      <c r="I10" s="33"/>
      <c r="J10" s="33">
        <f>$C$30*('E Balans VL '!D14+'E Balans VL '!E14)/100/3.6*1000000</f>
        <v>3.884128895832516E-3</v>
      </c>
      <c r="K10" s="33"/>
      <c r="L10" s="33"/>
      <c r="M10" s="33"/>
      <c r="N10" s="33">
        <f>$C$30*'E Balans VL '!Y14/100/3.6*1000000</f>
        <v>140.37037572885498</v>
      </c>
      <c r="O10" s="33"/>
      <c r="P10" s="33"/>
      <c r="R10" s="32"/>
    </row>
    <row r="11" spans="1:18">
      <c r="A11" s="32" t="s">
        <v>54</v>
      </c>
      <c r="B11" s="37">
        <f t="shared" si="0"/>
        <v>16.566283065840203</v>
      </c>
      <c r="C11" s="33"/>
      <c r="D11" s="37">
        <f>IF(ISERROR(TER_onderwijs_gas_kWh/1000),0,TER_onderwijs_gas_kWh/1000)*0.903</f>
        <v>0</v>
      </c>
      <c r="E11" s="33">
        <f>$C$31*'E Balans VL '!I11/100/3.6*1000000</f>
        <v>0</v>
      </c>
      <c r="F11" s="33">
        <f>$C$31*('E Balans VL '!L11+'E Balans VL '!N11)/100/3.6*1000000</f>
        <v>1.9367957685338366</v>
      </c>
      <c r="G11" s="34"/>
      <c r="H11" s="33"/>
      <c r="I11" s="33"/>
      <c r="J11" s="33">
        <f>$C$31*('E Balans VL '!D11+'E Balans VL '!E11)/100/3.6*1000000</f>
        <v>0</v>
      </c>
      <c r="K11" s="33"/>
      <c r="L11" s="33"/>
      <c r="M11" s="33"/>
      <c r="N11" s="33">
        <f>$C$31*'E Balans VL '!Y11/100/3.6*1000000</f>
        <v>4.6648750786955594E-2</v>
      </c>
      <c r="O11" s="33"/>
      <c r="P11" s="33"/>
      <c r="R11" s="32"/>
    </row>
    <row r="12" spans="1:18">
      <c r="A12" s="32" t="s">
        <v>259</v>
      </c>
      <c r="B12" s="37">
        <f t="shared" si="0"/>
        <v>0</v>
      </c>
      <c r="C12" s="33"/>
      <c r="D12" s="37">
        <f>IF(ISERROR(TER_rest_gas_kWh/1000),0,TER_rest_gas_kWh/1000)*0.903</f>
        <v>61.99742583199896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11431.482173540651</v>
      </c>
      <c r="C16" s="21">
        <f t="shared" ca="1" si="1"/>
        <v>0</v>
      </c>
      <c r="D16" s="21">
        <f t="shared" ca="1" si="1"/>
        <v>16074.042420777034</v>
      </c>
      <c r="E16" s="21">
        <f t="shared" si="1"/>
        <v>28.990684212569072</v>
      </c>
      <c r="F16" s="21">
        <f t="shared" ca="1" si="1"/>
        <v>1252.0167636302269</v>
      </c>
      <c r="G16" s="21">
        <f t="shared" si="1"/>
        <v>0</v>
      </c>
      <c r="H16" s="21">
        <f t="shared" si="1"/>
        <v>0</v>
      </c>
      <c r="I16" s="21">
        <f t="shared" si="1"/>
        <v>0</v>
      </c>
      <c r="J16" s="21">
        <f t="shared" si="1"/>
        <v>3.884128895832516E-3</v>
      </c>
      <c r="K16" s="21">
        <f t="shared" si="1"/>
        <v>0</v>
      </c>
      <c r="L16" s="21">
        <f t="shared" ca="1" si="1"/>
        <v>0</v>
      </c>
      <c r="M16" s="21">
        <f t="shared" si="1"/>
        <v>0</v>
      </c>
      <c r="N16" s="21">
        <f t="shared" ca="1" si="1"/>
        <v>146.84630441385056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0.21702850318092096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2480.9574652629085</v>
      </c>
      <c r="C20" s="23">
        <f t="shared" ref="C20:P20" ca="1" si="2">C16*C18</f>
        <v>0</v>
      </c>
      <c r="D20" s="23">
        <f t="shared" ca="1" si="2"/>
        <v>3246.9565689969609</v>
      </c>
      <c r="E20" s="23">
        <f t="shared" si="2"/>
        <v>6.5808853162531795</v>
      </c>
      <c r="F20" s="23">
        <f t="shared" ca="1" si="2"/>
        <v>334.28847588927061</v>
      </c>
      <c r="G20" s="23">
        <f t="shared" si="2"/>
        <v>0</v>
      </c>
      <c r="H20" s="23">
        <f t="shared" si="2"/>
        <v>0</v>
      </c>
      <c r="I20" s="23">
        <f t="shared" si="2"/>
        <v>0</v>
      </c>
      <c r="J20" s="23">
        <f t="shared" si="2"/>
        <v>1.3749816291247106E-3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3045.7965656421902</v>
      </c>
      <c r="C26" s="39">
        <f>IF(ISERROR(B26*3.6/1000000/'E Balans VL '!Z12*100),0,B26*3.6/1000000/'E Balans VL '!Z12*100)</f>
        <v>8.5899528828782282E-2</v>
      </c>
      <c r="D26" s="237" t="s">
        <v>702</v>
      </c>
      <c r="F26" s="6"/>
    </row>
    <row r="27" spans="1:18">
      <c r="A27" s="231" t="s">
        <v>52</v>
      </c>
      <c r="B27" s="33">
        <f>IF(ISERROR(TER_horeca_ele_kWh/1000),0,TER_horeca_ele_kWh/1000)</f>
        <v>1243.0617103106201</v>
      </c>
      <c r="C27" s="39">
        <f>IF(ISERROR(B27*3.6/1000000/'E Balans VL '!Z9*100),0,B27*3.6/1000000/'E Balans VL '!Z9*100)</f>
        <v>9.2157755207643965E-2</v>
      </c>
      <c r="D27" s="237" t="s">
        <v>702</v>
      </c>
      <c r="F27" s="6"/>
    </row>
    <row r="28" spans="1:18">
      <c r="A28" s="171" t="s">
        <v>51</v>
      </c>
      <c r="B28" s="33">
        <f>IF(ISERROR(TER_handel_ele_kWh/1000),0,TER_handel_ele_kWh/1000)</f>
        <v>6438.5843057174698</v>
      </c>
      <c r="C28" s="39">
        <f>IF(ISERROR(B28*3.6/1000000/'E Balans VL '!Z13*100),0,B28*3.6/1000000/'E Balans VL '!Z13*100)</f>
        <v>0.19288467749356072</v>
      </c>
      <c r="D28" s="237" t="s">
        <v>702</v>
      </c>
      <c r="F28" s="6"/>
    </row>
    <row r="29" spans="1:18">
      <c r="A29" s="231" t="s">
        <v>50</v>
      </c>
      <c r="B29" s="33">
        <f>IF(ISERROR(TER_gezond_ele_kWh/1000),0,TER_gezond_ele_kWh/1000)</f>
        <v>294.176463205201</v>
      </c>
      <c r="C29" s="39">
        <f>IF(ISERROR(B29*3.6/1000000/'E Balans VL '!Z10*100),0,B29*3.6/1000000/'E Balans VL '!Z10*100)</f>
        <v>2.9088283983639596E-2</v>
      </c>
      <c r="D29" s="237" t="s">
        <v>702</v>
      </c>
      <c r="F29" s="6"/>
    </row>
    <row r="30" spans="1:18">
      <c r="A30" s="231" t="s">
        <v>49</v>
      </c>
      <c r="B30" s="33">
        <f>IF(ISERROR(TER_ander_ele_kWh/1000),0,TER_ander_ele_kWh/1000)</f>
        <v>393.296845599329</v>
      </c>
      <c r="C30" s="39">
        <f>IF(ISERROR(B30*3.6/1000000/'E Balans VL '!Z14*100),0,B30*3.6/1000000/'E Balans VL '!Z14*100)</f>
        <v>1.590769513651542E-2</v>
      </c>
      <c r="D30" s="237" t="s">
        <v>702</v>
      </c>
      <c r="F30" s="6"/>
    </row>
    <row r="31" spans="1:18">
      <c r="A31" s="231" t="s">
        <v>54</v>
      </c>
      <c r="B31" s="33">
        <f>IF(ISERROR(TER_onderwijs_ele_kWh/1000),0,TER_onderwijs_ele_kWh/1000)</f>
        <v>16.566283065840203</v>
      </c>
      <c r="C31" s="39">
        <f>IF(ISERROR(B31*3.6/1000000/'E Balans VL '!Z11*100),0,B31*3.6/1000000/'E Balans VL '!Z11*100)</f>
        <v>4.5514824785466987E-3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405.0917771617581</v>
      </c>
      <c r="C5" s="17">
        <f>IF(ISERROR('Eigen informatie GS &amp; warmtenet'!B61),0,'Eigen informatie GS &amp; warmtenet'!B61)</f>
        <v>0</v>
      </c>
      <c r="D5" s="30">
        <f>SUM(D6:D15)</f>
        <v>509.33716905757956</v>
      </c>
      <c r="E5" s="17">
        <f>SUM(E6:E15)</f>
        <v>1.4364868056379692</v>
      </c>
      <c r="F5" s="17">
        <f>SUM(F6:F15)</f>
        <v>157.85271956938237</v>
      </c>
      <c r="G5" s="18"/>
      <c r="H5" s="17"/>
      <c r="I5" s="17"/>
      <c r="J5" s="17">
        <f>SUM(J6:J15)</f>
        <v>0.10579750147714106</v>
      </c>
      <c r="K5" s="17"/>
      <c r="L5" s="17"/>
      <c r="M5" s="17"/>
      <c r="N5" s="17">
        <f>SUM(N6:N15)</f>
        <v>13.130171829171115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119.33144091832899</v>
      </c>
      <c r="C8" s="33"/>
      <c r="D8" s="37">
        <f>IF( ISERROR(IND_metaal_Gas_kWH/1000),0,IND_metaal_Gas_kWH/1000)*0.903</f>
        <v>0</v>
      </c>
      <c r="E8" s="33">
        <f>C30*'E Balans VL '!I18/100/3.6*1000000</f>
        <v>0.60168994597957393</v>
      </c>
      <c r="F8" s="33">
        <f>C30*'E Balans VL '!L18/100/3.6*1000000+C30*'E Balans VL '!N18/100/3.6*1000000</f>
        <v>8.1529678914957628</v>
      </c>
      <c r="G8" s="34"/>
      <c r="H8" s="33"/>
      <c r="I8" s="33"/>
      <c r="J8" s="40">
        <f>C30*'E Balans VL '!D18/100/3.6*1000000+C30*'E Balans VL '!E18/100/3.6*1000000</f>
        <v>0.10579750147714106</v>
      </c>
      <c r="K8" s="33"/>
      <c r="L8" s="33"/>
      <c r="M8" s="33"/>
      <c r="N8" s="33">
        <f>C30*'E Balans VL '!Y18/100/3.6*1000000</f>
        <v>1.5859155579802853</v>
      </c>
      <c r="O8" s="33"/>
      <c r="P8" s="33"/>
      <c r="R8" s="32"/>
    </row>
    <row r="9" spans="1:18">
      <c r="A9" s="6" t="s">
        <v>32</v>
      </c>
      <c r="B9" s="37">
        <f t="shared" si="0"/>
        <v>243.42056720240802</v>
      </c>
      <c r="C9" s="33"/>
      <c r="D9" s="37">
        <f>IF( ISERROR(IND_andere_gas_kWh/1000),0,IND_andere_gas_kWh/1000)*0.903</f>
        <v>464.26921579440784</v>
      </c>
      <c r="E9" s="33">
        <f>C31*'E Balans VL '!I19/100/3.6*1000000</f>
        <v>0.76731915864347455</v>
      </c>
      <c r="F9" s="33">
        <f>C31*'E Balans VL '!L19/100/3.6*1000000+C31*'E Balans VL '!N19/100/3.6*1000000</f>
        <v>149.01183328592805</v>
      </c>
      <c r="G9" s="34"/>
      <c r="H9" s="33"/>
      <c r="I9" s="33"/>
      <c r="J9" s="40">
        <f>C31*'E Balans VL '!D19/100/3.6*1000000+C31*'E Balans VL '!E19/100/3.6*1000000</f>
        <v>0</v>
      </c>
      <c r="K9" s="33"/>
      <c r="L9" s="33"/>
      <c r="M9" s="33"/>
      <c r="N9" s="33">
        <f>C31*'E Balans VL '!Y19/100/3.6*1000000</f>
        <v>10.206954904321726</v>
      </c>
      <c r="O9" s="33"/>
      <c r="P9" s="33"/>
      <c r="R9" s="32"/>
    </row>
    <row r="10" spans="1:18">
      <c r="A10" s="6" t="s">
        <v>40</v>
      </c>
      <c r="B10" s="37">
        <f t="shared" si="0"/>
        <v>42.3397690410211</v>
      </c>
      <c r="C10" s="33"/>
      <c r="D10" s="37">
        <f>IF( ISERROR(IND_voed_gas_kWh/1000),0,IND_voed_gas_kWh/1000)*0.903</f>
        <v>0</v>
      </c>
      <c r="E10" s="33">
        <f>C32*'E Balans VL '!I20/100/3.6*1000000</f>
        <v>6.7477701014920594E-2</v>
      </c>
      <c r="F10" s="33">
        <f>C32*'E Balans VL '!L20/100/3.6*1000000+C32*'E Balans VL '!N20/100/3.6*1000000</f>
        <v>0.68791839195855919</v>
      </c>
      <c r="G10" s="34"/>
      <c r="H10" s="33"/>
      <c r="I10" s="33"/>
      <c r="J10" s="40">
        <f>C32*'E Balans VL '!D20/100/3.6*1000000+C32*'E Balans VL '!E20/100/3.6*1000000</f>
        <v>0</v>
      </c>
      <c r="K10" s="33"/>
      <c r="L10" s="33"/>
      <c r="M10" s="33"/>
      <c r="N10" s="33">
        <f>C32*'E Balans VL '!Y20/100/3.6*1000000</f>
        <v>1.3373013668691023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45.067953263171745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405.0917771617581</v>
      </c>
      <c r="C18" s="21">
        <f>C5+C16</f>
        <v>0</v>
      </c>
      <c r="D18" s="21">
        <f>MAX((D5+D16),0)</f>
        <v>509.33716905757956</v>
      </c>
      <c r="E18" s="21">
        <f>MAX((E5+E16),0)</f>
        <v>1.4364868056379692</v>
      </c>
      <c r="F18" s="21">
        <f>MAX((F5+F16),0)</f>
        <v>157.85271956938237</v>
      </c>
      <c r="G18" s="21"/>
      <c r="H18" s="21"/>
      <c r="I18" s="21"/>
      <c r="J18" s="21">
        <f>MAX((J5+J16),0)</f>
        <v>0.10579750147714106</v>
      </c>
      <c r="K18" s="21"/>
      <c r="L18" s="21">
        <f>MAX((L5+L16),0)</f>
        <v>0</v>
      </c>
      <c r="M18" s="21"/>
      <c r="N18" s="21">
        <f>MAX((N5+N16),0)</f>
        <v>13.130171829171115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0.21702850318092096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87.916462048315537</v>
      </c>
      <c r="C22" s="23">
        <f ca="1">C18*C20</f>
        <v>0</v>
      </c>
      <c r="D22" s="23">
        <f>D18*D20</f>
        <v>102.88610814963107</v>
      </c>
      <c r="E22" s="23">
        <f>E18*E20</f>
        <v>0.32608250487981899</v>
      </c>
      <c r="F22" s="23">
        <f>F18*F20</f>
        <v>42.146676125025095</v>
      </c>
      <c r="G22" s="23"/>
      <c r="H22" s="23"/>
      <c r="I22" s="23"/>
      <c r="J22" s="23">
        <f>J18*J20</f>
        <v>3.7452315522907932E-2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119.33144091832899</v>
      </c>
      <c r="C30" s="39">
        <f>IF(ISERROR(B30*3.6/1000000/'E Balans VL '!Z18*100),0,B30*3.6/1000000/'E Balans VL '!Z18*100)</f>
        <v>5.923343784101193E-3</v>
      </c>
      <c r="D30" s="237" t="s">
        <v>702</v>
      </c>
    </row>
    <row r="31" spans="1:18">
      <c r="A31" s="6" t="s">
        <v>32</v>
      </c>
      <c r="B31" s="37">
        <f>IF( ISERROR(IND_ander_ele_kWh/1000),0,IND_ander_ele_kWh/1000)</f>
        <v>243.42056720240802</v>
      </c>
      <c r="C31" s="39">
        <f>IF(ISERROR(B31*3.6/1000000/'E Balans VL '!Z19*100),0,B31*3.6/1000000/'E Balans VL '!Z19*100)</f>
        <v>8.2141967789142421E-3</v>
      </c>
      <c r="D31" s="237" t="s">
        <v>702</v>
      </c>
    </row>
    <row r="32" spans="1:18">
      <c r="A32" s="171" t="s">
        <v>40</v>
      </c>
      <c r="B32" s="37">
        <f>IF( ISERROR(IND_voed_ele_kWh/1000),0,IND_voed_ele_kWh/1000)</f>
        <v>42.3397690410211</v>
      </c>
      <c r="C32" s="39">
        <f>IF(ISERROR(B32*3.6/1000000/'E Balans VL '!Z20*100),0,B32*3.6/1000000/'E Balans VL '!Z20*100)</f>
        <v>9.943203919063478E-4</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1.1687330227107999</v>
      </c>
      <c r="C5" s="17">
        <f>'Eigen informatie GS &amp; warmtenet'!B62</f>
        <v>0</v>
      </c>
      <c r="D5" s="30">
        <f>IF(ISERROR(SUM(LB_lb_gas_kWh,LB_rest_gas_kWh)/1000),0,SUM(LB_lb_gas_kWh,LB_rest_gas_kWh)/1000)*0.903</f>
        <v>0</v>
      </c>
      <c r="E5" s="17">
        <f>B17*'E Balans VL '!I25/3.6*1000000/100</f>
        <v>4.3585629316183983E-2</v>
      </c>
      <c r="F5" s="17">
        <f>B17*('E Balans VL '!L25/3.6*1000000+'E Balans VL '!N25/3.6*1000000)/100</f>
        <v>3.7918215418908083</v>
      </c>
      <c r="G5" s="18"/>
      <c r="H5" s="17"/>
      <c r="I5" s="17"/>
      <c r="J5" s="17">
        <f>('E Balans VL '!D25+'E Balans VL '!E25)/3.6*1000000*landbouw!B17/100</f>
        <v>0.30679818838798212</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1.1687330227107999</v>
      </c>
      <c r="C8" s="21">
        <f>C5+C6</f>
        <v>0</v>
      </c>
      <c r="D8" s="21">
        <f>MAX((D5+D6),0)</f>
        <v>0</v>
      </c>
      <c r="E8" s="21">
        <f>MAX((E5+E6),0)</f>
        <v>4.3585629316183983E-2</v>
      </c>
      <c r="F8" s="21">
        <f>MAX((F5+F6),0)</f>
        <v>3.7918215418908083</v>
      </c>
      <c r="G8" s="21"/>
      <c r="H8" s="21"/>
      <c r="I8" s="21"/>
      <c r="J8" s="21">
        <f>MAX((J5+J6),0)</f>
        <v>0.30679818838798212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0.21702850318092096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0.2536483785370382</v>
      </c>
      <c r="C12" s="23">
        <f ca="1">C8*C10</f>
        <v>0</v>
      </c>
      <c r="D12" s="23">
        <f>D8*D10</f>
        <v>0</v>
      </c>
      <c r="E12" s="23">
        <f>E8*E10</f>
        <v>9.8939378547737641E-3</v>
      </c>
      <c r="F12" s="23">
        <f>F8*F10</f>
        <v>1.0124163516848459</v>
      </c>
      <c r="G12" s="23"/>
      <c r="H12" s="23"/>
      <c r="I12" s="23"/>
      <c r="J12" s="23">
        <f>J8*J10</f>
        <v>0.10860655868934567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1.6052243083905461E-4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0.376</v>
      </c>
      <c r="C26" s="247">
        <f>B26*'GWP N2O_CH4'!B5</f>
        <v>7.8959999999999999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8.9300000000000004E-3</v>
      </c>
      <c r="C27" s="247">
        <f>B27*'GWP N2O_CH4'!B5</f>
        <v>0.18753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3.0540621796250003E-4</v>
      </c>
      <c r="C28" s="247">
        <f>B28*'GWP N2O_CH4'!B4</f>
        <v>9.4675927568375007E-2</v>
      </c>
      <c r="D28" s="50"/>
    </row>
    <row r="29" spans="1:4">
      <c r="A29" s="41" t="s">
        <v>276</v>
      </c>
      <c r="B29" s="247">
        <f>B34*'ha_N2O bodem landbouw'!B4</f>
        <v>0.42663385706982582</v>
      </c>
      <c r="C29" s="247">
        <f>B29*'GWP N2O_CH4'!B4</f>
        <v>132.25649569164599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9.7231074412249099E-5</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4.1877997437613678E-4</v>
      </c>
      <c r="C5" s="440" t="s">
        <v>210</v>
      </c>
      <c r="D5" s="425">
        <f>SUM(D6:D11)</f>
        <v>1.5730295730260841E-3</v>
      </c>
      <c r="E5" s="425">
        <f>SUM(E6:E11)</f>
        <v>9.9672576756477949E-4</v>
      </c>
      <c r="F5" s="438" t="s">
        <v>210</v>
      </c>
      <c r="G5" s="425">
        <f>SUM(G6:G11)</f>
        <v>0.39844425940859873</v>
      </c>
      <c r="H5" s="425">
        <f>SUM(H6:H11)</f>
        <v>0.10356907113396856</v>
      </c>
      <c r="I5" s="440" t="s">
        <v>210</v>
      </c>
      <c r="J5" s="440" t="s">
        <v>210</v>
      </c>
      <c r="K5" s="440" t="s">
        <v>210</v>
      </c>
      <c r="L5" s="440" t="s">
        <v>210</v>
      </c>
      <c r="M5" s="425">
        <f>SUM(M6:M11)</f>
        <v>2.9632733199898488E-2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9.6454922302416048E-5</v>
      </c>
      <c r="C6" s="426"/>
      <c r="D6" s="893">
        <f>vkm_GW_PW*SUMIFS(TableVerdeelsleutelVkm[CNG],TableVerdeelsleutelVkm[Voertuigtype],"Lichte voertuigen")*SUMIFS(TableECFTransport[EnergieConsumptieFactor (PJ per km)],TableECFTransport[Index],CONCATENATE($A6,"_CNG_CNG"))</f>
        <v>3.4836574421983729E-4</v>
      </c>
      <c r="E6" s="893">
        <f>vkm_GW_PW*SUMIFS(TableVerdeelsleutelVkm[LPG],TableVerdeelsleutelVkm[Voertuigtype],"Lichte voertuigen")*SUMIFS(TableECFTransport[EnergieConsumptieFactor (PJ per km)],TableECFTransport[Index],CONCATENATE($A6,"_LPG_LPG"))</f>
        <v>1.8932783989530872E-4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5.8917657261789658E-2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2.2297967613572538E-2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4.8672393600905951E-3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4.885573535955927E-3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5.1433085733598916E-8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2.7506544253839683E-4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2.232780065514175E-5</v>
      </c>
      <c r="C8" s="426"/>
      <c r="D8" s="428">
        <f>vkm_NGW_PW*SUMIFS(TableVerdeelsleutelVkm[CNG],TableVerdeelsleutelVkm[Voertuigtype],"Lichte voertuigen")*SUMIFS(TableECFTransport[EnergieConsumptieFactor (PJ per km)],TableECFTransport[Index],CONCATENATE($A8,"_CNG_CNG"))</f>
        <v>1.3669209470277465E-4</v>
      </c>
      <c r="E8" s="428">
        <f>vkm_NGW_PW*SUMIFS(TableVerdeelsleutelVkm[LPG],TableVerdeelsleutelVkm[Voertuigtype],"Lichte voertuigen")*SUMIFS(TableECFTransport[EnergieConsumptieFactor (PJ per km)],TableECFTransport[Index],CONCATENATE($A8,"_LPG_LPG"))</f>
        <v>7.0594061918181583E-5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2.0444057754816804E-2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8.6160958803023786E-3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1.7499974392132986E-3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9.3081867963651526E-5</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1.4232953391303399E-9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5.2406857867581635E-6</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2.9999725141857897E-4</v>
      </c>
      <c r="C10" s="426"/>
      <c r="D10" s="428">
        <f>vkm_SW_PW*SUMIFS(TableVerdeelsleutelVkm[CNG],TableVerdeelsleutelVkm[Voertuigtype],"Lichte voertuigen")*SUMIFS(TableECFTransport[EnergieConsumptieFactor (PJ per km)],TableECFTransport[Index],CONCATENATE($A10,"_CNG_CNG"))</f>
        <v>1.0879717341034723E-3</v>
      </c>
      <c r="E10" s="428">
        <f>vkm_SW_PW*SUMIFS(TableVerdeelsleutelVkm[LPG],TableVerdeelsleutelVkm[Voertuigtype],"Lichte voertuigen")*SUMIFS(TableECFTransport[EnergieConsumptieFactor (PJ per km)],TableECFTransport[Index],CONCATENATE($A10,"_LPG_LPG"))</f>
        <v>7.3680386575128919E-4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0.20375640637045236</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7.2653724535780742E-2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1.6522449393131123E-2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0.11034748261762034</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1.2302479318168873E-6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6.2127408791383147E-3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116.327770660038</v>
      </c>
      <c r="C14" s="21"/>
      <c r="D14" s="21">
        <f t="shared" ref="D14:M14" si="0">((D5)*10^9/3600)+D12</f>
        <v>436.95265917391225</v>
      </c>
      <c r="E14" s="21">
        <f t="shared" si="0"/>
        <v>276.86826876799432</v>
      </c>
      <c r="F14" s="21"/>
      <c r="G14" s="21">
        <f t="shared" si="0"/>
        <v>110678.96094683297</v>
      </c>
      <c r="H14" s="21">
        <f t="shared" si="0"/>
        <v>28769.186426102377</v>
      </c>
      <c r="I14" s="21"/>
      <c r="J14" s="21"/>
      <c r="K14" s="21"/>
      <c r="L14" s="21"/>
      <c r="M14" s="21">
        <f t="shared" si="0"/>
        <v>8231.3147777495797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0.21702850318092096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25.2464419447215</v>
      </c>
      <c r="C18" s="23"/>
      <c r="D18" s="23">
        <f t="shared" ref="D18:M18" si="1">D14*D16</f>
        <v>88.264437153130274</v>
      </c>
      <c r="E18" s="23">
        <f t="shared" si="1"/>
        <v>62.849097010334717</v>
      </c>
      <c r="F18" s="23"/>
      <c r="G18" s="23">
        <f t="shared" si="1"/>
        <v>29551.282572804404</v>
      </c>
      <c r="H18" s="23">
        <f t="shared" si="1"/>
        <v>7163.5274200994918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5.5036324441302695E-3</v>
      </c>
      <c r="H50" s="321">
        <f t="shared" si="2"/>
        <v>0</v>
      </c>
      <c r="I50" s="321">
        <f t="shared" si="2"/>
        <v>0</v>
      </c>
      <c r="J50" s="321">
        <f t="shared" si="2"/>
        <v>0</v>
      </c>
      <c r="K50" s="321">
        <f t="shared" si="2"/>
        <v>0</v>
      </c>
      <c r="L50" s="321">
        <f t="shared" si="2"/>
        <v>0</v>
      </c>
      <c r="M50" s="321">
        <f t="shared" si="2"/>
        <v>2.9865844284334244E-4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5.5036324441302695E-3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2.9865844284334244E-4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1528.7867900361859</v>
      </c>
      <c r="H54" s="21">
        <f t="shared" si="3"/>
        <v>0</v>
      </c>
      <c r="I54" s="21">
        <f t="shared" si="3"/>
        <v>0</v>
      </c>
      <c r="J54" s="21">
        <f t="shared" si="3"/>
        <v>0</v>
      </c>
      <c r="K54" s="21">
        <f t="shared" si="3"/>
        <v>0</v>
      </c>
      <c r="L54" s="21">
        <f t="shared" si="3"/>
        <v>0</v>
      </c>
      <c r="M54" s="21">
        <f t="shared" si="3"/>
        <v>82.960678567595124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0.21702850318092096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408.1860729396617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12410.051173540651</v>
      </c>
      <c r="D10" s="689">
        <f ca="1">tertiair!C16</f>
        <v>0</v>
      </c>
      <c r="E10" s="689">
        <f ca="1">tertiair!D16</f>
        <v>16074.042420777034</v>
      </c>
      <c r="F10" s="689">
        <f>tertiair!E16</f>
        <v>28.990684212569072</v>
      </c>
      <c r="G10" s="689">
        <f ca="1">tertiair!F16</f>
        <v>1252.0167636302269</v>
      </c>
      <c r="H10" s="689">
        <f>tertiair!G16</f>
        <v>0</v>
      </c>
      <c r="I10" s="689">
        <f>tertiair!H16</f>
        <v>0</v>
      </c>
      <c r="J10" s="689">
        <f>tertiair!I16</f>
        <v>0</v>
      </c>
      <c r="K10" s="689">
        <f>tertiair!J16</f>
        <v>3.884128895832516E-3</v>
      </c>
      <c r="L10" s="689">
        <f>tertiair!K16</f>
        <v>0</v>
      </c>
      <c r="M10" s="689">
        <f ca="1">tertiair!L16</f>
        <v>0</v>
      </c>
      <c r="N10" s="689">
        <f>tertiair!M16</f>
        <v>0</v>
      </c>
      <c r="O10" s="689">
        <f ca="1">tertiair!N16</f>
        <v>146.84630441385056</v>
      </c>
      <c r="P10" s="689">
        <f>tertiair!O16</f>
        <v>0</v>
      </c>
      <c r="Q10" s="690">
        <f>tertiair!P16</f>
        <v>0</v>
      </c>
      <c r="R10" s="692">
        <f ca="1">SUM(C10:Q10)</f>
        <v>29911.951230703227</v>
      </c>
      <c r="S10" s="67"/>
    </row>
    <row r="11" spans="1:19" s="451" customFormat="1">
      <c r="A11" s="811" t="s">
        <v>224</v>
      </c>
      <c r="B11" s="816"/>
      <c r="C11" s="689">
        <f>huishoudens!B8</f>
        <v>20136.690517170544</v>
      </c>
      <c r="D11" s="689">
        <f>huishoudens!C8</f>
        <v>0</v>
      </c>
      <c r="E11" s="689">
        <f>huishoudens!D8</f>
        <v>83851.423926274714</v>
      </c>
      <c r="F11" s="689">
        <f>huishoudens!E8</f>
        <v>1886.0211807011078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3142.2800286397573</v>
      </c>
      <c r="P11" s="689">
        <f>huishoudens!O8</f>
        <v>103.16582740812565</v>
      </c>
      <c r="Q11" s="690">
        <f>huishoudens!P8</f>
        <v>105.33959307685021</v>
      </c>
      <c r="R11" s="692">
        <f>SUM(C11:Q11)</f>
        <v>109224.92107327109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405.0917771617581</v>
      </c>
      <c r="D13" s="689">
        <f>industrie!C18</f>
        <v>0</v>
      </c>
      <c r="E13" s="689">
        <f>industrie!D18</f>
        <v>509.33716905757956</v>
      </c>
      <c r="F13" s="689">
        <f>industrie!E18</f>
        <v>1.4364868056379692</v>
      </c>
      <c r="G13" s="689">
        <f>industrie!F18</f>
        <v>157.85271956938237</v>
      </c>
      <c r="H13" s="689">
        <f>industrie!G18</f>
        <v>0</v>
      </c>
      <c r="I13" s="689">
        <f>industrie!H18</f>
        <v>0</v>
      </c>
      <c r="J13" s="689">
        <f>industrie!I18</f>
        <v>0</v>
      </c>
      <c r="K13" s="689">
        <f>industrie!J18</f>
        <v>0.10579750147714106</v>
      </c>
      <c r="L13" s="689">
        <f>industrie!K18</f>
        <v>0</v>
      </c>
      <c r="M13" s="689">
        <f>industrie!L18</f>
        <v>0</v>
      </c>
      <c r="N13" s="689">
        <f>industrie!M18</f>
        <v>0</v>
      </c>
      <c r="O13" s="689">
        <f>industrie!N18</f>
        <v>13.130171829171115</v>
      </c>
      <c r="P13" s="689">
        <f>industrie!O18</f>
        <v>0</v>
      </c>
      <c r="Q13" s="690">
        <f>industrie!P18</f>
        <v>0</v>
      </c>
      <c r="R13" s="692">
        <f>SUM(C13:Q13)</f>
        <v>1086.9541219250061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32951.833467872952</v>
      </c>
      <c r="D16" s="725">
        <f t="shared" ref="D16:R16" ca="1" si="0">SUM(D9:D15)</f>
        <v>0</v>
      </c>
      <c r="E16" s="725">
        <f t="shared" ca="1" si="0"/>
        <v>100434.80351610933</v>
      </c>
      <c r="F16" s="725">
        <f t="shared" si="0"/>
        <v>1916.4483517193148</v>
      </c>
      <c r="G16" s="725">
        <f t="shared" ca="1" si="0"/>
        <v>1409.8694831996092</v>
      </c>
      <c r="H16" s="725">
        <f t="shared" si="0"/>
        <v>0</v>
      </c>
      <c r="I16" s="725">
        <f t="shared" si="0"/>
        <v>0</v>
      </c>
      <c r="J16" s="725">
        <f t="shared" si="0"/>
        <v>0</v>
      </c>
      <c r="K16" s="725">
        <f t="shared" si="0"/>
        <v>0.10968163037297358</v>
      </c>
      <c r="L16" s="725">
        <f t="shared" si="0"/>
        <v>0</v>
      </c>
      <c r="M16" s="725">
        <f t="shared" ca="1" si="0"/>
        <v>0</v>
      </c>
      <c r="N16" s="725">
        <f t="shared" si="0"/>
        <v>0</v>
      </c>
      <c r="O16" s="725">
        <f t="shared" ca="1" si="0"/>
        <v>3302.2565048827792</v>
      </c>
      <c r="P16" s="725">
        <f t="shared" si="0"/>
        <v>103.16582740812565</v>
      </c>
      <c r="Q16" s="725">
        <f t="shared" si="0"/>
        <v>105.33959307685021</v>
      </c>
      <c r="R16" s="725">
        <f t="shared" ca="1" si="0"/>
        <v>140223.82642589931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1528.7867900361859</v>
      </c>
      <c r="I19" s="689">
        <f>transport!H54</f>
        <v>0</v>
      </c>
      <c r="J19" s="689">
        <f>transport!I54</f>
        <v>0</v>
      </c>
      <c r="K19" s="689">
        <f>transport!J54</f>
        <v>0</v>
      </c>
      <c r="L19" s="689">
        <f>transport!K54</f>
        <v>0</v>
      </c>
      <c r="M19" s="689">
        <f>transport!L54</f>
        <v>0</v>
      </c>
      <c r="N19" s="689">
        <f>transport!M54</f>
        <v>82.960678567595124</v>
      </c>
      <c r="O19" s="689">
        <f>transport!N54</f>
        <v>0</v>
      </c>
      <c r="P19" s="689">
        <f>transport!O54</f>
        <v>0</v>
      </c>
      <c r="Q19" s="690">
        <f>transport!P54</f>
        <v>0</v>
      </c>
      <c r="R19" s="692">
        <f>SUM(C19:Q19)</f>
        <v>1611.747468603781</v>
      </c>
      <c r="S19" s="67"/>
    </row>
    <row r="20" spans="1:19" s="451" customFormat="1">
      <c r="A20" s="811" t="s">
        <v>306</v>
      </c>
      <c r="B20" s="816"/>
      <c r="C20" s="689">
        <f>transport!B14</f>
        <v>116.327770660038</v>
      </c>
      <c r="D20" s="689">
        <f>transport!C14</f>
        <v>0</v>
      </c>
      <c r="E20" s="689">
        <f>transport!D14</f>
        <v>436.95265917391225</v>
      </c>
      <c r="F20" s="689">
        <f>transport!E14</f>
        <v>276.86826876799432</v>
      </c>
      <c r="G20" s="689">
        <f>transport!F14</f>
        <v>0</v>
      </c>
      <c r="H20" s="689">
        <f>transport!G14</f>
        <v>110678.96094683297</v>
      </c>
      <c r="I20" s="689">
        <f>transport!H14</f>
        <v>28769.186426102377</v>
      </c>
      <c r="J20" s="689">
        <f>transport!I14</f>
        <v>0</v>
      </c>
      <c r="K20" s="689">
        <f>transport!J14</f>
        <v>0</v>
      </c>
      <c r="L20" s="689">
        <f>transport!K14</f>
        <v>0</v>
      </c>
      <c r="M20" s="689">
        <f>transport!L14</f>
        <v>0</v>
      </c>
      <c r="N20" s="689">
        <f>transport!M14</f>
        <v>8231.3147777495797</v>
      </c>
      <c r="O20" s="689">
        <f>transport!N14</f>
        <v>0</v>
      </c>
      <c r="P20" s="689">
        <f>transport!O14</f>
        <v>0</v>
      </c>
      <c r="Q20" s="690">
        <f>transport!P14</f>
        <v>0</v>
      </c>
      <c r="R20" s="692">
        <f>SUM(C20:Q20)</f>
        <v>148509.6108492869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116.327770660038</v>
      </c>
      <c r="D22" s="814">
        <f t="shared" ref="D22:R22" si="1">SUM(D18:D21)</f>
        <v>0</v>
      </c>
      <c r="E22" s="814">
        <f t="shared" si="1"/>
        <v>436.95265917391225</v>
      </c>
      <c r="F22" s="814">
        <f t="shared" si="1"/>
        <v>276.86826876799432</v>
      </c>
      <c r="G22" s="814">
        <f t="shared" si="1"/>
        <v>0</v>
      </c>
      <c r="H22" s="814">
        <f t="shared" si="1"/>
        <v>112207.74773686916</v>
      </c>
      <c r="I22" s="814">
        <f t="shared" si="1"/>
        <v>28769.186426102377</v>
      </c>
      <c r="J22" s="814">
        <f t="shared" si="1"/>
        <v>0</v>
      </c>
      <c r="K22" s="814">
        <f t="shared" si="1"/>
        <v>0</v>
      </c>
      <c r="L22" s="814">
        <f t="shared" si="1"/>
        <v>0</v>
      </c>
      <c r="M22" s="814">
        <f t="shared" si="1"/>
        <v>0</v>
      </c>
      <c r="N22" s="814">
        <f t="shared" si="1"/>
        <v>8314.2754563171748</v>
      </c>
      <c r="O22" s="814">
        <f t="shared" si="1"/>
        <v>0</v>
      </c>
      <c r="P22" s="814">
        <f t="shared" si="1"/>
        <v>0</v>
      </c>
      <c r="Q22" s="814">
        <f t="shared" si="1"/>
        <v>0</v>
      </c>
      <c r="R22" s="814">
        <f t="shared" si="1"/>
        <v>150121.35831789067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1.1687330227107999</v>
      </c>
      <c r="D24" s="689">
        <f>+landbouw!C8</f>
        <v>0</v>
      </c>
      <c r="E24" s="689">
        <f>+landbouw!D8</f>
        <v>0</v>
      </c>
      <c r="F24" s="689">
        <f>+landbouw!E8</f>
        <v>4.3585629316183983E-2</v>
      </c>
      <c r="G24" s="689">
        <f>+landbouw!F8</f>
        <v>3.7918215418908083</v>
      </c>
      <c r="H24" s="689">
        <f>+landbouw!G8</f>
        <v>0</v>
      </c>
      <c r="I24" s="689">
        <f>+landbouw!H8</f>
        <v>0</v>
      </c>
      <c r="J24" s="689">
        <f>+landbouw!I8</f>
        <v>0</v>
      </c>
      <c r="K24" s="689">
        <f>+landbouw!J8</f>
        <v>0.30679818838798212</v>
      </c>
      <c r="L24" s="689">
        <f>+landbouw!K8</f>
        <v>0</v>
      </c>
      <c r="M24" s="689">
        <f>+landbouw!L8</f>
        <v>0</v>
      </c>
      <c r="N24" s="689">
        <f>+landbouw!M8</f>
        <v>0</v>
      </c>
      <c r="O24" s="689">
        <f>+landbouw!N8</f>
        <v>0</v>
      </c>
      <c r="P24" s="689">
        <f>+landbouw!O8</f>
        <v>0</v>
      </c>
      <c r="Q24" s="690">
        <f>+landbouw!P8</f>
        <v>0</v>
      </c>
      <c r="R24" s="692">
        <f>SUM(C24:Q24)</f>
        <v>5.3109383823057748</v>
      </c>
      <c r="S24" s="67"/>
    </row>
    <row r="25" spans="1:19" s="451" customFormat="1" ht="15" thickBot="1">
      <c r="A25" s="833" t="s">
        <v>714</v>
      </c>
      <c r="B25" s="947"/>
      <c r="C25" s="948">
        <f>IF(Onbekend_ele_kWh="---",0,Onbekend_ele_kWh)/1000+IF(REST_rest_ele_kWh="---",0,REST_rest_ele_kWh)/1000</f>
        <v>1274.41110701605</v>
      </c>
      <c r="D25" s="948"/>
      <c r="E25" s="948">
        <f>IF(onbekend_gas_kWh="---",0,onbekend_gas_kWh)/1000+IF(REST_rest_gas_kWh="---",0,REST_rest_gas_kWh)/1000</f>
        <v>6079.0916002518998</v>
      </c>
      <c r="F25" s="948"/>
      <c r="G25" s="948"/>
      <c r="H25" s="948"/>
      <c r="I25" s="948"/>
      <c r="J25" s="948"/>
      <c r="K25" s="948"/>
      <c r="L25" s="948"/>
      <c r="M25" s="948"/>
      <c r="N25" s="948"/>
      <c r="O25" s="948"/>
      <c r="P25" s="948"/>
      <c r="Q25" s="949"/>
      <c r="R25" s="692">
        <f>SUM(C25:Q25)</f>
        <v>7353.5027072679495</v>
      </c>
      <c r="S25" s="67"/>
    </row>
    <row r="26" spans="1:19" s="451" customFormat="1" ht="15.75" thickBot="1">
      <c r="A26" s="697" t="s">
        <v>715</v>
      </c>
      <c r="B26" s="819"/>
      <c r="C26" s="814">
        <f>SUM(C24:C25)</f>
        <v>1275.5798400387607</v>
      </c>
      <c r="D26" s="814">
        <f t="shared" ref="D26:R26" si="2">SUM(D24:D25)</f>
        <v>0</v>
      </c>
      <c r="E26" s="814">
        <f t="shared" si="2"/>
        <v>6079.0916002518998</v>
      </c>
      <c r="F26" s="814">
        <f t="shared" si="2"/>
        <v>4.3585629316183983E-2</v>
      </c>
      <c r="G26" s="814">
        <f t="shared" si="2"/>
        <v>3.7918215418908083</v>
      </c>
      <c r="H26" s="814">
        <f t="shared" si="2"/>
        <v>0</v>
      </c>
      <c r="I26" s="814">
        <f t="shared" si="2"/>
        <v>0</v>
      </c>
      <c r="J26" s="814">
        <f t="shared" si="2"/>
        <v>0</v>
      </c>
      <c r="K26" s="814">
        <f t="shared" si="2"/>
        <v>0.30679818838798212</v>
      </c>
      <c r="L26" s="814">
        <f t="shared" si="2"/>
        <v>0</v>
      </c>
      <c r="M26" s="814">
        <f t="shared" si="2"/>
        <v>0</v>
      </c>
      <c r="N26" s="814">
        <f t="shared" si="2"/>
        <v>0</v>
      </c>
      <c r="O26" s="814">
        <f t="shared" si="2"/>
        <v>0</v>
      </c>
      <c r="P26" s="814">
        <f t="shared" si="2"/>
        <v>0</v>
      </c>
      <c r="Q26" s="814">
        <f t="shared" si="2"/>
        <v>0</v>
      </c>
      <c r="R26" s="814">
        <f t="shared" si="2"/>
        <v>7358.8136456502552</v>
      </c>
      <c r="S26" s="67"/>
    </row>
    <row r="27" spans="1:19" s="451" customFormat="1" ht="17.25" thickTop="1" thickBot="1">
      <c r="A27" s="698" t="s">
        <v>115</v>
      </c>
      <c r="B27" s="806"/>
      <c r="C27" s="699">
        <f ca="1">C22+C16+C26</f>
        <v>34343.741078571744</v>
      </c>
      <c r="D27" s="699">
        <f t="shared" ref="D27:R27" ca="1" si="3">D22+D16+D26</f>
        <v>0</v>
      </c>
      <c r="E27" s="699">
        <f t="shared" ca="1" si="3"/>
        <v>106950.84777553513</v>
      </c>
      <c r="F27" s="699">
        <f t="shared" si="3"/>
        <v>2193.3602061166252</v>
      </c>
      <c r="G27" s="699">
        <f t="shared" ca="1" si="3"/>
        <v>1413.6613047415001</v>
      </c>
      <c r="H27" s="699">
        <f t="shared" si="3"/>
        <v>112207.74773686916</v>
      </c>
      <c r="I27" s="699">
        <f t="shared" si="3"/>
        <v>28769.186426102377</v>
      </c>
      <c r="J27" s="699">
        <f t="shared" si="3"/>
        <v>0</v>
      </c>
      <c r="K27" s="699">
        <f t="shared" si="3"/>
        <v>0.41647981876095569</v>
      </c>
      <c r="L27" s="699">
        <f t="shared" si="3"/>
        <v>0</v>
      </c>
      <c r="M27" s="699">
        <f t="shared" ca="1" si="3"/>
        <v>0</v>
      </c>
      <c r="N27" s="699">
        <f t="shared" si="3"/>
        <v>8314.2754563171748</v>
      </c>
      <c r="O27" s="699">
        <f t="shared" ca="1" si="3"/>
        <v>3302.2565048827792</v>
      </c>
      <c r="P27" s="699">
        <f t="shared" si="3"/>
        <v>103.16582740812565</v>
      </c>
      <c r="Q27" s="699">
        <f t="shared" si="3"/>
        <v>105.33959307685021</v>
      </c>
      <c r="R27" s="699">
        <f t="shared" ca="1" si="3"/>
        <v>297703.99838944024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2693.3348305921591</v>
      </c>
      <c r="D40" s="689">
        <f ca="1">tertiair!C20</f>
        <v>0</v>
      </c>
      <c r="E40" s="689">
        <f ca="1">tertiair!D20</f>
        <v>3246.9565689969609</v>
      </c>
      <c r="F40" s="689">
        <f>tertiair!E20</f>
        <v>6.5808853162531795</v>
      </c>
      <c r="G40" s="689">
        <f ca="1">tertiair!F20</f>
        <v>334.28847588927061</v>
      </c>
      <c r="H40" s="689">
        <f>tertiair!G20</f>
        <v>0</v>
      </c>
      <c r="I40" s="689">
        <f>tertiair!H20</f>
        <v>0</v>
      </c>
      <c r="J40" s="689">
        <f>tertiair!I20</f>
        <v>0</v>
      </c>
      <c r="K40" s="689">
        <f>tertiair!J20</f>
        <v>1.3749816291247106E-3</v>
      </c>
      <c r="L40" s="689">
        <f>tertiair!K20</f>
        <v>0</v>
      </c>
      <c r="M40" s="689">
        <f ca="1">tertiair!L20</f>
        <v>0</v>
      </c>
      <c r="N40" s="689">
        <f>tertiair!M20</f>
        <v>0</v>
      </c>
      <c r="O40" s="689">
        <f ca="1">tertiair!N20</f>
        <v>0</v>
      </c>
      <c r="P40" s="689">
        <f>tertiair!O20</f>
        <v>0</v>
      </c>
      <c r="Q40" s="772">
        <f>tertiair!P20</f>
        <v>0</v>
      </c>
      <c r="R40" s="852">
        <f t="shared" ca="1" si="4"/>
        <v>6281.1621357762724</v>
      </c>
    </row>
    <row r="41" spans="1:18">
      <c r="A41" s="824" t="s">
        <v>224</v>
      </c>
      <c r="B41" s="831"/>
      <c r="C41" s="689">
        <f ca="1">huishoudens!B12</f>
        <v>4370.2358019589683</v>
      </c>
      <c r="D41" s="689">
        <f ca="1">huishoudens!C12</f>
        <v>0</v>
      </c>
      <c r="E41" s="689">
        <f>huishoudens!D12</f>
        <v>16937.987633107492</v>
      </c>
      <c r="F41" s="689">
        <f>huishoudens!E12</f>
        <v>428.1268080191515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21736.35024308561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87.916462048315537</v>
      </c>
      <c r="D43" s="689">
        <f ca="1">industrie!C22</f>
        <v>0</v>
      </c>
      <c r="E43" s="689">
        <f>industrie!D22</f>
        <v>102.88610814963107</v>
      </c>
      <c r="F43" s="689">
        <f>industrie!E22</f>
        <v>0.32608250487981899</v>
      </c>
      <c r="G43" s="689">
        <f>industrie!F22</f>
        <v>42.146676125025095</v>
      </c>
      <c r="H43" s="689">
        <f>industrie!G22</f>
        <v>0</v>
      </c>
      <c r="I43" s="689">
        <f>industrie!H22</f>
        <v>0</v>
      </c>
      <c r="J43" s="689">
        <f>industrie!I22</f>
        <v>0</v>
      </c>
      <c r="K43" s="689">
        <f>industrie!J22</f>
        <v>3.7452315522907932E-2</v>
      </c>
      <c r="L43" s="689">
        <f>industrie!K22</f>
        <v>0</v>
      </c>
      <c r="M43" s="689">
        <f>industrie!L22</f>
        <v>0</v>
      </c>
      <c r="N43" s="689">
        <f>industrie!M22</f>
        <v>0</v>
      </c>
      <c r="O43" s="689">
        <f>industrie!N22</f>
        <v>0</v>
      </c>
      <c r="P43" s="689">
        <f>industrie!O22</f>
        <v>0</v>
      </c>
      <c r="Q43" s="772">
        <f>industrie!P22</f>
        <v>0</v>
      </c>
      <c r="R43" s="851">
        <f t="shared" ca="1" si="4"/>
        <v>233.31278114337442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7151.4870945994426</v>
      </c>
      <c r="D46" s="725">
        <f t="shared" ref="D46:Q46" ca="1" si="5">SUM(D39:D45)</f>
        <v>0</v>
      </c>
      <c r="E46" s="725">
        <f t="shared" ca="1" si="5"/>
        <v>20287.830310254085</v>
      </c>
      <c r="F46" s="725">
        <f t="shared" si="5"/>
        <v>435.03377584028448</v>
      </c>
      <c r="G46" s="725">
        <f t="shared" ca="1" si="5"/>
        <v>376.43515201429568</v>
      </c>
      <c r="H46" s="725">
        <f t="shared" si="5"/>
        <v>0</v>
      </c>
      <c r="I46" s="725">
        <f t="shared" si="5"/>
        <v>0</v>
      </c>
      <c r="J46" s="725">
        <f t="shared" si="5"/>
        <v>0</v>
      </c>
      <c r="K46" s="725">
        <f t="shared" si="5"/>
        <v>3.882729715203264E-2</v>
      </c>
      <c r="L46" s="725">
        <f t="shared" si="5"/>
        <v>0</v>
      </c>
      <c r="M46" s="725">
        <f t="shared" ca="1" si="5"/>
        <v>0</v>
      </c>
      <c r="N46" s="725">
        <f t="shared" si="5"/>
        <v>0</v>
      </c>
      <c r="O46" s="725">
        <f t="shared" ca="1" si="5"/>
        <v>0</v>
      </c>
      <c r="P46" s="725">
        <f t="shared" si="5"/>
        <v>0</v>
      </c>
      <c r="Q46" s="725">
        <f t="shared" si="5"/>
        <v>0</v>
      </c>
      <c r="R46" s="725">
        <f ca="1">SUM(R39:R45)</f>
        <v>28250.825160005254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408.1860729396617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408.1860729396617</v>
      </c>
    </row>
    <row r="50" spans="1:18">
      <c r="A50" s="827" t="s">
        <v>306</v>
      </c>
      <c r="B50" s="837"/>
      <c r="C50" s="695">
        <f ca="1">transport!B18</f>
        <v>25.2464419447215</v>
      </c>
      <c r="D50" s="695">
        <f>transport!C18</f>
        <v>0</v>
      </c>
      <c r="E50" s="695">
        <f>transport!D18</f>
        <v>88.264437153130274</v>
      </c>
      <c r="F50" s="695">
        <f>transport!E18</f>
        <v>62.849097010334717</v>
      </c>
      <c r="G50" s="695">
        <f>transport!F18</f>
        <v>0</v>
      </c>
      <c r="H50" s="695">
        <f>transport!G18</f>
        <v>29551.282572804404</v>
      </c>
      <c r="I50" s="695">
        <f>transport!H18</f>
        <v>7163.5274200994918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36891.16996901208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25.2464419447215</v>
      </c>
      <c r="D52" s="725">
        <f t="shared" ref="D52:Q52" ca="1" si="6">SUM(D48:D51)</f>
        <v>0</v>
      </c>
      <c r="E52" s="725">
        <f t="shared" si="6"/>
        <v>88.264437153130274</v>
      </c>
      <c r="F52" s="725">
        <f t="shared" si="6"/>
        <v>62.849097010334717</v>
      </c>
      <c r="G52" s="725">
        <f t="shared" si="6"/>
        <v>0</v>
      </c>
      <c r="H52" s="725">
        <f t="shared" si="6"/>
        <v>29959.468645744066</v>
      </c>
      <c r="I52" s="725">
        <f t="shared" si="6"/>
        <v>7163.5274200994918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37299.356041951745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0.2536483785370382</v>
      </c>
      <c r="D54" s="695">
        <f ca="1">+landbouw!C12</f>
        <v>0</v>
      </c>
      <c r="E54" s="695">
        <f>+landbouw!D12</f>
        <v>0</v>
      </c>
      <c r="F54" s="695">
        <f>+landbouw!E12</f>
        <v>9.8939378547737641E-3</v>
      </c>
      <c r="G54" s="695">
        <f>+landbouw!F12</f>
        <v>1.0124163516848459</v>
      </c>
      <c r="H54" s="695">
        <f>+landbouw!G12</f>
        <v>0</v>
      </c>
      <c r="I54" s="695">
        <f>+landbouw!H12</f>
        <v>0</v>
      </c>
      <c r="J54" s="695">
        <f>+landbouw!I12</f>
        <v>0</v>
      </c>
      <c r="K54" s="695">
        <f>+landbouw!J12</f>
        <v>0.10860655868934567</v>
      </c>
      <c r="L54" s="695">
        <f>+landbouw!K12</f>
        <v>0</v>
      </c>
      <c r="M54" s="695">
        <f>+landbouw!L12</f>
        <v>0</v>
      </c>
      <c r="N54" s="695">
        <f>+landbouw!M12</f>
        <v>0</v>
      </c>
      <c r="O54" s="695">
        <f>+landbouw!N12</f>
        <v>0</v>
      </c>
      <c r="P54" s="695">
        <f>+landbouw!O12</f>
        <v>0</v>
      </c>
      <c r="Q54" s="696">
        <f>+landbouw!P12</f>
        <v>0</v>
      </c>
      <c r="R54" s="724">
        <f ca="1">SUM(C54:Q54)</f>
        <v>1.3845652267660036</v>
      </c>
    </row>
    <row r="55" spans="1:18" ht="15" thickBot="1">
      <c r="A55" s="827" t="s">
        <v>714</v>
      </c>
      <c r="B55" s="837"/>
      <c r="C55" s="695">
        <f ca="1">C25*'EF ele_warmte'!B12</f>
        <v>276.58353499283379</v>
      </c>
      <c r="D55" s="695"/>
      <c r="E55" s="695">
        <f>E25*EF_CO2_aardgas</f>
        <v>1227.9765032508838</v>
      </c>
      <c r="F55" s="695"/>
      <c r="G55" s="695"/>
      <c r="H55" s="695"/>
      <c r="I55" s="695"/>
      <c r="J55" s="695"/>
      <c r="K55" s="695"/>
      <c r="L55" s="695"/>
      <c r="M55" s="695"/>
      <c r="N55" s="695"/>
      <c r="O55" s="695"/>
      <c r="P55" s="695"/>
      <c r="Q55" s="696"/>
      <c r="R55" s="724">
        <f ca="1">SUM(C55:Q55)</f>
        <v>1504.5600382437176</v>
      </c>
    </row>
    <row r="56" spans="1:18" ht="15.75" thickBot="1">
      <c r="A56" s="825" t="s">
        <v>715</v>
      </c>
      <c r="B56" s="838"/>
      <c r="C56" s="725">
        <f ca="1">SUM(C54:C55)</f>
        <v>276.83718337137083</v>
      </c>
      <c r="D56" s="725">
        <f t="shared" ref="D56:Q56" ca="1" si="7">SUM(D54:D55)</f>
        <v>0</v>
      </c>
      <c r="E56" s="725">
        <f t="shared" si="7"/>
        <v>1227.9765032508838</v>
      </c>
      <c r="F56" s="725">
        <f t="shared" si="7"/>
        <v>9.8939378547737641E-3</v>
      </c>
      <c r="G56" s="725">
        <f t="shared" si="7"/>
        <v>1.0124163516848459</v>
      </c>
      <c r="H56" s="725">
        <f t="shared" si="7"/>
        <v>0</v>
      </c>
      <c r="I56" s="725">
        <f t="shared" si="7"/>
        <v>0</v>
      </c>
      <c r="J56" s="725">
        <f t="shared" si="7"/>
        <v>0</v>
      </c>
      <c r="K56" s="725">
        <f t="shared" si="7"/>
        <v>0.10860655868934567</v>
      </c>
      <c r="L56" s="725">
        <f t="shared" si="7"/>
        <v>0</v>
      </c>
      <c r="M56" s="725">
        <f t="shared" si="7"/>
        <v>0</v>
      </c>
      <c r="N56" s="725">
        <f t="shared" si="7"/>
        <v>0</v>
      </c>
      <c r="O56" s="725">
        <f t="shared" si="7"/>
        <v>0</v>
      </c>
      <c r="P56" s="725">
        <f t="shared" si="7"/>
        <v>0</v>
      </c>
      <c r="Q56" s="726">
        <f t="shared" si="7"/>
        <v>0</v>
      </c>
      <c r="R56" s="727">
        <f ca="1">SUM(R54:R55)</f>
        <v>1505.9446034704836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7453.5707199155349</v>
      </c>
      <c r="D61" s="733">
        <f t="shared" ref="D61:Q61" ca="1" si="8">D46+D52+D56</f>
        <v>0</v>
      </c>
      <c r="E61" s="733">
        <f t="shared" ca="1" si="8"/>
        <v>21604.0712506581</v>
      </c>
      <c r="F61" s="733">
        <f t="shared" si="8"/>
        <v>497.89276678847398</v>
      </c>
      <c r="G61" s="733">
        <f t="shared" ca="1" si="8"/>
        <v>377.44756836598054</v>
      </c>
      <c r="H61" s="733">
        <f t="shared" si="8"/>
        <v>29959.468645744066</v>
      </c>
      <c r="I61" s="733">
        <f t="shared" si="8"/>
        <v>7163.5274200994918</v>
      </c>
      <c r="J61" s="733">
        <f t="shared" si="8"/>
        <v>0</v>
      </c>
      <c r="K61" s="733">
        <f t="shared" si="8"/>
        <v>0.1474338558413783</v>
      </c>
      <c r="L61" s="733">
        <f t="shared" si="8"/>
        <v>0</v>
      </c>
      <c r="M61" s="733">
        <f t="shared" ca="1" si="8"/>
        <v>0</v>
      </c>
      <c r="N61" s="733">
        <f t="shared" si="8"/>
        <v>0</v>
      </c>
      <c r="O61" s="733">
        <f t="shared" ca="1" si="8"/>
        <v>0</v>
      </c>
      <c r="P61" s="733">
        <f t="shared" si="8"/>
        <v>0</v>
      </c>
      <c r="Q61" s="733">
        <f t="shared" si="8"/>
        <v>0</v>
      </c>
      <c r="R61" s="733">
        <f ca="1">R46+R52+R56</f>
        <v>67056.12580542748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0.21702850318092101</v>
      </c>
      <c r="D63" s="779">
        <f t="shared" ca="1" si="9"/>
        <v>0</v>
      </c>
      <c r="E63" s="973">
        <f t="shared" ca="1" si="9"/>
        <v>0.20200000000000004</v>
      </c>
      <c r="F63" s="779">
        <f t="shared" si="9"/>
        <v>0.22700000000000001</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617.17673506254198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617.17673506254198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617.17673506254198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617.17673506254198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20136.690517170544</v>
      </c>
      <c r="C4" s="455">
        <f>huishoudens!C8</f>
        <v>0</v>
      </c>
      <c r="D4" s="455">
        <f>huishoudens!D8</f>
        <v>83851.423926274714</v>
      </c>
      <c r="E4" s="455">
        <f>huishoudens!E8</f>
        <v>1886.0211807011078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3142.2800286397573</v>
      </c>
      <c r="O4" s="455">
        <f>huishoudens!O8</f>
        <v>103.16582740812565</v>
      </c>
      <c r="P4" s="456">
        <f>huishoudens!P8</f>
        <v>105.33959307685021</v>
      </c>
      <c r="Q4" s="457">
        <f>SUM(B4:P4)</f>
        <v>109224.92107327109</v>
      </c>
    </row>
    <row r="5" spans="1:17">
      <c r="A5" s="454" t="s">
        <v>155</v>
      </c>
      <c r="B5" s="455">
        <f ca="1">tertiair!B16</f>
        <v>11431.482173540651</v>
      </c>
      <c r="C5" s="455">
        <f ca="1">tertiair!C16</f>
        <v>0</v>
      </c>
      <c r="D5" s="455">
        <f ca="1">tertiair!D16</f>
        <v>16074.042420777034</v>
      </c>
      <c r="E5" s="455">
        <f>tertiair!E16</f>
        <v>28.990684212569072</v>
      </c>
      <c r="F5" s="455">
        <f ca="1">tertiair!F16</f>
        <v>1252.0167636302269</v>
      </c>
      <c r="G5" s="455">
        <f>tertiair!G16</f>
        <v>0</v>
      </c>
      <c r="H5" s="455">
        <f>tertiair!H16</f>
        <v>0</v>
      </c>
      <c r="I5" s="455">
        <f>tertiair!I16</f>
        <v>0</v>
      </c>
      <c r="J5" s="455">
        <f>tertiair!J16</f>
        <v>3.884128895832516E-3</v>
      </c>
      <c r="K5" s="455">
        <f>tertiair!K16</f>
        <v>0</v>
      </c>
      <c r="L5" s="455">
        <f ca="1">tertiair!L16</f>
        <v>0</v>
      </c>
      <c r="M5" s="455">
        <f>tertiair!M16</f>
        <v>0</v>
      </c>
      <c r="N5" s="455">
        <f ca="1">tertiair!N16</f>
        <v>146.84630441385056</v>
      </c>
      <c r="O5" s="455">
        <f>tertiair!O16</f>
        <v>0</v>
      </c>
      <c r="P5" s="456">
        <f>tertiair!P16</f>
        <v>0</v>
      </c>
      <c r="Q5" s="454">
        <f t="shared" ref="Q5:Q14" ca="1" si="0">SUM(B5:P5)</f>
        <v>28933.382230703228</v>
      </c>
    </row>
    <row r="6" spans="1:17">
      <c r="A6" s="454" t="s">
        <v>193</v>
      </c>
      <c r="B6" s="455">
        <f>'openbare verlichting'!B8</f>
        <v>978.56899999999996</v>
      </c>
      <c r="C6" s="455"/>
      <c r="D6" s="455"/>
      <c r="E6" s="455"/>
      <c r="F6" s="455"/>
      <c r="G6" s="455"/>
      <c r="H6" s="455"/>
      <c r="I6" s="455"/>
      <c r="J6" s="455"/>
      <c r="K6" s="455"/>
      <c r="L6" s="455"/>
      <c r="M6" s="455"/>
      <c r="N6" s="455"/>
      <c r="O6" s="455"/>
      <c r="P6" s="456"/>
      <c r="Q6" s="454">
        <f t="shared" si="0"/>
        <v>978.56899999999996</v>
      </c>
    </row>
    <row r="7" spans="1:17">
      <c r="A7" s="454" t="s">
        <v>111</v>
      </c>
      <c r="B7" s="455">
        <f>landbouw!B8</f>
        <v>1.1687330227107999</v>
      </c>
      <c r="C7" s="455">
        <f>landbouw!C8</f>
        <v>0</v>
      </c>
      <c r="D7" s="455">
        <f>landbouw!D8</f>
        <v>0</v>
      </c>
      <c r="E7" s="455">
        <f>landbouw!E8</f>
        <v>4.3585629316183983E-2</v>
      </c>
      <c r="F7" s="455">
        <f>landbouw!F8</f>
        <v>3.7918215418908083</v>
      </c>
      <c r="G7" s="455">
        <f>landbouw!G8</f>
        <v>0</v>
      </c>
      <c r="H7" s="455">
        <f>landbouw!H8</f>
        <v>0</v>
      </c>
      <c r="I7" s="455">
        <f>landbouw!I8</f>
        <v>0</v>
      </c>
      <c r="J7" s="455">
        <f>landbouw!J8</f>
        <v>0.30679818838798212</v>
      </c>
      <c r="K7" s="455">
        <f>landbouw!K8</f>
        <v>0</v>
      </c>
      <c r="L7" s="455">
        <f>landbouw!L8</f>
        <v>0</v>
      </c>
      <c r="M7" s="455">
        <f>landbouw!M8</f>
        <v>0</v>
      </c>
      <c r="N7" s="455">
        <f>landbouw!N8</f>
        <v>0</v>
      </c>
      <c r="O7" s="455">
        <f>landbouw!O8</f>
        <v>0</v>
      </c>
      <c r="P7" s="456">
        <f>landbouw!P8</f>
        <v>0</v>
      </c>
      <c r="Q7" s="454">
        <f t="shared" si="0"/>
        <v>5.3109383823057748</v>
      </c>
    </row>
    <row r="8" spans="1:17">
      <c r="A8" s="454" t="s">
        <v>626</v>
      </c>
      <c r="B8" s="455">
        <f>industrie!B18</f>
        <v>405.0917771617581</v>
      </c>
      <c r="C8" s="455">
        <f>industrie!C18</f>
        <v>0</v>
      </c>
      <c r="D8" s="455">
        <f>industrie!D18</f>
        <v>509.33716905757956</v>
      </c>
      <c r="E8" s="455">
        <f>industrie!E18</f>
        <v>1.4364868056379692</v>
      </c>
      <c r="F8" s="455">
        <f>industrie!F18</f>
        <v>157.85271956938237</v>
      </c>
      <c r="G8" s="455">
        <f>industrie!G18</f>
        <v>0</v>
      </c>
      <c r="H8" s="455">
        <f>industrie!H18</f>
        <v>0</v>
      </c>
      <c r="I8" s="455">
        <f>industrie!I18</f>
        <v>0</v>
      </c>
      <c r="J8" s="455">
        <f>industrie!J18</f>
        <v>0.10579750147714106</v>
      </c>
      <c r="K8" s="455">
        <f>industrie!K18</f>
        <v>0</v>
      </c>
      <c r="L8" s="455">
        <f>industrie!L18</f>
        <v>0</v>
      </c>
      <c r="M8" s="455">
        <f>industrie!M18</f>
        <v>0</v>
      </c>
      <c r="N8" s="455">
        <f>industrie!N18</f>
        <v>13.130171829171115</v>
      </c>
      <c r="O8" s="455">
        <f>industrie!O18</f>
        <v>0</v>
      </c>
      <c r="P8" s="456">
        <f>industrie!P18</f>
        <v>0</v>
      </c>
      <c r="Q8" s="454">
        <f t="shared" si="0"/>
        <v>1086.9541219250061</v>
      </c>
    </row>
    <row r="9" spans="1:17" s="460" customFormat="1">
      <c r="A9" s="458" t="s">
        <v>552</v>
      </c>
      <c r="B9" s="459">
        <f>transport!B14</f>
        <v>116.327770660038</v>
      </c>
      <c r="C9" s="459">
        <f>transport!C14</f>
        <v>0</v>
      </c>
      <c r="D9" s="459">
        <f>transport!D14</f>
        <v>436.95265917391225</v>
      </c>
      <c r="E9" s="459">
        <f>transport!E14</f>
        <v>276.86826876799432</v>
      </c>
      <c r="F9" s="459">
        <f>transport!F14</f>
        <v>0</v>
      </c>
      <c r="G9" s="459">
        <f>transport!G14</f>
        <v>110678.96094683297</v>
      </c>
      <c r="H9" s="459">
        <f>transport!H14</f>
        <v>28769.186426102377</v>
      </c>
      <c r="I9" s="459">
        <f>transport!I14</f>
        <v>0</v>
      </c>
      <c r="J9" s="459">
        <f>transport!J14</f>
        <v>0</v>
      </c>
      <c r="K9" s="459">
        <f>transport!K14</f>
        <v>0</v>
      </c>
      <c r="L9" s="459">
        <f>transport!L14</f>
        <v>0</v>
      </c>
      <c r="M9" s="459">
        <f>transport!M14</f>
        <v>8231.3147777495797</v>
      </c>
      <c r="N9" s="459">
        <f>transport!N14</f>
        <v>0</v>
      </c>
      <c r="O9" s="459">
        <f>transport!O14</f>
        <v>0</v>
      </c>
      <c r="P9" s="459">
        <f>transport!P14</f>
        <v>0</v>
      </c>
      <c r="Q9" s="458">
        <f>SUM(B9:P9)</f>
        <v>148509.6108492869</v>
      </c>
    </row>
    <row r="10" spans="1:17">
      <c r="A10" s="454" t="s">
        <v>542</v>
      </c>
      <c r="B10" s="455">
        <f>transport!B54</f>
        <v>0</v>
      </c>
      <c r="C10" s="455">
        <f>transport!C54</f>
        <v>0</v>
      </c>
      <c r="D10" s="455">
        <f>transport!D54</f>
        <v>0</v>
      </c>
      <c r="E10" s="455">
        <f>transport!E54</f>
        <v>0</v>
      </c>
      <c r="F10" s="455">
        <f>transport!F54</f>
        <v>0</v>
      </c>
      <c r="G10" s="455">
        <f>transport!G54</f>
        <v>1528.7867900361859</v>
      </c>
      <c r="H10" s="455">
        <f>transport!H54</f>
        <v>0</v>
      </c>
      <c r="I10" s="455">
        <f>transport!I54</f>
        <v>0</v>
      </c>
      <c r="J10" s="455">
        <f>transport!J54</f>
        <v>0</v>
      </c>
      <c r="K10" s="455">
        <f>transport!K54</f>
        <v>0</v>
      </c>
      <c r="L10" s="455">
        <f>transport!L54</f>
        <v>0</v>
      </c>
      <c r="M10" s="455">
        <f>transport!M54</f>
        <v>82.960678567595124</v>
      </c>
      <c r="N10" s="455">
        <f>transport!N54</f>
        <v>0</v>
      </c>
      <c r="O10" s="455">
        <f>transport!O54</f>
        <v>0</v>
      </c>
      <c r="P10" s="456">
        <f>transport!P54</f>
        <v>0</v>
      </c>
      <c r="Q10" s="454">
        <f t="shared" si="0"/>
        <v>1611.747468603781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1274.41110701605</v>
      </c>
      <c r="C14" s="462"/>
      <c r="D14" s="462">
        <f>'SEAP template'!E25</f>
        <v>6079.0916002518998</v>
      </c>
      <c r="E14" s="462"/>
      <c r="F14" s="462"/>
      <c r="G14" s="462"/>
      <c r="H14" s="462"/>
      <c r="I14" s="462"/>
      <c r="J14" s="462"/>
      <c r="K14" s="462"/>
      <c r="L14" s="462"/>
      <c r="M14" s="462"/>
      <c r="N14" s="462"/>
      <c r="O14" s="462"/>
      <c r="P14" s="463"/>
      <c r="Q14" s="454">
        <f t="shared" si="0"/>
        <v>7353.5027072679495</v>
      </c>
    </row>
    <row r="15" spans="1:17" s="466" customFormat="1">
      <c r="A15" s="464" t="s">
        <v>546</v>
      </c>
      <c r="B15" s="465">
        <f ca="1">SUM(B4:B14)</f>
        <v>34343.741078571751</v>
      </c>
      <c r="C15" s="465">
        <f t="shared" ref="C15:Q15" ca="1" si="1">SUM(C4:C14)</f>
        <v>0</v>
      </c>
      <c r="D15" s="465">
        <f t="shared" ca="1" si="1"/>
        <v>106950.84777553513</v>
      </c>
      <c r="E15" s="465">
        <f t="shared" si="1"/>
        <v>2193.3602061166252</v>
      </c>
      <c r="F15" s="465">
        <f t="shared" ca="1" si="1"/>
        <v>1413.6613047415001</v>
      </c>
      <c r="G15" s="465">
        <f t="shared" si="1"/>
        <v>112207.74773686916</v>
      </c>
      <c r="H15" s="465">
        <f t="shared" si="1"/>
        <v>28769.186426102377</v>
      </c>
      <c r="I15" s="465">
        <f t="shared" si="1"/>
        <v>0</v>
      </c>
      <c r="J15" s="465">
        <f t="shared" si="1"/>
        <v>0.41647981876095569</v>
      </c>
      <c r="K15" s="465">
        <f t="shared" si="1"/>
        <v>0</v>
      </c>
      <c r="L15" s="465">
        <f t="shared" ca="1" si="1"/>
        <v>0</v>
      </c>
      <c r="M15" s="465">
        <f t="shared" si="1"/>
        <v>8314.2754563171748</v>
      </c>
      <c r="N15" s="465">
        <f t="shared" ca="1" si="1"/>
        <v>3302.2565048827792</v>
      </c>
      <c r="O15" s="465">
        <f t="shared" si="1"/>
        <v>103.16582740812565</v>
      </c>
      <c r="P15" s="465">
        <f t="shared" si="1"/>
        <v>105.33959307685021</v>
      </c>
      <c r="Q15" s="465">
        <f t="shared" ca="1" si="1"/>
        <v>297703.99838944024</v>
      </c>
    </row>
    <row r="17" spans="1:17">
      <c r="A17" s="467" t="s">
        <v>547</v>
      </c>
      <c r="B17" s="784">
        <f ca="1">huishoudens!B10</f>
        <v>0.21702850318092096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4370.2358019589683</v>
      </c>
      <c r="C22" s="455">
        <f t="shared" ref="C22:C32" ca="1" si="3">C4*$C$17</f>
        <v>0</v>
      </c>
      <c r="D22" s="455">
        <f t="shared" ref="D22:D32" si="4">D4*$D$17</f>
        <v>16937.987633107492</v>
      </c>
      <c r="E22" s="455">
        <f t="shared" ref="E22:E32" si="5">E4*$E$17</f>
        <v>428.1268080191515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21736.35024308561</v>
      </c>
    </row>
    <row r="23" spans="1:17">
      <c r="A23" s="454" t="s">
        <v>155</v>
      </c>
      <c r="B23" s="455">
        <f t="shared" ca="1" si="2"/>
        <v>2480.9574652629085</v>
      </c>
      <c r="C23" s="455">
        <f t="shared" ca="1" si="3"/>
        <v>0</v>
      </c>
      <c r="D23" s="455">
        <f t="shared" ca="1" si="4"/>
        <v>3246.9565689969609</v>
      </c>
      <c r="E23" s="455">
        <f t="shared" si="5"/>
        <v>6.5808853162531795</v>
      </c>
      <c r="F23" s="455">
        <f t="shared" ca="1" si="6"/>
        <v>334.28847588927061</v>
      </c>
      <c r="G23" s="455">
        <f t="shared" si="7"/>
        <v>0</v>
      </c>
      <c r="H23" s="455">
        <f t="shared" si="8"/>
        <v>0</v>
      </c>
      <c r="I23" s="455">
        <f t="shared" si="9"/>
        <v>0</v>
      </c>
      <c r="J23" s="455">
        <f t="shared" si="10"/>
        <v>1.3749816291247106E-3</v>
      </c>
      <c r="K23" s="455">
        <f t="shared" si="11"/>
        <v>0</v>
      </c>
      <c r="L23" s="455">
        <f t="shared" ca="1" si="12"/>
        <v>0</v>
      </c>
      <c r="M23" s="455">
        <f t="shared" si="13"/>
        <v>0</v>
      </c>
      <c r="N23" s="455">
        <f t="shared" ca="1" si="14"/>
        <v>0</v>
      </c>
      <c r="O23" s="455">
        <f t="shared" si="15"/>
        <v>0</v>
      </c>
      <c r="P23" s="456">
        <f t="shared" si="16"/>
        <v>0</v>
      </c>
      <c r="Q23" s="454">
        <f t="shared" ref="Q23:Q31" ca="1" si="17">SUM(B23:P23)</f>
        <v>6068.7847704470223</v>
      </c>
    </row>
    <row r="24" spans="1:17">
      <c r="A24" s="454" t="s">
        <v>193</v>
      </c>
      <c r="B24" s="455">
        <f t="shared" ca="1" si="2"/>
        <v>212.37736532925064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212.37736532925064</v>
      </c>
    </row>
    <row r="25" spans="1:17">
      <c r="A25" s="454" t="s">
        <v>111</v>
      </c>
      <c r="B25" s="455">
        <f t="shared" ca="1" si="2"/>
        <v>0.2536483785370382</v>
      </c>
      <c r="C25" s="455">
        <f t="shared" ca="1" si="3"/>
        <v>0</v>
      </c>
      <c r="D25" s="455">
        <f t="shared" si="4"/>
        <v>0</v>
      </c>
      <c r="E25" s="455">
        <f t="shared" si="5"/>
        <v>9.8939378547737641E-3</v>
      </c>
      <c r="F25" s="455">
        <f t="shared" si="6"/>
        <v>1.0124163516848459</v>
      </c>
      <c r="G25" s="455">
        <f t="shared" si="7"/>
        <v>0</v>
      </c>
      <c r="H25" s="455">
        <f t="shared" si="8"/>
        <v>0</v>
      </c>
      <c r="I25" s="455">
        <f t="shared" si="9"/>
        <v>0</v>
      </c>
      <c r="J25" s="455">
        <f t="shared" si="10"/>
        <v>0.10860655868934567</v>
      </c>
      <c r="K25" s="455">
        <f t="shared" si="11"/>
        <v>0</v>
      </c>
      <c r="L25" s="455">
        <f t="shared" si="12"/>
        <v>0</v>
      </c>
      <c r="M25" s="455">
        <f t="shared" si="13"/>
        <v>0</v>
      </c>
      <c r="N25" s="455">
        <f t="shared" si="14"/>
        <v>0</v>
      </c>
      <c r="O25" s="455">
        <f t="shared" si="15"/>
        <v>0</v>
      </c>
      <c r="P25" s="456">
        <f t="shared" si="16"/>
        <v>0</v>
      </c>
      <c r="Q25" s="454">
        <f t="shared" ca="1" si="17"/>
        <v>1.3845652267660036</v>
      </c>
    </row>
    <row r="26" spans="1:17">
      <c r="A26" s="454" t="s">
        <v>626</v>
      </c>
      <c r="B26" s="455">
        <f t="shared" ca="1" si="2"/>
        <v>87.916462048315537</v>
      </c>
      <c r="C26" s="455">
        <f t="shared" ca="1" si="3"/>
        <v>0</v>
      </c>
      <c r="D26" s="455">
        <f t="shared" si="4"/>
        <v>102.88610814963107</v>
      </c>
      <c r="E26" s="455">
        <f t="shared" si="5"/>
        <v>0.32608250487981899</v>
      </c>
      <c r="F26" s="455">
        <f t="shared" si="6"/>
        <v>42.146676125025095</v>
      </c>
      <c r="G26" s="455">
        <f t="shared" si="7"/>
        <v>0</v>
      </c>
      <c r="H26" s="455">
        <f t="shared" si="8"/>
        <v>0</v>
      </c>
      <c r="I26" s="455">
        <f t="shared" si="9"/>
        <v>0</v>
      </c>
      <c r="J26" s="455">
        <f t="shared" si="10"/>
        <v>3.7452315522907932E-2</v>
      </c>
      <c r="K26" s="455">
        <f t="shared" si="11"/>
        <v>0</v>
      </c>
      <c r="L26" s="455">
        <f t="shared" si="12"/>
        <v>0</v>
      </c>
      <c r="M26" s="455">
        <f t="shared" si="13"/>
        <v>0</v>
      </c>
      <c r="N26" s="455">
        <f t="shared" si="14"/>
        <v>0</v>
      </c>
      <c r="O26" s="455">
        <f t="shared" si="15"/>
        <v>0</v>
      </c>
      <c r="P26" s="456">
        <f t="shared" si="16"/>
        <v>0</v>
      </c>
      <c r="Q26" s="454">
        <f t="shared" ca="1" si="17"/>
        <v>233.31278114337442</v>
      </c>
    </row>
    <row r="27" spans="1:17" s="460" customFormat="1">
      <c r="A27" s="458" t="s">
        <v>552</v>
      </c>
      <c r="B27" s="778">
        <f t="shared" ca="1" si="2"/>
        <v>25.2464419447215</v>
      </c>
      <c r="C27" s="459">
        <f t="shared" ca="1" si="3"/>
        <v>0</v>
      </c>
      <c r="D27" s="459">
        <f t="shared" si="4"/>
        <v>88.264437153130274</v>
      </c>
      <c r="E27" s="459">
        <f t="shared" si="5"/>
        <v>62.849097010334717</v>
      </c>
      <c r="F27" s="459">
        <f t="shared" si="6"/>
        <v>0</v>
      </c>
      <c r="G27" s="459">
        <f t="shared" si="7"/>
        <v>29551.282572804404</v>
      </c>
      <c r="H27" s="459">
        <f t="shared" si="8"/>
        <v>7163.5274200994918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36891.16996901208</v>
      </c>
    </row>
    <row r="28" spans="1:17" ht="16.5" customHeight="1">
      <c r="A28" s="454" t="s">
        <v>542</v>
      </c>
      <c r="B28" s="455">
        <f t="shared" ca="1" si="2"/>
        <v>0</v>
      </c>
      <c r="C28" s="455">
        <f t="shared" ca="1" si="3"/>
        <v>0</v>
      </c>
      <c r="D28" s="455">
        <f t="shared" si="4"/>
        <v>0</v>
      </c>
      <c r="E28" s="455">
        <f t="shared" si="5"/>
        <v>0</v>
      </c>
      <c r="F28" s="455">
        <f t="shared" si="6"/>
        <v>0</v>
      </c>
      <c r="G28" s="455">
        <f t="shared" si="7"/>
        <v>408.1860729396617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408.1860729396617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276.58353499283379</v>
      </c>
      <c r="C32" s="455">
        <f t="shared" ca="1" si="3"/>
        <v>0</v>
      </c>
      <c r="D32" s="455">
        <f t="shared" si="4"/>
        <v>1227.9765032508838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1504.5600382437176</v>
      </c>
    </row>
    <row r="33" spans="1:17" s="466" customFormat="1">
      <c r="A33" s="464" t="s">
        <v>546</v>
      </c>
      <c r="B33" s="465">
        <f ca="1">SUM(B22:B32)</f>
        <v>7453.5707199155358</v>
      </c>
      <c r="C33" s="465">
        <f t="shared" ref="C33:Q33" ca="1" si="19">SUM(C22:C32)</f>
        <v>0</v>
      </c>
      <c r="D33" s="465">
        <f t="shared" ca="1" si="19"/>
        <v>21604.0712506581</v>
      </c>
      <c r="E33" s="465">
        <f t="shared" si="19"/>
        <v>497.89276678847398</v>
      </c>
      <c r="F33" s="465">
        <f t="shared" ca="1" si="19"/>
        <v>377.4475683659806</v>
      </c>
      <c r="G33" s="465">
        <f t="shared" si="19"/>
        <v>29959.468645744066</v>
      </c>
      <c r="H33" s="465">
        <f t="shared" si="19"/>
        <v>7163.5274200994918</v>
      </c>
      <c r="I33" s="465">
        <f t="shared" si="19"/>
        <v>0</v>
      </c>
      <c r="J33" s="465">
        <f t="shared" si="19"/>
        <v>0.1474338558413783</v>
      </c>
      <c r="K33" s="465">
        <f t="shared" si="19"/>
        <v>0</v>
      </c>
      <c r="L33" s="465">
        <f t="shared" ca="1" si="19"/>
        <v>0</v>
      </c>
      <c r="M33" s="465">
        <f t="shared" si="19"/>
        <v>0</v>
      </c>
      <c r="N33" s="465">
        <f t="shared" ca="1" si="19"/>
        <v>0</v>
      </c>
      <c r="O33" s="465">
        <f t="shared" si="19"/>
        <v>0</v>
      </c>
      <c r="P33" s="465">
        <f t="shared" si="19"/>
        <v>0</v>
      </c>
      <c r="Q33" s="465">
        <f t="shared" ca="1" si="19"/>
        <v>67056.12580542748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617.17673506254198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617.17673506254198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0.21702850318092096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0.21702850318092096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2020-06-20T15:20:05Z</dcterms:modified>
</cp:coreProperties>
</file>