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<sst xmlns="http://schemas.openxmlformats.org/spreadsheetml/2006/main" count="2366" uniqueCount="865">
  <si>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</si>
  <si>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</si>
  <si>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</si>
  <si>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</si>
  <si>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</si>
  <si>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</si>
  <si>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</si>
  <si>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</si>
  <si>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</si>
  <si>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</si>
  <si>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</si>
  <si>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</si>
  <si>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</si>
  <si>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</si>
  <si>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</si>
  <si>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</si>
  <si>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</si>
  <si>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</si>
  <si>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</si>
  <si>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</si>
  <si>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</si>
  <si>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</si>
  <si>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</si>
  <si>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</si>
  <si>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</si>
  <si>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</si>
  <si>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</si>
  <si>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</si>
  <si>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</si>
  <si>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</si>
  <si>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</si>
  <si>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</si>
  <si>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</si>
  <si>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</si>
  <si>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</si>
  <si>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</si>
  <si>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</si>
  <si>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</si>
  <si>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</si>
  <si>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</si>
  <si>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</si>
  <si>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</si>
  <si>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</si>
  <si>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</si>
  <si>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</si>
  <si>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</si>
  <si>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</si>
  <si>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</si>
  <si>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</si>
  <si>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</si>
  <si>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</si>
  <si>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</si>
  <si>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</si>
  <si>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</si>
  <si>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</si>
  <si>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</si>
  <si>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</si>
  <si>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</si>
  <si>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</si>
  <si>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</si>
  <si>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</si>
  <si>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</si>
  <si>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</si>
  <si>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</si>
  <si>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</si>
  <si>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</si>
  <si>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</si>
  <si>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</si>
  <si>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</si>
  <si>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</si>
  <si>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</si>
  <si>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</si>
  <si>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</si>
  <si>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</si>
  <si>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</si>
  <si>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</si>
  <si>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</si>
  <si>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</si>
  <si>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</si>
  <si>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</si>
  <si>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</si>
  <si>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</si>
  <si>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</si>
  <si>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</si>
  <si>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</si>
  <si>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</si>
  <si>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</si>
  <si>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</si>
  <si>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</si>
  <si>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</si>
  <si>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</si>
  <si>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</si>
  <si>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</si>
  <si>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</si>
  <si>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</si>
  <si>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</si>
  <si>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</si>
  <si>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</si>
  <si>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</si>
  <si>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</si>
  <si>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</si>
  <si>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</si>
  <si>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</si>
  <si>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</si>
  <si>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</si>
  <si>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</si>
  <si>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</si>
  <si>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</si>
  <si>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</si>
  <si>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</si>
  <si>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</si>
  <si>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</si>
  <si>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</si>
  <si>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</si>
  <si>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</si>
  <si>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</si>
  <si>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</si>
  <si>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</si>
  <si>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</si>
  <si>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</si>
  <si>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</si>
  <si>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</si>
  <si>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</si>
  <si>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</si>
  <si>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</si>
  <si>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</si>
  <si>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</si>
  <si>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</si>
  <si>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</si>
  <si>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</si>
  <si>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</si>
  <si>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</si>
  <si>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</si>
  <si>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</si>
  <si>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</si>
  <si>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</si>
  <si>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</si>
  <si>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</si>
  <si>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</si>
  <si>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</si>
  <si>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</si>
  <si>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</si>
  <si>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</si>
  <si>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</si>
  <si>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</si>
  <si>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</si>
  <si>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</si>
  <si>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</si>
  <si>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</si>
  <si>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</si>
  <si>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</si>
  <si>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</si>
  <si>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</si>
  <si>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</si>
  <si>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</si>
  <si>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</si>
  <si>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</si>
  <si>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</si>
  <si>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</si>
  <si>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</si>
  <si>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</si>
  <si>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</si>
  <si>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</si>
  <si>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</si>
  <si>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</si>
  <si>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</si>
  <si>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</si>
  <si>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</si>
  <si>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</si>
  <si>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</si>
  <si>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</si>
  <si>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</si>
  <si>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</si>
  <si>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</si>
  <si>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</si>
  <si>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</si>
  <si>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</si>
  <si>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</si>
  <si>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</si>
  <si>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</si>
  <si>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</si>
  <si>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</si>
  <si>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</si>
  <si>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</si>
  <si>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</si>
  <si>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</si>
  <si>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</si>
  <si>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</si>
  <si>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</si>
  <si>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</si>
  <si>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</si>
  <si>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</si>
  <si>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</si>
  <si>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</si>
  <si>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</si>
  <si>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</si>
  <si>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</si>
  <si>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</si>
  <si>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</si>
  <si>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</si>
  <si>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</si>
  <si>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</si>
  <si>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</si>
  <si>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</si>
  <si>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</si>
  <si>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</si>
  <si>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</si>
  <si>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</si>
  <si>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</si>
  <si>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</si>
  <si>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</si>
  <si>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</si>
  <si>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</si>
  <si>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</si>
  <si>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</si>
  <si>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</si>
  <si>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</si>
  <si>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</si>
  <si>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</si>
  <si>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</si>
  <si>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</si>
  <si>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</si>
  <si>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</si>
  <si>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</si>
  <si>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</si>
  <si>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</si>
  <si>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</si>
  <si>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</si>
  <si>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</si>
  <si>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</si>
  <si>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</si>
  <si>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</si>
  <si>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</si>
  <si>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</si>
  <si>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</si>
  <si>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</si>
  <si>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</si>
  <si>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</si>
  <si>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</si>
  <si>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</si>
  <si>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</si>
  <si>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</si>
  <si>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</si>
  <si>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</si>
  <si>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</si>
  <si>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</si>
  <si>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</si>
  <si>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</si>
  <si>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</si>
  <si>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</si>
  <si>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</si>
  <si>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</si>
  <si>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</si>
  <si>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</si>
  <si>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</si>
  <si>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</si>
  <si>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</si>
  <si>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</si>
  <si>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</si>
  <si>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</si>
  <si>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</si>
  <si>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</si>
  <si>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</si>
  <si>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</si>
  <si>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</si>
  <si>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</si>
  <si>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</si>
  <si>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</si>
  <si>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</si>
  <si>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</si>
  <si>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</si>
  <si>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</si>
  <si>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</si>
  <si>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</si>
  <si>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</si>
  <si>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</si>
  <si>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</si>
  <si>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</si>
  <si>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</si>
  <si>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</si>
  <si>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</si>
  <si>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</si>
  <si>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</si>
  <si>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</si>
  <si>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</si>
  <si>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</si>
  <si>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</si>
  <si>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</si>
  <si>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</si>
  <si>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</si>
  <si>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</si>
  <si>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</si>
  <si>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</si>
  <si>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</si>
  <si>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</si>
  <si>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</si>
  <si>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</si>
  <si>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</si>
  <si>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</si>
  <si>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</si>
  <si>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</si>
  <si>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</si>
  <si>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</si>
  <si>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</si>
  <si>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</si>
  <si>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</si>
  <si>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</si>
  <si>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</si>
  <si>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</si>
  <si>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</si>
  <si>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</si>
  <si>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</si>
  <si>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</si>
  <si>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</si>
  <si>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</si>
  <si>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</si>
  <si>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</si>
  <si>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</si>
  <si>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</si>
  <si>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</si>
  <si>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</si>
  <si>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</si>
  <si>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</si>
  <si>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</si>
  <si>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</si>
  <si>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</si>
  <si>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</si>
  <si>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</si>
  <si>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</si>
  <si>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</si>
  <si>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</si>
  <si>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</si>
  <si>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</si>
  <si>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</si>
  <si>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</si>
  <si>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</si>
  <si>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</si>
  <si>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</si>
  <si>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</si>
  <si>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</si>
  <si>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</si>
  <si>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</si>
  <si>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</si>
  <si>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</si>
  <si>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</si>
  <si>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</si>
  <si>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</si>
  <si>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</si>
  <si>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</si>
  <si>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</si>
  <si>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</si>
  <si>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</si>
  <si>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</si>
  <si>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</si>
  <si>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</si>
  <si>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</si>
  <si>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</si>
  <si>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</si>
  <si>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</si>
  <si>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</si>
  <si>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</si>
  <si>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</si>
  <si>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</si>
  <si>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</si>
  <si>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</si>
  <si>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</si>
  <si>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</si>
  <si>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</si>
  <si>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</si>
  <si>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</si>
  <si>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</si>
  <si>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</si>
  <si>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</si>
  <si>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</si>
  <si>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</si>
  <si>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</si>
  <si>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</si>
  <si>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</si>
  <si>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</si>
  <si>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</si>
  <si>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</si>
  <si>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</si>
  <si>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</si>
  <si>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</si>
  <si>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</si>
  <si>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</si>
  <si>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</si>
  <si>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</si>
  <si>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</si>
  <si>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</si>
  <si>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</si>
  <si>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</si>
  <si>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</si>
  <si>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</si>
  <si>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</si>
  <si>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</si>
  <si>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</si>
  <si>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</si>
  <si>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</si>
  <si>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</si>
  <si>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</si>
  <si>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</si>
  <si>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</si>
  <si>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</si>
  <si>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</si>
  <si>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</si>
  <si>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</si>
  <si>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</si>
  <si>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</si>
  <si>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</si>
  <si>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</si>
  <si>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</si>
  <si>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</si>
  <si>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</si>
  <si>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</si>
  <si>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</si>
  <si>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</si>
  <si>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</si>
  <si>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</si>
  <si>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</si>
  <si>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</si>
  <si>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</si>
  <si>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</si>
  <si>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</si>
  <si>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</si>
  <si>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</si>
  <si>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</si>
  <si>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</si>
  <si>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</si>
  <si>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</si>
  <si>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</si>
  <si>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</si>
  <si>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</si>
  <si>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</si>
  <si>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</si>
  <si>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</si>
  <si>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</si>
  <si>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</si>
  <si>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</si>
  <si>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</si>
  <si>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</si>
  <si>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</si>
  <si>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</si>
  <si>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</si>
  <si>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</si>
  <si>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</si>
  <si>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</si>
  <si>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</si>
  <si>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</si>
  <si>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</si>
  <si>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</si>
  <si>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</si>
  <si>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</si>
  <si>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</si>
  <si>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</si>
  <si>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</si>
  <si>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</si>
  <si>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</si>
  <si>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</si>
  <si>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</si>
  <si>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</si>
  <si>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</si>
  <si>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</si>
  <si>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</si>
  <si>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</si>
  <si>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</si>
  <si>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</si>
  <si>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</si>
  <si>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</si>
  <si>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</si>
  <si>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</si>
  <si>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</si>
  <si>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</si>
  <si>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</si>
  <si>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</si>
  <si>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</si>
  <si>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</si>
  <si>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</si>
  <si>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</si>
  <si>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</si>
  <si>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</si>
  <si>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</si>
  <si>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</si>
  <si>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</si>
  <si>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</si>
  <si>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</si>
  <si>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</si>
  <si>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</si>
  <si>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</si>
  <si>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</si>
  <si>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</si>
  <si>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</si>
  <si>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</si>
  <si>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</si>
  <si>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</si>
  <si>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</si>
  <si>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</si>
  <si>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</si>
  <si>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</si>
  <si>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</si>
  <si>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</si>
  <si>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</si>
  <si>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</si>
  <si>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</si>
  <si>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</si>
  <si>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</si>
  <si>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</si>
  <si>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</si>
  <si>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</si>
  <si>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</si>
  <si>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</si>
  <si>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</si>
  <si>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</si>
  <si>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</si>
  <si>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</si>
  <si>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</si>
  <si>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</si>
  <si>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</si>
  <si>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</si>
  <si>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</si>
  <si>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</si>
  <si>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</si>
  <si>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</si>
  <si>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</si>
  <si>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</si>
  <si>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</si>
  <si>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</si>
  <si>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</si>
  <si>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</si>
  <si>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</si>
  <si>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</si>
  <si>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</si>
  <si>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</si>
  <si>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</si>
  <si>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</si>
  <si>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</si>
  <si>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</si>
  <si>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</si>
  <si>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</si>
  <si>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</si>
  <si>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</si>
  <si>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</si>
  <si>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</si>
  <si>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</si>
  <si>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</si>
  <si>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</si>
  <si>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</si>
  <si>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</si>
  <si>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</si>
  <si>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</si>
  <si>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</si>
  <si>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</si>
  <si>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</si>
  <si>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</si>
  <si>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</si>
  <si>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</si>
  <si>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</si>
  <si>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</si>
  <si>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</si>
  <si>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</si>
  <si>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</si>
  <si>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</si>
  <si>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</si>
  <si>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</si>
  <si>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</si>
  <si>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</si>
  <si>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</si>
  <si>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</si>
  <si>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</si>
  <si>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</si>
  <si>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</si>
  <si>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</si>
  <si>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</si>
  <si>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</si>
  <si>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</si>
  <si>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</si>
  <si>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</si>
  <si>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</si>
  <si>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</si>
  <si>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</si>
  <si>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</si>
  <si>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</si>
  <si>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</si>
  <si>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</si>
  <si>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</si>
  <si>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</si>
  <si>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</si>
  <si>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</si>
  <si>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</si>
  <si>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</si>
  <si>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</si>
  <si>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</si>
  <si>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</si>
  <si>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</si>
  <si>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</si>
  <si>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</si>
  <si>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</si>
  <si>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</si>
  <si>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</si>
  <si>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</si>
  <si>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</si>
  <si>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</si>
  <si>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</si>
  <si>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</si>
  <si>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</si>
  <si>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</si>
  <si>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</si>
  <si>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</si>
  <si>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</si>
  <si>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</si>
  <si>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</si>
  <si>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</si>
  <si>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</si>
  <si>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</si>
  <si>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</si>
  <si>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</si>
  <si>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</si>
  <si>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</si>
  <si>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</si>
  <si>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</si>
  <si>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</si>
  <si>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</si>
  <si>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</si>
  <si>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</si>
  <si>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</si>
  <si>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</si>
  <si>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</si>
  <si>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</si>
  <si>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</si>
  <si>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</si>
  <si>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</si>
  <si>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</si>
  <si>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</si>
  <si>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</si>
  <si>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</si>
  <si>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</si>
  <si>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</si>
  <si>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</si>
  <si>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</si>
  <si>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</si>
  <si>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</si>
  <si>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</si>
  <si>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</si>
  <si>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</si>
  <si>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</si>
  <si>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</si>
  <si>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</si>
  <si>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</si>
  <si>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</si>
  <si>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</si>
  <si>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</si>
  <si>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</si>
  <si>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</si>
  <si>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</si>
  <si>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</si>
  <si>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</si>
  <si>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</si>
  <si>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</si>
  <si>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</si>
  <si>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</si>
  <si>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</si>
  <si>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</si>
  <si>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</si>
  <si>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</si>
  <si>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</si>
  <si>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</si>
  <si>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</si>
  <si>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</si>
  <si>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</si>
  <si>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</si>
  <si>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</si>
  <si>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</si>
  <si>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</si>
  <si>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</si>
  <si>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</si>
  <si>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</si>
  <si>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</si>
  <si>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</si>
  <si>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</si>
  <si>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</si>
  <si>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</si>
  <si>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</si>
  <si>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</si>
  <si>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</si>
  <si>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</si>
  <si>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</si>
  <si>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</si>
  <si>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</si>
  <si>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</si>
  <si>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</si>
  <si>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</si>
  <si>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</si>
  <si>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</si>
  <si>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</si>
  <si>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</si>
  <si>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</si>
  <si>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</si>
  <si>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</si>
  <si>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</si>
  <si>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</si>
  <si>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</si>
  <si>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</si>
  <si>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</si>
  <si>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</si>
  <si>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</si>
  <si>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</si>
  <si>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</si>
  <si>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</si>
  <si>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</si>
  <si>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</si>
  <si>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</si>
  <si>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</si>
  <si>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</si>
  <si>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</si>
  <si>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</si>
  <si>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</si>
  <si>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</si>
  <si>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</si>
  <si>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</si>
  <si>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</si>
  <si>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</si>
  <si>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</si>
  <si>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</si>
  <si>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</si>
  <si>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</si>
  <si>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</si>
  <si>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</si>
  <si>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</si>
  <si>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</si>
  <si>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</si>
  <si>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</si>
  <si>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</si>
  <si>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</si>
  <si>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</si>
  <si>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</si>
  <si>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</si>
  <si>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</si>
  <si>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</si>
  <si>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</si>
  <si>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</si>
  <si>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</si>
  <si>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</si>
  <si>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</si>
  <si>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</si>
  <si>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</si>
  <si>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</si>
  <si>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</si>
  <si>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</si>
  <si>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</si>
  <si>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</si>
  <si>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</si>
  <si>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</si>
  <si>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</si>
  <si>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</si>
  <si>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</si>
  <si>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</si>
  <si>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</si>
  <si>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</si>
  <si>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</si>
  <si>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</si>
  <si>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</si>
  <si>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</si>
  <si>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</si>
  <si>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</si>
  <si>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</si>
  <si>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</si>
  <si>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</si>
  <si>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</si>
  <si>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</si>
  <si>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</si>
  <si>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</si>
  <si>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</si>
  <si>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</si>
  <si>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</si>
  <si>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</si>
  <si>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</si>
  <si>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</si>
  <si>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</si>
  <si>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</si>
  <si>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</si>
  <si>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</si>
  <si>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</si>
  <si>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</si>
  <si>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</si>
  <si>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</si>
  <si>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</si>
  <si>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</si>
  <si>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</si>
  <si>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</si>
  <si>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</si>
  <si>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</si>
  <si>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</si>
  <si>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</si>
  <si>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</si>
  <si>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</si>
  <si>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</si>
  <si>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</si>
  <si>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</si>
  <si>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</si>
  <si>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</si>
  <si>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</si>
  <si>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</si>
  <si>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</si>
  <si>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</si>
  <si>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</si>
  <si>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</si>
  <si>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</si>
  <si>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</si>
  <si>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</si>
  <si>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</si>
  <si>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</si>
  <si>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</si>
  <si>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</si>
  <si>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</si>
  <si>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</si>
  <si>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</si>
  <si>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</si>
  <si>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</si>
  <si>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</si>
  <si>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</si>
  <si>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</si>
  <si>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</si>
  <si>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</si>
  <si>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</si>
  <si>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</si>
  <si>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</si>
  <si>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</si>
  <si>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</si>
  <si>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</si>
  <si>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</si>
  <si>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</si>
  <si>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</si>
  <si>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</si>
  <si>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</si>
  <si>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</si>
  <si>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</si>
  <si>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</si>
  <si>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</si>
  <si>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</si>
  <si>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</si>
  <si>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</si>
  <si>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</si>
  <si>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</si>
  <si>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</si>
  <si>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</si>
  <si>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</si>
  <si>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</si>
  <si>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</si>
  <si>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</si>
  <si>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</si>
  <si>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</si>
  <si>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</si>
  <si>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</si>
  <si>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</si>
  <si>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</si>
  <si>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</si>
  <si>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</si>
  <si>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</si>
  <si>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</si>
  <si>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</si>
  <si>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</si>
  <si>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</si>
  <si>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23047</t>
  </si>
  <si>
    <t>MACHELEN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</si>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</sst>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86966.208768922399</c:v>
                </c:pt>
                <c:pt idx="1">
                  <c:v>251661.08022399814</c:v>
                </c:pt>
                <c:pt idx="2">
                  <c:v>1347.6880000000001</c:v>
                </c:pt>
                <c:pt idx="3">
                  <c:v>184.85451943090138</c:v>
                </c:pt>
                <c:pt idx="4">
                  <c:v>20713.790193536643</c:v>
                </c:pt>
                <c:pt idx="5">
                  <c:v>453006.76181241003</c:v>
                </c:pt>
                <c:pt idx="6">
                  <c:v>4023.1469310933539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86966.208768922399</c:v>
                </c:pt>
                <c:pt idx="1">
                  <c:v>251661.08022399814</c:v>
                </c:pt>
                <c:pt idx="2">
                  <c:v>1347.6880000000001</c:v>
                </c:pt>
                <c:pt idx="3">
                  <c:v>184.85451943090138</c:v>
                </c:pt>
                <c:pt idx="4">
                  <c:v>20713.790193536643</c:v>
                </c:pt>
                <c:pt idx="5">
                  <c:v>453006.76181241003</c:v>
                </c:pt>
                <c:pt idx="6">
                  <c:v>4023.1469310933539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17392.600567677611</c:v>
                </c:pt>
                <c:pt idx="1">
                  <c:v>53892.310260396975</c:v>
                </c:pt>
                <c:pt idx="2">
                  <c:v>294.99225017760779</c:v>
                </c:pt>
                <c:pt idx="3">
                  <c:v>44.644727437653998</c:v>
                </c:pt>
                <c:pt idx="4">
                  <c:v>4508.740823059964</c:v>
                </c:pt>
                <c:pt idx="5">
                  <c:v>112671.48049735038</c:v>
                </c:pt>
                <c:pt idx="6">
                  <c:v>1018.8894840237227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17392.600567677611</c:v>
                </c:pt>
                <c:pt idx="1">
                  <c:v>53892.310260396975</c:v>
                </c:pt>
                <c:pt idx="2">
                  <c:v>294.99225017760779</c:v>
                </c:pt>
                <c:pt idx="3">
                  <c:v>44.644727437653998</c:v>
                </c:pt>
                <c:pt idx="4">
                  <c:v>4508.740823059964</c:v>
                </c:pt>
                <c:pt idx="5">
                  <c:v>112671.48049735038</c:v>
                </c:pt>
                <c:pt idx="6">
                  <c:v>1018.8894840237227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23047</v>
      </c>
      <c r="B6" s="392"/>
      <c r="C6" s="393"/>
    </row>
    <row r="7" spans="1:7" s="390" customFormat="1" ht="15.75" customHeight="1">
      <c r="A7" s="394" t="str">
        <f>txtMunicipality</f>
        <v>MACHELEN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147461.50189816268</v>
      </c>
      <c r="D10" s="689">
        <f ca="1">tertiair!C16</f>
        <v>0</v>
      </c>
      <c r="E10" s="689">
        <f ca="1">tertiair!D16</f>
        <v>88930.073760787185</v>
      </c>
      <c r="F10" s="689">
        <f>tertiair!E16</f>
        <v>120.36783079840387</v>
      </c>
      <c r="G10" s="689">
        <f ca="1">tertiair!F16</f>
        <v>14676.390216122172</v>
      </c>
      <c r="H10" s="689">
        <f>tertiair!G16</f>
        <v>0</v>
      </c>
      <c r="I10" s="689">
        <f>tertiair!H16</f>
        <v>0</v>
      </c>
      <c r="J10" s="689">
        <f>tertiair!I16</f>
        <v>0</v>
      </c>
      <c r="K10" s="689">
        <f>tertiair!J16</f>
        <v>2.0629024537101005E-2</v>
      </c>
      <c r="L10" s="689">
        <f>tertiair!K16</f>
        <v>0</v>
      </c>
      <c r="M10" s="689">
        <f ca="1">tertiair!L16</f>
        <v>0</v>
      </c>
      <c r="N10" s="689">
        <f>tertiair!M16</f>
        <v>0</v>
      </c>
      <c r="O10" s="689">
        <f ca="1">tertiair!N16</f>
        <v>817.27300051389102</v>
      </c>
      <c r="P10" s="689">
        <f>tertiair!O16</f>
        <v>4.8972607658411542</v>
      </c>
      <c r="Q10" s="690">
        <f>tertiair!P16</f>
        <v>998.24362782340552</v>
      </c>
      <c r="R10" s="692">
        <f ca="1">SUM(C10:Q10)</f>
        <v>253008.76822399811</v>
      </c>
      <c r="S10" s="67"/>
    </row>
    <row r="11" spans="1:19" s="451" customFormat="1">
      <c r="A11" s="811" t="s">
        <v>224</v>
      </c>
      <c r="B11" s="816"/>
      <c r="C11" s="689">
        <f>huishoudens!B8</f>
        <v>19098.114925751175</v>
      </c>
      <c r="D11" s="689">
        <f>huishoudens!C8</f>
        <v>0</v>
      </c>
      <c r="E11" s="689">
        <f>huishoudens!D8</f>
        <v>64590.801939459918</v>
      </c>
      <c r="F11" s="689">
        <f>huishoudens!E8</f>
        <v>726.50752858817498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2451.1137495301514</v>
      </c>
      <c r="P11" s="689">
        <f>huishoudens!O8</f>
        <v>57.534788362223921</v>
      </c>
      <c r="Q11" s="690">
        <f>huishoudens!P8</f>
        <v>42.135837230740094</v>
      </c>
      <c r="R11" s="692">
        <f>SUM(C11:Q11)</f>
        <v>86966.208768922399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13022.93248067019</v>
      </c>
      <c r="D13" s="689">
        <f>industrie!C18</f>
        <v>0</v>
      </c>
      <c r="E13" s="689">
        <f>industrie!D18</f>
        <v>4740.3995646367712</v>
      </c>
      <c r="F13" s="689">
        <f>industrie!E18</f>
        <v>297.37049588793798</v>
      </c>
      <c r="G13" s="689">
        <f>industrie!F18</f>
        <v>2370.0929464453229</v>
      </c>
      <c r="H13" s="689">
        <f>industrie!G18</f>
        <v>0</v>
      </c>
      <c r="I13" s="689">
        <f>industrie!H18</f>
        <v>0</v>
      </c>
      <c r="J13" s="689">
        <f>industrie!I18</f>
        <v>0</v>
      </c>
      <c r="K13" s="689">
        <f>industrie!J18</f>
        <v>0.85647636230707036</v>
      </c>
      <c r="L13" s="689">
        <f>industrie!K18</f>
        <v>0</v>
      </c>
      <c r="M13" s="689">
        <f>industrie!L18</f>
        <v>0</v>
      </c>
      <c r="N13" s="689">
        <f>industrie!M18</f>
        <v>0</v>
      </c>
      <c r="O13" s="689">
        <f>industrie!N18</f>
        <v>282.13822953411278</v>
      </c>
      <c r="P13" s="689">
        <f>industrie!O18</f>
        <v>0</v>
      </c>
      <c r="Q13" s="690">
        <f>industrie!P18</f>
        <v>0</v>
      </c>
      <c r="R13" s="692">
        <f>SUM(C13:Q13)</f>
        <v>20713.790193536643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179582.54930458404</v>
      </c>
      <c r="D16" s="725">
        <f t="shared" ref="D16:R16" ca="1" si="0">SUM(D9:D15)</f>
        <v>0</v>
      </c>
      <c r="E16" s="725">
        <f t="shared" ca="1" si="0"/>
        <v>158261.27526488388</v>
      </c>
      <c r="F16" s="725">
        <f t="shared" si="0"/>
        <v>1144.2458552745168</v>
      </c>
      <c r="G16" s="725">
        <f t="shared" ca="1" si="0"/>
        <v>17046.483162567496</v>
      </c>
      <c r="H16" s="725">
        <f t="shared" si="0"/>
        <v>0</v>
      </c>
      <c r="I16" s="725">
        <f t="shared" si="0"/>
        <v>0</v>
      </c>
      <c r="J16" s="725">
        <f t="shared" si="0"/>
        <v>0</v>
      </c>
      <c r="K16" s="725">
        <f t="shared" si="0"/>
        <v>0.87710538684417139</v>
      </c>
      <c r="L16" s="725">
        <f t="shared" si="0"/>
        <v>0</v>
      </c>
      <c r="M16" s="725">
        <f t="shared" ca="1" si="0"/>
        <v>0</v>
      </c>
      <c r="N16" s="725">
        <f t="shared" si="0"/>
        <v>0</v>
      </c>
      <c r="O16" s="725">
        <f t="shared" ca="1" si="0"/>
        <v>3550.5249795781551</v>
      </c>
      <c r="P16" s="725">
        <f t="shared" si="0"/>
        <v>62.432049128065074</v>
      </c>
      <c r="Q16" s="725">
        <f t="shared" si="0"/>
        <v>1040.3794650541456</v>
      </c>
      <c r="R16" s="725">
        <f t="shared" ca="1" si="0"/>
        <v>360688.76718645717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3816.0654832349164</v>
      </c>
      <c r="I19" s="689">
        <f>transport!H54</f>
        <v>0</v>
      </c>
      <c r="J19" s="689">
        <f>transport!I54</f>
        <v>0</v>
      </c>
      <c r="K19" s="689">
        <f>transport!J54</f>
        <v>0</v>
      </c>
      <c r="L19" s="689">
        <f>transport!K54</f>
        <v>0</v>
      </c>
      <c r="M19" s="689">
        <f>transport!L54</f>
        <v>0</v>
      </c>
      <c r="N19" s="689">
        <f>transport!M54</f>
        <v>207.08144785843754</v>
      </c>
      <c r="O19" s="689">
        <f>transport!N54</f>
        <v>0</v>
      </c>
      <c r="P19" s="689">
        <f>transport!O54</f>
        <v>0</v>
      </c>
      <c r="Q19" s="690">
        <f>transport!P54</f>
        <v>0</v>
      </c>
      <c r="R19" s="692">
        <f>SUM(C19:Q19)</f>
        <v>4023.1469310933539</v>
      </c>
      <c r="S19" s="67"/>
    </row>
    <row r="20" spans="1:19" s="451" customFormat="1">
      <c r="A20" s="811" t="s">
        <v>306</v>
      </c>
      <c r="B20" s="816"/>
      <c r="C20" s="689">
        <f>transport!B14</f>
        <v>325.82529279131904</v>
      </c>
      <c r="D20" s="689">
        <f>transport!C14</f>
        <v>0</v>
      </c>
      <c r="E20" s="689">
        <f>transport!D14</f>
        <v>1235.2692134605522</v>
      </c>
      <c r="F20" s="689">
        <f>transport!E14</f>
        <v>793.72148149300176</v>
      </c>
      <c r="G20" s="689">
        <f>transport!F14</f>
        <v>0</v>
      </c>
      <c r="H20" s="689">
        <f>transport!G14</f>
        <v>344063.14570247201</v>
      </c>
      <c r="I20" s="689">
        <f>transport!H14</f>
        <v>81548.603642236674</v>
      </c>
      <c r="J20" s="689">
        <f>transport!I14</f>
        <v>0</v>
      </c>
      <c r="K20" s="689">
        <f>transport!J14</f>
        <v>0</v>
      </c>
      <c r="L20" s="689">
        <f>transport!K14</f>
        <v>0</v>
      </c>
      <c r="M20" s="689">
        <f>transport!L14</f>
        <v>0</v>
      </c>
      <c r="N20" s="689">
        <f>transport!M14</f>
        <v>25040.196479956434</v>
      </c>
      <c r="O20" s="689">
        <f>transport!N14</f>
        <v>0</v>
      </c>
      <c r="P20" s="689">
        <f>transport!O14</f>
        <v>0</v>
      </c>
      <c r="Q20" s="690">
        <f>transport!P14</f>
        <v>0</v>
      </c>
      <c r="R20" s="692">
        <f>SUM(C20:Q20)</f>
        <v>453006.76181241003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325.82529279131904</v>
      </c>
      <c r="D22" s="814">
        <f t="shared" ref="D22:R22" si="1">SUM(D18:D21)</f>
        <v>0</v>
      </c>
      <c r="E22" s="814">
        <f t="shared" si="1"/>
        <v>1235.2692134605522</v>
      </c>
      <c r="F22" s="814">
        <f t="shared" si="1"/>
        <v>793.72148149300176</v>
      </c>
      <c r="G22" s="814">
        <f t="shared" si="1"/>
        <v>0</v>
      </c>
      <c r="H22" s="814">
        <f t="shared" si="1"/>
        <v>347879.21118570695</v>
      </c>
      <c r="I22" s="814">
        <f t="shared" si="1"/>
        <v>81548.603642236674</v>
      </c>
      <c r="J22" s="814">
        <f t="shared" si="1"/>
        <v>0</v>
      </c>
      <c r="K22" s="814">
        <f t="shared" si="1"/>
        <v>0</v>
      </c>
      <c r="L22" s="814">
        <f t="shared" si="1"/>
        <v>0</v>
      </c>
      <c r="M22" s="814">
        <f t="shared" si="1"/>
        <v>0</v>
      </c>
      <c r="N22" s="814">
        <f t="shared" si="1"/>
        <v>25247.27792781487</v>
      </c>
      <c r="O22" s="814">
        <f t="shared" si="1"/>
        <v>0</v>
      </c>
      <c r="P22" s="814">
        <f t="shared" si="1"/>
        <v>0</v>
      </c>
      <c r="Q22" s="814">
        <f t="shared" si="1"/>
        <v>0</v>
      </c>
      <c r="R22" s="814">
        <f t="shared" si="1"/>
        <v>457029.90874350339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27.192687212416601</v>
      </c>
      <c r="D24" s="689">
        <f>+landbouw!C8</f>
        <v>0</v>
      </c>
      <c r="E24" s="689">
        <f>+landbouw!D8</f>
        <v>61.285934109773876</v>
      </c>
      <c r="F24" s="689">
        <f>+landbouw!E8</f>
        <v>1.0140984826477375</v>
      </c>
      <c r="G24" s="689">
        <f>+landbouw!F8</f>
        <v>88.223584985032318</v>
      </c>
      <c r="H24" s="689">
        <f>+landbouw!G8</f>
        <v>0</v>
      </c>
      <c r="I24" s="689">
        <f>+landbouw!H8</f>
        <v>0</v>
      </c>
      <c r="J24" s="689">
        <f>+landbouw!I8</f>
        <v>0</v>
      </c>
      <c r="K24" s="689">
        <f>+landbouw!J8</f>
        <v>7.1382146410308387</v>
      </c>
      <c r="L24" s="689">
        <f>+landbouw!K8</f>
        <v>0</v>
      </c>
      <c r="M24" s="689">
        <f>+landbouw!L8</f>
        <v>0</v>
      </c>
      <c r="N24" s="689">
        <f>+landbouw!M8</f>
        <v>0</v>
      </c>
      <c r="O24" s="689">
        <f>+landbouw!N8</f>
        <v>0</v>
      </c>
      <c r="P24" s="689">
        <f>+landbouw!O8</f>
        <v>0</v>
      </c>
      <c r="Q24" s="690">
        <f>+landbouw!P8</f>
        <v>0</v>
      </c>
      <c r="R24" s="692">
        <f>SUM(C24:Q24)</f>
        <v>184.85451943090138</v>
      </c>
      <c r="S24" s="67"/>
    </row>
    <row r="25" spans="1:19" s="451" customFormat="1" ht="15" thickBot="1">
      <c r="A25" s="833" t="s">
        <v>714</v>
      </c>
      <c r="B25" s="947"/>
      <c r="C25" s="948">
        <f>IF(Onbekend_ele_kWh="---",0,Onbekend_ele_kWh)/1000+IF(REST_rest_ele_kWh="---",0,REST_rest_ele_kWh)/1000</f>
        <v>1407.5913366004602</v>
      </c>
      <c r="D25" s="948"/>
      <c r="E25" s="948">
        <f>IF(onbekend_gas_kWh="---",0,onbekend_gas_kWh)/1000+IF(REST_rest_gas_kWh="---",0,REST_rest_gas_kWh)/1000</f>
        <v>2874.55004469494</v>
      </c>
      <c r="F25" s="948"/>
      <c r="G25" s="948"/>
      <c r="H25" s="948"/>
      <c r="I25" s="948"/>
      <c r="J25" s="948"/>
      <c r="K25" s="948"/>
      <c r="L25" s="948"/>
      <c r="M25" s="948"/>
      <c r="N25" s="948"/>
      <c r="O25" s="948"/>
      <c r="P25" s="948"/>
      <c r="Q25" s="949"/>
      <c r="R25" s="692">
        <f>SUM(C25:Q25)</f>
        <v>4282.1413812953997</v>
      </c>
      <c r="S25" s="67"/>
    </row>
    <row r="26" spans="1:19" s="451" customFormat="1" ht="15.75" thickBot="1">
      <c r="A26" s="697" t="s">
        <v>715</v>
      </c>
      <c r="B26" s="819"/>
      <c r="C26" s="814">
        <f>SUM(C24:C25)</f>
        <v>1434.7840238128767</v>
      </c>
      <c r="D26" s="814">
        <f t="shared" ref="D26:R26" si="2">SUM(D24:D25)</f>
        <v>0</v>
      </c>
      <c r="E26" s="814">
        <f t="shared" si="2"/>
        <v>2935.8359788047137</v>
      </c>
      <c r="F26" s="814">
        <f t="shared" si="2"/>
        <v>1.0140984826477375</v>
      </c>
      <c r="G26" s="814">
        <f t="shared" si="2"/>
        <v>88.223584985032318</v>
      </c>
      <c r="H26" s="814">
        <f t="shared" si="2"/>
        <v>0</v>
      </c>
      <c r="I26" s="814">
        <f t="shared" si="2"/>
        <v>0</v>
      </c>
      <c r="J26" s="814">
        <f t="shared" si="2"/>
        <v>0</v>
      </c>
      <c r="K26" s="814">
        <f t="shared" si="2"/>
        <v>7.1382146410308387</v>
      </c>
      <c r="L26" s="814">
        <f t="shared" si="2"/>
        <v>0</v>
      </c>
      <c r="M26" s="814">
        <f t="shared" si="2"/>
        <v>0</v>
      </c>
      <c r="N26" s="814">
        <f t="shared" si="2"/>
        <v>0</v>
      </c>
      <c r="O26" s="814">
        <f t="shared" si="2"/>
        <v>0</v>
      </c>
      <c r="P26" s="814">
        <f t="shared" si="2"/>
        <v>0</v>
      </c>
      <c r="Q26" s="814">
        <f t="shared" si="2"/>
        <v>0</v>
      </c>
      <c r="R26" s="814">
        <f t="shared" si="2"/>
        <v>4466.9959007263014</v>
      </c>
      <c r="S26" s="67"/>
    </row>
    <row r="27" spans="1:19" s="451" customFormat="1" ht="17.25" thickTop="1" thickBot="1">
      <c r="A27" s="698" t="s">
        <v>115</v>
      </c>
      <c r="B27" s="806"/>
      <c r="C27" s="699">
        <f ca="1">C22+C16+C26</f>
        <v>181343.15862118825</v>
      </c>
      <c r="D27" s="699">
        <f t="shared" ref="D27:R27" ca="1" si="3">D22+D16+D26</f>
        <v>0</v>
      </c>
      <c r="E27" s="699">
        <f t="shared" ca="1" si="3"/>
        <v>162432.38045714915</v>
      </c>
      <c r="F27" s="699">
        <f t="shared" si="3"/>
        <v>1938.9814352501664</v>
      </c>
      <c r="G27" s="699">
        <f t="shared" ca="1" si="3"/>
        <v>17134.706747552529</v>
      </c>
      <c r="H27" s="699">
        <f t="shared" si="3"/>
        <v>347879.21118570695</v>
      </c>
      <c r="I27" s="699">
        <f t="shared" si="3"/>
        <v>81548.603642236674</v>
      </c>
      <c r="J27" s="699">
        <f t="shared" si="3"/>
        <v>0</v>
      </c>
      <c r="K27" s="699">
        <f t="shared" si="3"/>
        <v>8.0153200278750099</v>
      </c>
      <c r="L27" s="699">
        <f t="shared" si="3"/>
        <v>0</v>
      </c>
      <c r="M27" s="699">
        <f t="shared" ca="1" si="3"/>
        <v>0</v>
      </c>
      <c r="N27" s="699">
        <f t="shared" si="3"/>
        <v>25247.27792781487</v>
      </c>
      <c r="O27" s="699">
        <f t="shared" ca="1" si="3"/>
        <v>3550.5249795781551</v>
      </c>
      <c r="P27" s="699">
        <f t="shared" si="3"/>
        <v>62.432049128065074</v>
      </c>
      <c r="Q27" s="699">
        <f t="shared" si="3"/>
        <v>1040.3794650541456</v>
      </c>
      <c r="R27" s="699">
        <f t="shared" ca="1" si="3"/>
        <v>822185.67183068686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32277.500622925032</v>
      </c>
      <c r="D40" s="689">
        <f ca="1">tertiair!C20</f>
        <v>0</v>
      </c>
      <c r="E40" s="689">
        <f ca="1">tertiair!D20</f>
        <v>17963.874899679013</v>
      </c>
      <c r="F40" s="689">
        <f>tertiair!E20</f>
        <v>27.323497591237679</v>
      </c>
      <c r="G40" s="689">
        <f ca="1">tertiair!F20</f>
        <v>3918.5961877046202</v>
      </c>
      <c r="H40" s="689">
        <f>tertiair!G20</f>
        <v>0</v>
      </c>
      <c r="I40" s="689">
        <f>tertiair!H20</f>
        <v>0</v>
      </c>
      <c r="J40" s="689">
        <f>tertiair!I20</f>
        <v>0</v>
      </c>
      <c r="K40" s="689">
        <f>tertiair!J20</f>
        <v>7.3026746861337552E-3</v>
      </c>
      <c r="L40" s="689">
        <f>tertiair!K20</f>
        <v>0</v>
      </c>
      <c r="M40" s="689">
        <f ca="1">tertiair!L20</f>
        <v>0</v>
      </c>
      <c r="N40" s="689">
        <f>tertiair!M20</f>
        <v>0</v>
      </c>
      <c r="O40" s="689">
        <f ca="1">tertiair!N20</f>
        <v>0</v>
      </c>
      <c r="P40" s="689">
        <f>tertiair!O20</f>
        <v>0</v>
      </c>
      <c r="Q40" s="772">
        <f>tertiair!P20</f>
        <v>0</v>
      </c>
      <c r="R40" s="852">
        <f t="shared" ca="1" si="4"/>
        <v>54187.302510574584</v>
      </c>
    </row>
    <row r="41" spans="1:18">
      <c r="A41" s="824" t="s">
        <v>224</v>
      </c>
      <c r="B41" s="831"/>
      <c r="C41" s="689">
        <f ca="1">huishoudens!B12</f>
        <v>4180.3413669171914</v>
      </c>
      <c r="D41" s="689">
        <f ca="1">huishoudens!C12</f>
        <v>0</v>
      </c>
      <c r="E41" s="689">
        <f>huishoudens!D12</f>
        <v>13047.341991770903</v>
      </c>
      <c r="F41" s="689">
        <f>huishoudens!E12</f>
        <v>164.91720898951573</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17392.600567677611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2850.5589991036163</v>
      </c>
      <c r="D43" s="689">
        <f ca="1">industrie!C22</f>
        <v>0</v>
      </c>
      <c r="E43" s="689">
        <f>industrie!D22</f>
        <v>957.56071205662784</v>
      </c>
      <c r="F43" s="689">
        <f>industrie!E22</f>
        <v>67.503102566561921</v>
      </c>
      <c r="G43" s="689">
        <f>industrie!F22</f>
        <v>632.81481670090125</v>
      </c>
      <c r="H43" s="689">
        <f>industrie!G22</f>
        <v>0</v>
      </c>
      <c r="I43" s="689">
        <f>industrie!H22</f>
        <v>0</v>
      </c>
      <c r="J43" s="689">
        <f>industrie!I22</f>
        <v>0</v>
      </c>
      <c r="K43" s="689">
        <f>industrie!J22</f>
        <v>0.3031926322567029</v>
      </c>
      <c r="L43" s="689">
        <f>industrie!K22</f>
        <v>0</v>
      </c>
      <c r="M43" s="689">
        <f>industrie!L22</f>
        <v>0</v>
      </c>
      <c r="N43" s="689">
        <f>industrie!M22</f>
        <v>0</v>
      </c>
      <c r="O43" s="689">
        <f>industrie!N22</f>
        <v>0</v>
      </c>
      <c r="P43" s="689">
        <f>industrie!O22</f>
        <v>0</v>
      </c>
      <c r="Q43" s="772">
        <f>industrie!P22</f>
        <v>0</v>
      </c>
      <c r="R43" s="851">
        <f t="shared" ca="1" si="4"/>
        <v>4508.740823059964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39308.400988945839</v>
      </c>
      <c r="D46" s="725">
        <f t="shared" ref="D46:Q46" ca="1" si="5">SUM(D39:D45)</f>
        <v>0</v>
      </c>
      <c r="E46" s="725">
        <f t="shared" ca="1" si="5"/>
        <v>31968.777603506544</v>
      </c>
      <c r="F46" s="725">
        <f t="shared" si="5"/>
        <v>259.74380914731535</v>
      </c>
      <c r="G46" s="725">
        <f t="shared" ca="1" si="5"/>
        <v>4551.4110044055215</v>
      </c>
      <c r="H46" s="725">
        <f t="shared" si="5"/>
        <v>0</v>
      </c>
      <c r="I46" s="725">
        <f t="shared" si="5"/>
        <v>0</v>
      </c>
      <c r="J46" s="725">
        <f t="shared" si="5"/>
        <v>0</v>
      </c>
      <c r="K46" s="725">
        <f t="shared" si="5"/>
        <v>0.31049530694283667</v>
      </c>
      <c r="L46" s="725">
        <f t="shared" si="5"/>
        <v>0</v>
      </c>
      <c r="M46" s="725">
        <f t="shared" ca="1" si="5"/>
        <v>0</v>
      </c>
      <c r="N46" s="725">
        <f t="shared" si="5"/>
        <v>0</v>
      </c>
      <c r="O46" s="725">
        <f t="shared" ca="1" si="5"/>
        <v>0</v>
      </c>
      <c r="P46" s="725">
        <f t="shared" si="5"/>
        <v>0</v>
      </c>
      <c r="Q46" s="725">
        <f t="shared" si="5"/>
        <v>0</v>
      </c>
      <c r="R46" s="725">
        <f ca="1">SUM(R39:R45)</f>
        <v>76088.643901312156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1018.8894840237227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1018.8894840237227</v>
      </c>
    </row>
    <row r="50" spans="1:18">
      <c r="A50" s="827" t="s">
        <v>306</v>
      </c>
      <c r="B50" s="837"/>
      <c r="C50" s="695">
        <f ca="1">transport!B18</f>
        <v>71.319130455483077</v>
      </c>
      <c r="D50" s="695">
        <f>transport!C18</f>
        <v>0</v>
      </c>
      <c r="E50" s="695">
        <f>transport!D18</f>
        <v>249.52438111903157</v>
      </c>
      <c r="F50" s="695">
        <f>transport!E18</f>
        <v>180.17477629891141</v>
      </c>
      <c r="G50" s="695">
        <f>transport!F18</f>
        <v>0</v>
      </c>
      <c r="H50" s="695">
        <f>transport!G18</f>
        <v>91864.859902560027</v>
      </c>
      <c r="I50" s="695">
        <f>transport!H18</f>
        <v>20305.602306916931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112671.48049735038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71.319130455483077</v>
      </c>
      <c r="D52" s="725">
        <f t="shared" ref="D52:Q52" ca="1" si="6">SUM(D48:D51)</f>
        <v>0</v>
      </c>
      <c r="E52" s="725">
        <f t="shared" si="6"/>
        <v>249.52438111903157</v>
      </c>
      <c r="F52" s="725">
        <f t="shared" si="6"/>
        <v>180.17477629891141</v>
      </c>
      <c r="G52" s="725">
        <f t="shared" si="6"/>
        <v>0</v>
      </c>
      <c r="H52" s="725">
        <f t="shared" si="6"/>
        <v>92883.749386583746</v>
      </c>
      <c r="I52" s="725">
        <f t="shared" si="6"/>
        <v>20305.602306916931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113690.3699813741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5.9521432179900939</v>
      </c>
      <c r="D54" s="695">
        <f ca="1">+landbouw!C12</f>
        <v>0</v>
      </c>
      <c r="E54" s="695">
        <f>+landbouw!D12</f>
        <v>12.379758690174324</v>
      </c>
      <c r="F54" s="695">
        <f>+landbouw!E12</f>
        <v>0.23020035556103641</v>
      </c>
      <c r="G54" s="695">
        <f>+landbouw!F12</f>
        <v>23.555697191003631</v>
      </c>
      <c r="H54" s="695">
        <f>+landbouw!G12</f>
        <v>0</v>
      </c>
      <c r="I54" s="695">
        <f>+landbouw!H12</f>
        <v>0</v>
      </c>
      <c r="J54" s="695">
        <f>+landbouw!I12</f>
        <v>0</v>
      </c>
      <c r="K54" s="695">
        <f>+landbouw!J12</f>
        <v>2.5269279829249167</v>
      </c>
      <c r="L54" s="695">
        <f>+landbouw!K12</f>
        <v>0</v>
      </c>
      <c r="M54" s="695">
        <f>+landbouw!L12</f>
        <v>0</v>
      </c>
      <c r="N54" s="695">
        <f>+landbouw!M12</f>
        <v>0</v>
      </c>
      <c r="O54" s="695">
        <f>+landbouw!N12</f>
        <v>0</v>
      </c>
      <c r="P54" s="695">
        <f>+landbouw!O12</f>
        <v>0</v>
      </c>
      <c r="Q54" s="696">
        <f>+landbouw!P12</f>
        <v>0</v>
      </c>
      <c r="R54" s="724">
        <f ca="1">SUM(C54:Q54)</f>
        <v>44.644727437653998</v>
      </c>
    </row>
    <row r="55" spans="1:18" ht="15" thickBot="1">
      <c r="A55" s="827" t="s">
        <v>714</v>
      </c>
      <c r="B55" s="837"/>
      <c r="C55" s="695">
        <f ca="1">C25*'EF ele_warmte'!B12</f>
        <v>308.10435034984079</v>
      </c>
      <c r="D55" s="695"/>
      <c r="E55" s="695">
        <f>E25*EF_CO2_aardgas</f>
        <v>580.65910902837788</v>
      </c>
      <c r="F55" s="695"/>
      <c r="G55" s="695"/>
      <c r="H55" s="695"/>
      <c r="I55" s="695"/>
      <c r="J55" s="695"/>
      <c r="K55" s="695"/>
      <c r="L55" s="695"/>
      <c r="M55" s="695"/>
      <c r="N55" s="695"/>
      <c r="O55" s="695"/>
      <c r="P55" s="695"/>
      <c r="Q55" s="696"/>
      <c r="R55" s="724">
        <f ca="1">SUM(C55:Q55)</f>
        <v>888.76345937821861</v>
      </c>
    </row>
    <row r="56" spans="1:18" ht="15.75" thickBot="1">
      <c r="A56" s="825" t="s">
        <v>715</v>
      </c>
      <c r="B56" s="838"/>
      <c r="C56" s="725">
        <f ca="1">SUM(C54:C55)</f>
        <v>314.0564935678309</v>
      </c>
      <c r="D56" s="725">
        <f t="shared" ref="D56:Q56" ca="1" si="7">SUM(D54:D55)</f>
        <v>0</v>
      </c>
      <c r="E56" s="725">
        <f t="shared" si="7"/>
        <v>593.03886771855218</v>
      </c>
      <c r="F56" s="725">
        <f t="shared" si="7"/>
        <v>0.23020035556103641</v>
      </c>
      <c r="G56" s="725">
        <f t="shared" si="7"/>
        <v>23.555697191003631</v>
      </c>
      <c r="H56" s="725">
        <f t="shared" si="7"/>
        <v>0</v>
      </c>
      <c r="I56" s="725">
        <f t="shared" si="7"/>
        <v>0</v>
      </c>
      <c r="J56" s="725">
        <f t="shared" si="7"/>
        <v>0</v>
      </c>
      <c r="K56" s="725">
        <f t="shared" si="7"/>
        <v>2.5269279829249167</v>
      </c>
      <c r="L56" s="725">
        <f t="shared" si="7"/>
        <v>0</v>
      </c>
      <c r="M56" s="725">
        <f t="shared" si="7"/>
        <v>0</v>
      </c>
      <c r="N56" s="725">
        <f t="shared" si="7"/>
        <v>0</v>
      </c>
      <c r="O56" s="725">
        <f t="shared" si="7"/>
        <v>0</v>
      </c>
      <c r="P56" s="725">
        <f t="shared" si="7"/>
        <v>0</v>
      </c>
      <c r="Q56" s="726">
        <f t="shared" si="7"/>
        <v>0</v>
      </c>
      <c r="R56" s="727">
        <f ca="1">SUM(R54:R55)</f>
        <v>933.40818681587257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39693.776612969159</v>
      </c>
      <c r="D61" s="733">
        <f t="shared" ref="D61:Q61" ca="1" si="8">D46+D52+D56</f>
        <v>0</v>
      </c>
      <c r="E61" s="733">
        <f t="shared" ca="1" si="8"/>
        <v>32811.340852344125</v>
      </c>
      <c r="F61" s="733">
        <f t="shared" si="8"/>
        <v>440.14878580178777</v>
      </c>
      <c r="G61" s="733">
        <f t="shared" ca="1" si="8"/>
        <v>4574.9667015965251</v>
      </c>
      <c r="H61" s="733">
        <f t="shared" si="8"/>
        <v>92883.749386583746</v>
      </c>
      <c r="I61" s="733">
        <f t="shared" si="8"/>
        <v>20305.602306916931</v>
      </c>
      <c r="J61" s="733">
        <f t="shared" si="8"/>
        <v>0</v>
      </c>
      <c r="K61" s="733">
        <f t="shared" si="8"/>
        <v>2.8374232898677532</v>
      </c>
      <c r="L61" s="733">
        <f t="shared" si="8"/>
        <v>0</v>
      </c>
      <c r="M61" s="733">
        <f t="shared" ca="1" si="8"/>
        <v>0</v>
      </c>
      <c r="N61" s="733">
        <f t="shared" si="8"/>
        <v>0</v>
      </c>
      <c r="O61" s="733">
        <f t="shared" ca="1" si="8"/>
        <v>0</v>
      </c>
      <c r="P61" s="733">
        <f t="shared" si="8"/>
        <v>0</v>
      </c>
      <c r="Q61" s="733">
        <f t="shared" si="8"/>
        <v>0</v>
      </c>
      <c r="R61" s="733">
        <f ca="1">R46+R52+R56</f>
        <v>190712.42206950215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0.21888764326580618</v>
      </c>
      <c r="D63" s="779">
        <f t="shared" ca="1" si="9"/>
        <v>0</v>
      </c>
      <c r="E63" s="973">
        <f t="shared" ca="1" si="9"/>
        <v>0.20199999999999999</v>
      </c>
      <c r="F63" s="779">
        <f t="shared" si="9"/>
        <v>0.22699999999999998</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1733.309693726042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1733.309693726042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19098.114925751175</v>
      </c>
      <c r="C4" s="455">
        <f>huishoudens!C8</f>
        <v>0</v>
      </c>
      <c r="D4" s="455">
        <f>huishoudens!D8</f>
        <v>64590.801939459918</v>
      </c>
      <c r="E4" s="455">
        <f>huishoudens!E8</f>
        <v>726.50752858817498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2451.1137495301514</v>
      </c>
      <c r="O4" s="455">
        <f>huishoudens!O8</f>
        <v>57.534788362223921</v>
      </c>
      <c r="P4" s="456">
        <f>huishoudens!P8</f>
        <v>42.135837230740094</v>
      </c>
      <c r="Q4" s="457">
        <f>SUM(B4:P4)</f>
        <v>86966.208768922399</v>
      </c>
    </row>
    <row r="5" spans="1:17">
      <c r="A5" s="454" t="s">
        <v>155</v>
      </c>
      <c r="B5" s="455">
        <f ca="1">tertiair!B16</f>
        <v>146113.81389816268</v>
      </c>
      <c r="C5" s="455">
        <f ca="1">tertiair!C16</f>
        <v>0</v>
      </c>
      <c r="D5" s="455">
        <f ca="1">tertiair!D16</f>
        <v>88930.073760787185</v>
      </c>
      <c r="E5" s="455">
        <f>tertiair!E16</f>
        <v>120.36783079840387</v>
      </c>
      <c r="F5" s="455">
        <f ca="1">tertiair!F16</f>
        <v>14676.390216122172</v>
      </c>
      <c r="G5" s="455">
        <f>tertiair!G16</f>
        <v>0</v>
      </c>
      <c r="H5" s="455">
        <f>tertiair!H16</f>
        <v>0</v>
      </c>
      <c r="I5" s="455">
        <f>tertiair!I16</f>
        <v>0</v>
      </c>
      <c r="J5" s="455">
        <f>tertiair!J16</f>
        <v>2.0629024537101005E-2</v>
      </c>
      <c r="K5" s="455">
        <f>tertiair!K16</f>
        <v>0</v>
      </c>
      <c r="L5" s="455">
        <f ca="1">tertiair!L16</f>
        <v>0</v>
      </c>
      <c r="M5" s="455">
        <f>tertiair!M16</f>
        <v>0</v>
      </c>
      <c r="N5" s="455">
        <f ca="1">tertiair!N16</f>
        <v>817.27300051389102</v>
      </c>
      <c r="O5" s="455">
        <f>tertiair!O16</f>
        <v>4.8972607658411542</v>
      </c>
      <c r="P5" s="456">
        <f>tertiair!P16</f>
        <v>998.24362782340552</v>
      </c>
      <c r="Q5" s="454">
        <f t="shared" ref="Q5:Q14" ca="1" si="0">SUM(B5:P5)</f>
        <v>251661.08022399814</v>
      </c>
    </row>
    <row r="6" spans="1:17">
      <c r="A6" s="454" t="s">
        <v>193</v>
      </c>
      <c r="B6" s="455">
        <f>'openbare verlichting'!B8</f>
        <v>1347.6880000000001</v>
      </c>
      <c r="C6" s="455"/>
      <c r="D6" s="455"/>
      <c r="E6" s="455"/>
      <c r="F6" s="455"/>
      <c r="G6" s="455"/>
      <c r="H6" s="455"/>
      <c r="I6" s="455"/>
      <c r="J6" s="455"/>
      <c r="K6" s="455"/>
      <c r="L6" s="455"/>
      <c r="M6" s="455"/>
      <c r="N6" s="455"/>
      <c r="O6" s="455"/>
      <c r="P6" s="456"/>
      <c r="Q6" s="454">
        <f t="shared" si="0"/>
        <v>1347.6880000000001</v>
      </c>
    </row>
    <row r="7" spans="1:17">
      <c r="A7" s="454" t="s">
        <v>111</v>
      </c>
      <c r="B7" s="455">
        <f>landbouw!B8</f>
        <v>27.192687212416601</v>
      </c>
      <c r="C7" s="455">
        <f>landbouw!C8</f>
        <v>0</v>
      </c>
      <c r="D7" s="455">
        <f>landbouw!D8</f>
        <v>61.285934109773876</v>
      </c>
      <c r="E7" s="455">
        <f>landbouw!E8</f>
        <v>1.0140984826477375</v>
      </c>
      <c r="F7" s="455">
        <f>landbouw!F8</f>
        <v>88.223584985032318</v>
      </c>
      <c r="G7" s="455">
        <f>landbouw!G8</f>
        <v>0</v>
      </c>
      <c r="H7" s="455">
        <f>landbouw!H8</f>
        <v>0</v>
      </c>
      <c r="I7" s="455">
        <f>landbouw!I8</f>
        <v>0</v>
      </c>
      <c r="J7" s="455">
        <f>landbouw!J8</f>
        <v>7.1382146410308387</v>
      </c>
      <c r="K7" s="455">
        <f>landbouw!K8</f>
        <v>0</v>
      </c>
      <c r="L7" s="455">
        <f>landbouw!L8</f>
        <v>0</v>
      </c>
      <c r="M7" s="455">
        <f>landbouw!M8</f>
        <v>0</v>
      </c>
      <c r="N7" s="455">
        <f>landbouw!N8</f>
        <v>0</v>
      </c>
      <c r="O7" s="455">
        <f>landbouw!O8</f>
        <v>0</v>
      </c>
      <c r="P7" s="456">
        <f>landbouw!P8</f>
        <v>0</v>
      </c>
      <c r="Q7" s="454">
        <f t="shared" si="0"/>
        <v>184.85451943090138</v>
      </c>
    </row>
    <row r="8" spans="1:17">
      <c r="A8" s="454" t="s">
        <v>626</v>
      </c>
      <c r="B8" s="455">
        <f>industrie!B18</f>
        <v>13022.93248067019</v>
      </c>
      <c r="C8" s="455">
        <f>industrie!C18</f>
        <v>0</v>
      </c>
      <c r="D8" s="455">
        <f>industrie!D18</f>
        <v>4740.3995646367712</v>
      </c>
      <c r="E8" s="455">
        <f>industrie!E18</f>
        <v>297.37049588793798</v>
      </c>
      <c r="F8" s="455">
        <f>industrie!F18</f>
        <v>2370.0929464453229</v>
      </c>
      <c r="G8" s="455">
        <f>industrie!G18</f>
        <v>0</v>
      </c>
      <c r="H8" s="455">
        <f>industrie!H18</f>
        <v>0</v>
      </c>
      <c r="I8" s="455">
        <f>industrie!I18</f>
        <v>0</v>
      </c>
      <c r="J8" s="455">
        <f>industrie!J18</f>
        <v>0.85647636230707036</v>
      </c>
      <c r="K8" s="455">
        <f>industrie!K18</f>
        <v>0</v>
      </c>
      <c r="L8" s="455">
        <f>industrie!L18</f>
        <v>0</v>
      </c>
      <c r="M8" s="455">
        <f>industrie!M18</f>
        <v>0</v>
      </c>
      <c r="N8" s="455">
        <f>industrie!N18</f>
        <v>282.13822953411278</v>
      </c>
      <c r="O8" s="455">
        <f>industrie!O18</f>
        <v>0</v>
      </c>
      <c r="P8" s="456">
        <f>industrie!P18</f>
        <v>0</v>
      </c>
      <c r="Q8" s="454">
        <f t="shared" si="0"/>
        <v>20713.790193536643</v>
      </c>
    </row>
    <row r="9" spans="1:17" s="460" customFormat="1">
      <c r="A9" s="458" t="s">
        <v>552</v>
      </c>
      <c r="B9" s="459">
        <f>transport!B14</f>
        <v>325.82529279131904</v>
      </c>
      <c r="C9" s="459">
        <f>transport!C14</f>
        <v>0</v>
      </c>
      <c r="D9" s="459">
        <f>transport!D14</f>
        <v>1235.2692134605522</v>
      </c>
      <c r="E9" s="459">
        <f>transport!E14</f>
        <v>793.72148149300176</v>
      </c>
      <c r="F9" s="459">
        <f>transport!F14</f>
        <v>0</v>
      </c>
      <c r="G9" s="459">
        <f>transport!G14</f>
        <v>344063.14570247201</v>
      </c>
      <c r="H9" s="459">
        <f>transport!H14</f>
        <v>81548.603642236674</v>
      </c>
      <c r="I9" s="459">
        <f>transport!I14</f>
        <v>0</v>
      </c>
      <c r="J9" s="459">
        <f>transport!J14</f>
        <v>0</v>
      </c>
      <c r="K9" s="459">
        <f>transport!K14</f>
        <v>0</v>
      </c>
      <c r="L9" s="459">
        <f>transport!L14</f>
        <v>0</v>
      </c>
      <c r="M9" s="459">
        <f>transport!M14</f>
        <v>25040.196479956434</v>
      </c>
      <c r="N9" s="459">
        <f>transport!N14</f>
        <v>0</v>
      </c>
      <c r="O9" s="459">
        <f>transport!O14</f>
        <v>0</v>
      </c>
      <c r="P9" s="459">
        <f>transport!P14</f>
        <v>0</v>
      </c>
      <c r="Q9" s="458">
        <f>SUM(B9:P9)</f>
        <v>453006.76181241003</v>
      </c>
    </row>
    <row r="10" spans="1:17">
      <c r="A10" s="454" t="s">
        <v>542</v>
      </c>
      <c r="B10" s="455">
        <f>transport!B54</f>
        <v>0</v>
      </c>
      <c r="C10" s="455">
        <f>transport!C54</f>
        <v>0</v>
      </c>
      <c r="D10" s="455">
        <f>transport!D54</f>
        <v>0</v>
      </c>
      <c r="E10" s="455">
        <f>transport!E54</f>
        <v>0</v>
      </c>
      <c r="F10" s="455">
        <f>transport!F54</f>
        <v>0</v>
      </c>
      <c r="G10" s="455">
        <f>transport!G54</f>
        <v>3816.0654832349164</v>
      </c>
      <c r="H10" s="455">
        <f>transport!H54</f>
        <v>0</v>
      </c>
      <c r="I10" s="455">
        <f>transport!I54</f>
        <v>0</v>
      </c>
      <c r="J10" s="455">
        <f>transport!J54</f>
        <v>0</v>
      </c>
      <c r="K10" s="455">
        <f>transport!K54</f>
        <v>0</v>
      </c>
      <c r="L10" s="455">
        <f>transport!L54</f>
        <v>0</v>
      </c>
      <c r="M10" s="455">
        <f>transport!M54</f>
        <v>207.08144785843754</v>
      </c>
      <c r="N10" s="455">
        <f>transport!N54</f>
        <v>0</v>
      </c>
      <c r="O10" s="455">
        <f>transport!O54</f>
        <v>0</v>
      </c>
      <c r="P10" s="456">
        <f>transport!P54</f>
        <v>0</v>
      </c>
      <c r="Q10" s="454">
        <f t="shared" si="0"/>
        <v>4023.1469310933539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1407.5913366004602</v>
      </c>
      <c r="C14" s="462"/>
      <c r="D14" s="462">
        <f>'SEAP template'!E25</f>
        <v>2874.55004469494</v>
      </c>
      <c r="E14" s="462"/>
      <c r="F14" s="462"/>
      <c r="G14" s="462"/>
      <c r="H14" s="462"/>
      <c r="I14" s="462"/>
      <c r="J14" s="462"/>
      <c r="K14" s="462"/>
      <c r="L14" s="462"/>
      <c r="M14" s="462"/>
      <c r="N14" s="462"/>
      <c r="O14" s="462"/>
      <c r="P14" s="463"/>
      <c r="Q14" s="454">
        <f t="shared" si="0"/>
        <v>4282.1413812953997</v>
      </c>
    </row>
    <row r="15" spans="1:17" s="466" customFormat="1">
      <c r="A15" s="464" t="s">
        <v>546</v>
      </c>
      <c r="B15" s="465">
        <f ca="1">SUM(B4:B14)</f>
        <v>181343.15862118822</v>
      </c>
      <c r="C15" s="465">
        <f t="shared" ref="C15:Q15" ca="1" si="1">SUM(C4:C14)</f>
        <v>0</v>
      </c>
      <c r="D15" s="465">
        <f t="shared" ca="1" si="1"/>
        <v>162432.38045714915</v>
      </c>
      <c r="E15" s="465">
        <f t="shared" si="1"/>
        <v>1938.9814352501662</v>
      </c>
      <c r="F15" s="465">
        <f t="shared" ca="1" si="1"/>
        <v>17134.706747552529</v>
      </c>
      <c r="G15" s="465">
        <f t="shared" si="1"/>
        <v>347879.21118570695</v>
      </c>
      <c r="H15" s="465">
        <f t="shared" si="1"/>
        <v>81548.603642236674</v>
      </c>
      <c r="I15" s="465">
        <f t="shared" si="1"/>
        <v>0</v>
      </c>
      <c r="J15" s="465">
        <f t="shared" si="1"/>
        <v>8.0153200278750099</v>
      </c>
      <c r="K15" s="465">
        <f t="shared" si="1"/>
        <v>0</v>
      </c>
      <c r="L15" s="465">
        <f t="shared" ca="1" si="1"/>
        <v>0</v>
      </c>
      <c r="M15" s="465">
        <f t="shared" si="1"/>
        <v>25247.27792781487</v>
      </c>
      <c r="N15" s="465">
        <f t="shared" ca="1" si="1"/>
        <v>3550.5249795781551</v>
      </c>
      <c r="O15" s="465">
        <f t="shared" si="1"/>
        <v>62.432049128065074</v>
      </c>
      <c r="P15" s="465">
        <f t="shared" si="1"/>
        <v>1040.3794650541456</v>
      </c>
      <c r="Q15" s="465">
        <f t="shared" ca="1" si="1"/>
        <v>822185.67183068686</v>
      </c>
    </row>
    <row r="17" spans="1:17">
      <c r="A17" s="467" t="s">
        <v>547</v>
      </c>
      <c r="B17" s="784">
        <f ca="1">huishoudens!B10</f>
        <v>0.21888764326580615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4180.3413669171914</v>
      </c>
      <c r="C22" s="455">
        <f t="shared" ref="C22:C32" ca="1" si="3">C4*$C$17</f>
        <v>0</v>
      </c>
      <c r="D22" s="455">
        <f t="shared" ref="D22:D32" si="4">D4*$D$17</f>
        <v>13047.341991770903</v>
      </c>
      <c r="E22" s="455">
        <f t="shared" ref="E22:E32" si="5">E4*$E$17</f>
        <v>164.91720898951573</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17392.600567677611</v>
      </c>
    </row>
    <row r="23" spans="1:17">
      <c r="A23" s="454" t="s">
        <v>155</v>
      </c>
      <c r="B23" s="455">
        <f t="shared" ca="1" si="2"/>
        <v>31982.508372747423</v>
      </c>
      <c r="C23" s="455">
        <f t="shared" ca="1" si="3"/>
        <v>0</v>
      </c>
      <c r="D23" s="455">
        <f t="shared" ca="1" si="4"/>
        <v>17963.874899679013</v>
      </c>
      <c r="E23" s="455">
        <f t="shared" si="5"/>
        <v>27.323497591237679</v>
      </c>
      <c r="F23" s="455">
        <f t="shared" ca="1" si="6"/>
        <v>3918.5961877046202</v>
      </c>
      <c r="G23" s="455">
        <f t="shared" si="7"/>
        <v>0</v>
      </c>
      <c r="H23" s="455">
        <f t="shared" si="8"/>
        <v>0</v>
      </c>
      <c r="I23" s="455">
        <f t="shared" si="9"/>
        <v>0</v>
      </c>
      <c r="J23" s="455">
        <f t="shared" si="10"/>
        <v>7.3026746861337552E-3</v>
      </c>
      <c r="K23" s="455">
        <f t="shared" si="11"/>
        <v>0</v>
      </c>
      <c r="L23" s="455">
        <f t="shared" ca="1" si="12"/>
        <v>0</v>
      </c>
      <c r="M23" s="455">
        <f t="shared" si="13"/>
        <v>0</v>
      </c>
      <c r="N23" s="455">
        <f t="shared" ca="1" si="14"/>
        <v>0</v>
      </c>
      <c r="O23" s="455">
        <f t="shared" si="15"/>
        <v>0</v>
      </c>
      <c r="P23" s="456">
        <f t="shared" si="16"/>
        <v>0</v>
      </c>
      <c r="Q23" s="454">
        <f t="shared" ref="Q23:Q31" ca="1" si="17">SUM(B23:P23)</f>
        <v>53892.310260396975</v>
      </c>
    </row>
    <row r="24" spans="1:17">
      <c r="A24" s="454" t="s">
        <v>193</v>
      </c>
      <c r="B24" s="455">
        <f t="shared" ca="1" si="2"/>
        <v>294.99225017760779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294.99225017760779</v>
      </c>
    </row>
    <row r="25" spans="1:17">
      <c r="A25" s="454" t="s">
        <v>111</v>
      </c>
      <c r="B25" s="455">
        <f t="shared" ca="1" si="2"/>
        <v>5.9521432179900939</v>
      </c>
      <c r="C25" s="455">
        <f t="shared" ca="1" si="3"/>
        <v>0</v>
      </c>
      <c r="D25" s="455">
        <f t="shared" si="4"/>
        <v>12.379758690174324</v>
      </c>
      <c r="E25" s="455">
        <f t="shared" si="5"/>
        <v>0.23020035556103641</v>
      </c>
      <c r="F25" s="455">
        <f t="shared" si="6"/>
        <v>23.555697191003631</v>
      </c>
      <c r="G25" s="455">
        <f t="shared" si="7"/>
        <v>0</v>
      </c>
      <c r="H25" s="455">
        <f t="shared" si="8"/>
        <v>0</v>
      </c>
      <c r="I25" s="455">
        <f t="shared" si="9"/>
        <v>0</v>
      </c>
      <c r="J25" s="455">
        <f t="shared" si="10"/>
        <v>2.5269279829249167</v>
      </c>
      <c r="K25" s="455">
        <f t="shared" si="11"/>
        <v>0</v>
      </c>
      <c r="L25" s="455">
        <f t="shared" si="12"/>
        <v>0</v>
      </c>
      <c r="M25" s="455">
        <f t="shared" si="13"/>
        <v>0</v>
      </c>
      <c r="N25" s="455">
        <f t="shared" si="14"/>
        <v>0</v>
      </c>
      <c r="O25" s="455">
        <f t="shared" si="15"/>
        <v>0</v>
      </c>
      <c r="P25" s="456">
        <f t="shared" si="16"/>
        <v>0</v>
      </c>
      <c r="Q25" s="454">
        <f t="shared" ca="1" si="17"/>
        <v>44.644727437653998</v>
      </c>
    </row>
    <row r="26" spans="1:17">
      <c r="A26" s="454" t="s">
        <v>626</v>
      </c>
      <c r="B26" s="455">
        <f t="shared" ca="1" si="2"/>
        <v>2850.5589991036163</v>
      </c>
      <c r="C26" s="455">
        <f t="shared" ca="1" si="3"/>
        <v>0</v>
      </c>
      <c r="D26" s="455">
        <f t="shared" si="4"/>
        <v>957.56071205662784</v>
      </c>
      <c r="E26" s="455">
        <f t="shared" si="5"/>
        <v>67.503102566561921</v>
      </c>
      <c r="F26" s="455">
        <f t="shared" si="6"/>
        <v>632.81481670090125</v>
      </c>
      <c r="G26" s="455">
        <f t="shared" si="7"/>
        <v>0</v>
      </c>
      <c r="H26" s="455">
        <f t="shared" si="8"/>
        <v>0</v>
      </c>
      <c r="I26" s="455">
        <f t="shared" si="9"/>
        <v>0</v>
      </c>
      <c r="J26" s="455">
        <f t="shared" si="10"/>
        <v>0.3031926322567029</v>
      </c>
      <c r="K26" s="455">
        <f t="shared" si="11"/>
        <v>0</v>
      </c>
      <c r="L26" s="455">
        <f t="shared" si="12"/>
        <v>0</v>
      </c>
      <c r="M26" s="455">
        <f t="shared" si="13"/>
        <v>0</v>
      </c>
      <c r="N26" s="455">
        <f t="shared" si="14"/>
        <v>0</v>
      </c>
      <c r="O26" s="455">
        <f t="shared" si="15"/>
        <v>0</v>
      </c>
      <c r="P26" s="456">
        <f t="shared" si="16"/>
        <v>0</v>
      </c>
      <c r="Q26" s="454">
        <f t="shared" ca="1" si="17"/>
        <v>4508.740823059964</v>
      </c>
    </row>
    <row r="27" spans="1:17" s="460" customFormat="1">
      <c r="A27" s="458" t="s">
        <v>552</v>
      </c>
      <c r="B27" s="778">
        <f t="shared" ca="1" si="2"/>
        <v>71.319130455483077</v>
      </c>
      <c r="C27" s="459">
        <f t="shared" ca="1" si="3"/>
        <v>0</v>
      </c>
      <c r="D27" s="459">
        <f t="shared" si="4"/>
        <v>249.52438111903157</v>
      </c>
      <c r="E27" s="459">
        <f t="shared" si="5"/>
        <v>180.17477629891141</v>
      </c>
      <c r="F27" s="459">
        <f t="shared" si="6"/>
        <v>0</v>
      </c>
      <c r="G27" s="459">
        <f t="shared" si="7"/>
        <v>91864.859902560027</v>
      </c>
      <c r="H27" s="459">
        <f t="shared" si="8"/>
        <v>20305.602306916931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112671.48049735038</v>
      </c>
    </row>
    <row r="28" spans="1:17" ht="16.5" customHeight="1">
      <c r="A28" s="454" t="s">
        <v>542</v>
      </c>
      <c r="B28" s="455">
        <f t="shared" ca="1" si="2"/>
        <v>0</v>
      </c>
      <c r="C28" s="455">
        <f t="shared" ca="1" si="3"/>
        <v>0</v>
      </c>
      <c r="D28" s="455">
        <f t="shared" si="4"/>
        <v>0</v>
      </c>
      <c r="E28" s="455">
        <f t="shared" si="5"/>
        <v>0</v>
      </c>
      <c r="F28" s="455">
        <f t="shared" si="6"/>
        <v>0</v>
      </c>
      <c r="G28" s="455">
        <f t="shared" si="7"/>
        <v>1018.8894840237227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1018.8894840237227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308.10435034984079</v>
      </c>
      <c r="C32" s="455">
        <f t="shared" ca="1" si="3"/>
        <v>0</v>
      </c>
      <c r="D32" s="455">
        <f t="shared" si="4"/>
        <v>580.65910902837788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888.76345937821861</v>
      </c>
    </row>
    <row r="33" spans="1:17" s="466" customFormat="1">
      <c r="A33" s="464" t="s">
        <v>546</v>
      </c>
      <c r="B33" s="465">
        <f ca="1">SUM(B22:B32)</f>
        <v>39693.776612969159</v>
      </c>
      <c r="C33" s="465">
        <f t="shared" ref="C33:Q33" ca="1" si="19">SUM(C22:C32)</f>
        <v>0</v>
      </c>
      <c r="D33" s="465">
        <f t="shared" ca="1" si="19"/>
        <v>32811.340852344125</v>
      </c>
      <c r="E33" s="465">
        <f t="shared" si="19"/>
        <v>440.14878580178777</v>
      </c>
      <c r="F33" s="465">
        <f t="shared" ca="1" si="19"/>
        <v>4574.9667015965251</v>
      </c>
      <c r="G33" s="465">
        <f t="shared" si="19"/>
        <v>92883.749386583746</v>
      </c>
      <c r="H33" s="465">
        <f t="shared" si="19"/>
        <v>20305.602306916931</v>
      </c>
      <c r="I33" s="465">
        <f t="shared" si="19"/>
        <v>0</v>
      </c>
      <c r="J33" s="465">
        <f t="shared" si="19"/>
        <v>2.8374232898677532</v>
      </c>
      <c r="K33" s="465">
        <f t="shared" si="19"/>
        <v>0</v>
      </c>
      <c r="L33" s="465">
        <f t="shared" ca="1" si="19"/>
        <v>0</v>
      </c>
      <c r="M33" s="465">
        <f t="shared" si="19"/>
        <v>0</v>
      </c>
      <c r="N33" s="465">
        <f t="shared" ca="1" si="19"/>
        <v>0</v>
      </c>
      <c r="O33" s="465">
        <f t="shared" si="19"/>
        <v>0</v>
      </c>
      <c r="P33" s="465">
        <f t="shared" si="19"/>
        <v>0</v>
      </c>
      <c r="Q33" s="465">
        <f t="shared" ca="1" si="19"/>
        <v>190712.42206950212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1733.309693726042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1733.309693726042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0.21888764326580615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0.21888764326580615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0.21888764326580615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0.21888764326580615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5618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90.95</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0</v>
      </c>
      <c r="C17" s="332"/>
      <c r="D17" s="332"/>
      <c r="E17" s="332"/>
      <c r="F17" s="332"/>
    </row>
    <row r="18" spans="1:6">
      <c r="A18" s="1310" t="s">
        <v>8</v>
      </c>
      <c r="B18" s="1311">
        <v>0</v>
      </c>
      <c r="C18" s="332"/>
      <c r="D18" s="332"/>
      <c r="E18" s="332"/>
      <c r="F18" s="332"/>
    </row>
    <row r="19" spans="1:6">
      <c r="A19" s="1310" t="s">
        <v>9</v>
      </c>
      <c r="B19" s="1311">
        <v>0</v>
      </c>
      <c r="C19" s="332"/>
      <c r="D19" s="332"/>
      <c r="E19" s="332"/>
      <c r="F19" s="332"/>
    </row>
    <row r="20" spans="1:6">
      <c r="A20" s="1310" t="s">
        <v>10</v>
      </c>
      <c r="B20" s="1311">
        <v>0</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17</v>
      </c>
      <c r="D36" s="1311">
        <v>3080262.5912761702</v>
      </c>
      <c r="E36" s="1311">
        <v>37</v>
      </c>
      <c r="F36" s="1311">
        <v>810298.71183926403</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9876986.2448573802</v>
      </c>
    </row>
    <row r="39" spans="1:6">
      <c r="A39" s="1310" t="s">
        <v>29</v>
      </c>
      <c r="B39" s="1310" t="s">
        <v>30</v>
      </c>
      <c r="C39" s="1311">
        <v>5016</v>
      </c>
      <c r="D39" s="1311">
        <v>71529127.286223605</v>
      </c>
      <c r="E39" s="1311">
        <v>5771</v>
      </c>
      <c r="F39" s="1311">
        <v>17886604.852806501</v>
      </c>
    </row>
    <row r="40" spans="1:6">
      <c r="A40" s="1310" t="s">
        <v>29</v>
      </c>
      <c r="B40" s="1310" t="s">
        <v>28</v>
      </c>
      <c r="C40" s="1311">
        <v>0</v>
      </c>
      <c r="D40" s="1311">
        <v>0</v>
      </c>
      <c r="E40" s="1311">
        <v>0</v>
      </c>
      <c r="F40" s="1311">
        <v>0</v>
      </c>
    </row>
    <row r="41" spans="1:6">
      <c r="A41" s="1310" t="s">
        <v>31</v>
      </c>
      <c r="B41" s="1310" t="s">
        <v>32</v>
      </c>
      <c r="C41" s="1311">
        <v>56</v>
      </c>
      <c r="D41" s="1311">
        <v>3848080.6722678398</v>
      </c>
      <c r="E41" s="1311">
        <v>124</v>
      </c>
      <c r="F41" s="1311">
        <v>3614885.46942638</v>
      </c>
    </row>
    <row r="42" spans="1:6">
      <c r="A42" s="1310" t="s">
        <v>31</v>
      </c>
      <c r="B42" s="1310" t="s">
        <v>33</v>
      </c>
      <c r="C42" s="1311">
        <v>0</v>
      </c>
      <c r="D42" s="1311">
        <v>0</v>
      </c>
      <c r="E42" s="1311">
        <v>5</v>
      </c>
      <c r="F42" s="1311">
        <v>4697290.9618174396</v>
      </c>
    </row>
    <row r="43" spans="1:6">
      <c r="A43" s="1310" t="s">
        <v>31</v>
      </c>
      <c r="B43" s="1310" t="s">
        <v>34</v>
      </c>
      <c r="C43" s="1311">
        <v>0</v>
      </c>
      <c r="D43" s="1311">
        <v>0</v>
      </c>
      <c r="E43" s="1311">
        <v>0</v>
      </c>
      <c r="F43" s="1311">
        <v>0</v>
      </c>
    </row>
    <row r="44" spans="1:6">
      <c r="A44" s="1310" t="s">
        <v>31</v>
      </c>
      <c r="B44" s="1310" t="s">
        <v>35</v>
      </c>
      <c r="C44" s="1311">
        <v>3</v>
      </c>
      <c r="D44" s="1311">
        <v>258874.012844154</v>
      </c>
      <c r="E44" s="1311">
        <v>15</v>
      </c>
      <c r="F44" s="1311">
        <v>887579.77311466902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7</v>
      </c>
      <c r="F47" s="1311">
        <v>57536.9603585812</v>
      </c>
    </row>
    <row r="48" spans="1:6">
      <c r="A48" s="1310" t="s">
        <v>31</v>
      </c>
      <c r="B48" s="1310" t="s">
        <v>28</v>
      </c>
      <c r="C48" s="1311">
        <v>5</v>
      </c>
      <c r="D48" s="1311">
        <v>1142657.2358589601</v>
      </c>
      <c r="E48" s="1311">
        <v>1</v>
      </c>
      <c r="F48" s="1311">
        <v>33296.001255770003</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3732343.3146973499</v>
      </c>
    </row>
    <row r="51" spans="1:6">
      <c r="A51" s="1310" t="s">
        <v>41</v>
      </c>
      <c r="B51" s="1310" t="s">
        <v>42</v>
      </c>
      <c r="C51" s="1311">
        <v>0</v>
      </c>
      <c r="D51" s="1311">
        <v>0</v>
      </c>
      <c r="E51" s="1311">
        <v>8</v>
      </c>
      <c r="F51" s="1311">
        <v>27192.6872124166</v>
      </c>
    </row>
    <row r="52" spans="1:6">
      <c r="A52" s="1310" t="s">
        <v>41</v>
      </c>
      <c r="B52" s="1310" t="s">
        <v>28</v>
      </c>
      <c r="C52" s="1311">
        <v>1</v>
      </c>
      <c r="D52" s="1311">
        <v>67869.251505840395</v>
      </c>
      <c r="E52" s="1311">
        <v>0</v>
      </c>
      <c r="F52" s="1311">
        <v>0</v>
      </c>
    </row>
    <row r="53" spans="1:6">
      <c r="A53" s="1310" t="s">
        <v>43</v>
      </c>
      <c r="B53" s="1310" t="s">
        <v>44</v>
      </c>
      <c r="C53" s="1311">
        <v>116</v>
      </c>
      <c r="D53" s="1311">
        <v>2874550.0446949401</v>
      </c>
      <c r="E53" s="1311">
        <v>343</v>
      </c>
      <c r="F53" s="1311">
        <v>1407591.3366004601</v>
      </c>
    </row>
    <row r="54" spans="1:6">
      <c r="A54" s="1310" t="s">
        <v>45</v>
      </c>
      <c r="B54" s="1310" t="s">
        <v>46</v>
      </c>
      <c r="C54" s="1311">
        <v>0</v>
      </c>
      <c r="D54" s="1311">
        <v>0</v>
      </c>
      <c r="E54" s="1311">
        <v>1</v>
      </c>
      <c r="F54" s="1311">
        <v>1347688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37</v>
      </c>
      <c r="D57" s="1311">
        <v>2388170.0810628901</v>
      </c>
      <c r="E57" s="1311">
        <v>72</v>
      </c>
      <c r="F57" s="1311">
        <v>2088841.66715945</v>
      </c>
    </row>
    <row r="58" spans="1:6">
      <c r="A58" s="1310" t="s">
        <v>48</v>
      </c>
      <c r="B58" s="1310" t="s">
        <v>50</v>
      </c>
      <c r="C58" s="1311">
        <v>13</v>
      </c>
      <c r="D58" s="1311">
        <v>1223767.61086606</v>
      </c>
      <c r="E58" s="1311">
        <v>22</v>
      </c>
      <c r="F58" s="1311">
        <v>527541.266667085</v>
      </c>
    </row>
    <row r="59" spans="1:6">
      <c r="A59" s="1310" t="s">
        <v>48</v>
      </c>
      <c r="B59" s="1310" t="s">
        <v>51</v>
      </c>
      <c r="C59" s="1311">
        <v>80</v>
      </c>
      <c r="D59" s="1311">
        <v>11019815.028010899</v>
      </c>
      <c r="E59" s="1311">
        <v>162</v>
      </c>
      <c r="F59" s="1311">
        <v>18186127.760651801</v>
      </c>
    </row>
    <row r="60" spans="1:6">
      <c r="A60" s="1310" t="s">
        <v>48</v>
      </c>
      <c r="B60" s="1310" t="s">
        <v>52</v>
      </c>
      <c r="C60" s="1311">
        <v>64</v>
      </c>
      <c r="D60" s="1311">
        <v>13033237.645907501</v>
      </c>
      <c r="E60" s="1311">
        <v>74</v>
      </c>
      <c r="F60" s="1311">
        <v>14325944.913848201</v>
      </c>
    </row>
    <row r="61" spans="1:6">
      <c r="A61" s="1310" t="s">
        <v>48</v>
      </c>
      <c r="B61" s="1310" t="s">
        <v>53</v>
      </c>
      <c r="C61" s="1311">
        <v>252</v>
      </c>
      <c r="D61" s="1311">
        <v>70400625.407314196</v>
      </c>
      <c r="E61" s="1311">
        <v>546</v>
      </c>
      <c r="F61" s="1311">
        <v>110765195.792825</v>
      </c>
    </row>
    <row r="62" spans="1:6">
      <c r="A62" s="1310" t="s">
        <v>48</v>
      </c>
      <c r="B62" s="1310" t="s">
        <v>54</v>
      </c>
      <c r="C62" s="1311">
        <v>5</v>
      </c>
      <c r="D62" s="1311">
        <v>417300.90545105102</v>
      </c>
      <c r="E62" s="1311">
        <v>11</v>
      </c>
      <c r="F62" s="1311">
        <v>220162.49701113001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550174.45415446302</v>
      </c>
      <c r="E65" s="1311">
        <v>1</v>
      </c>
      <c r="F65" s="1311">
        <v>18969</v>
      </c>
    </row>
    <row r="66" spans="1:6">
      <c r="A66" s="1310" t="s">
        <v>55</v>
      </c>
      <c r="B66" s="1310" t="s">
        <v>57</v>
      </c>
      <c r="C66" s="1311">
        <v>0</v>
      </c>
      <c r="D66" s="1311">
        <v>0</v>
      </c>
      <c r="E66" s="1311">
        <v>20</v>
      </c>
      <c r="F66" s="1311">
        <v>1694585.11864493</v>
      </c>
    </row>
    <row r="67" spans="1:6">
      <c r="A67" s="1312" t="s">
        <v>55</v>
      </c>
      <c r="B67" s="1312" t="s">
        <v>58</v>
      </c>
      <c r="C67" s="1311">
        <v>0</v>
      </c>
      <c r="D67" s="1311">
        <v>0</v>
      </c>
      <c r="E67" s="1311">
        <v>0</v>
      </c>
      <c r="F67" s="1311">
        <v>0</v>
      </c>
    </row>
    <row r="68" spans="1:6">
      <c r="A68" s="1305" t="s">
        <v>55</v>
      </c>
      <c r="B68" s="1305" t="s">
        <v>59</v>
      </c>
      <c r="C68" s="1314">
        <v>11</v>
      </c>
      <c r="D68" s="1314">
        <v>1095025.1280533101</v>
      </c>
      <c r="E68" s="1314">
        <v>16</v>
      </c>
      <c r="F68" s="1314">
        <v>277438.88485265803</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65645805</v>
      </c>
      <c r="E73" s="453"/>
      <c r="F73" s="332"/>
    </row>
    <row r="74" spans="1:6">
      <c r="A74" s="1310" t="s">
        <v>63</v>
      </c>
      <c r="B74" s="1310" t="s">
        <v>648</v>
      </c>
      <c r="C74" s="1324" t="s">
        <v>650</v>
      </c>
      <c r="D74" s="1325">
        <v>5324180.3765216749</v>
      </c>
      <c r="E74" s="453"/>
      <c r="F74" s="332"/>
    </row>
    <row r="75" spans="1:6">
      <c r="A75" s="1310" t="s">
        <v>64</v>
      </c>
      <c r="B75" s="1310" t="s">
        <v>647</v>
      </c>
      <c r="C75" s="1324" t="s">
        <v>651</v>
      </c>
      <c r="D75" s="1325">
        <v>32206334</v>
      </c>
      <c r="E75" s="453"/>
      <c r="F75" s="332"/>
    </row>
    <row r="76" spans="1:6">
      <c r="A76" s="1310" t="s">
        <v>64</v>
      </c>
      <c r="B76" s="1310" t="s">
        <v>648</v>
      </c>
      <c r="C76" s="1324" t="s">
        <v>652</v>
      </c>
      <c r="D76" s="1325">
        <v>1903141.3765216749</v>
      </c>
      <c r="E76" s="453"/>
      <c r="F76" s="332"/>
    </row>
    <row r="77" spans="1:6">
      <c r="A77" s="1310" t="s">
        <v>65</v>
      </c>
      <c r="B77" s="1310" t="s">
        <v>647</v>
      </c>
      <c r="C77" s="1324" t="s">
        <v>653</v>
      </c>
      <c r="D77" s="1325">
        <v>384485293</v>
      </c>
      <c r="E77" s="453"/>
      <c r="F77" s="332"/>
    </row>
    <row r="78" spans="1:6">
      <c r="A78" s="1305" t="s">
        <v>65</v>
      </c>
      <c r="B78" s="1305" t="s">
        <v>648</v>
      </c>
      <c r="C78" s="1305" t="s">
        <v>654</v>
      </c>
      <c r="D78" s="1326">
        <v>39741424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1115923.2469566499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1211.5100729446756</v>
      </c>
      <c r="C91" s="332"/>
      <c r="D91" s="332"/>
      <c r="E91" s="332"/>
      <c r="F91" s="332"/>
    </row>
    <row r="92" spans="1:6">
      <c r="A92" s="1305" t="s">
        <v>68</v>
      </c>
      <c r="B92" s="1306">
        <v>521.79962078136646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3462</v>
      </c>
      <c r="C97" s="332"/>
      <c r="D97" s="332"/>
      <c r="E97" s="332"/>
      <c r="F97" s="332"/>
    </row>
    <row r="98" spans="1:6">
      <c r="A98" s="1310" t="s">
        <v>71</v>
      </c>
      <c r="B98" s="1311">
        <v>6</v>
      </c>
      <c r="C98" s="332"/>
      <c r="D98" s="332"/>
      <c r="E98" s="332"/>
      <c r="F98" s="332"/>
    </row>
    <row r="99" spans="1:6">
      <c r="A99" s="1310" t="s">
        <v>72</v>
      </c>
      <c r="B99" s="1311">
        <v>10</v>
      </c>
      <c r="C99" s="332"/>
      <c r="D99" s="332"/>
      <c r="E99" s="332"/>
      <c r="F99" s="332"/>
    </row>
    <row r="100" spans="1:6">
      <c r="A100" s="1310" t="s">
        <v>73</v>
      </c>
      <c r="B100" s="1311">
        <v>268</v>
      </c>
      <c r="C100" s="332"/>
      <c r="D100" s="332"/>
      <c r="E100" s="332"/>
      <c r="F100" s="332"/>
    </row>
    <row r="101" spans="1:6">
      <c r="A101" s="1310" t="s">
        <v>74</v>
      </c>
      <c r="B101" s="1311">
        <v>18</v>
      </c>
      <c r="C101" s="332"/>
      <c r="D101" s="332"/>
      <c r="E101" s="332"/>
      <c r="F101" s="332"/>
    </row>
    <row r="102" spans="1:6">
      <c r="A102" s="1310" t="s">
        <v>75</v>
      </c>
      <c r="B102" s="1311">
        <v>86</v>
      </c>
      <c r="C102" s="332"/>
      <c r="D102" s="332"/>
      <c r="E102" s="332"/>
      <c r="F102" s="332"/>
    </row>
    <row r="103" spans="1:6">
      <c r="A103" s="1310" t="s">
        <v>76</v>
      </c>
      <c r="B103" s="1311">
        <v>66</v>
      </c>
      <c r="C103" s="332"/>
      <c r="D103" s="332"/>
      <c r="E103" s="332"/>
      <c r="F103" s="332"/>
    </row>
    <row r="104" spans="1:6">
      <c r="A104" s="1310" t="s">
        <v>77</v>
      </c>
      <c r="B104" s="1311">
        <v>830</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2</v>
      </c>
      <c r="C123" s="1311">
        <v>6</v>
      </c>
      <c r="D123" s="332"/>
      <c r="E123" s="332"/>
      <c r="F123" s="332"/>
    </row>
    <row r="124" spans="1:6" s="43" customFormat="1">
      <c r="A124" s="1312" t="s">
        <v>88</v>
      </c>
      <c r="B124" s="1333">
        <v>0</v>
      </c>
      <c r="C124" s="1333">
        <v>0</v>
      </c>
      <c r="D124" s="338"/>
      <c r="E124" s="338"/>
      <c r="F124" s="338"/>
    </row>
    <row r="125" spans="1:6">
      <c r="A125" s="1305" t="s">
        <v>851</v>
      </c>
      <c r="B125" s="1333">
        <v>1</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23</v>
      </c>
      <c r="C129" s="332"/>
      <c r="D129" s="332"/>
      <c r="E129" s="332"/>
      <c r="F129" s="332"/>
    </row>
    <row r="130" spans="1:6">
      <c r="A130" s="1310" t="s">
        <v>294</v>
      </c>
      <c r="B130" s="1311">
        <v>1</v>
      </c>
      <c r="C130" s="332"/>
      <c r="D130" s="332"/>
      <c r="E130" s="332"/>
      <c r="F130" s="332"/>
    </row>
    <row r="131" spans="1:6">
      <c r="A131" s="1310" t="s">
        <v>295</v>
      </c>
      <c r="B131" s="1311">
        <v>17</v>
      </c>
      <c r="C131" s="332"/>
      <c r="D131" s="332"/>
      <c r="E131" s="332"/>
      <c r="F131" s="332"/>
    </row>
    <row r="132" spans="1:6">
      <c r="A132" s="1305" t="s">
        <v>296</v>
      </c>
      <c r="B132" s="1306">
        <v>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181343.15862118825</v>
      </c>
      <c r="C3" s="43" t="s">
        <v>169</v>
      </c>
      <c r="D3" s="43"/>
      <c r="E3" s="154"/>
      <c r="F3" s="43"/>
      <c r="G3" s="43"/>
      <c r="H3" s="43"/>
      <c r="I3" s="43"/>
      <c r="J3" s="43"/>
      <c r="K3" s="96"/>
    </row>
    <row r="4" spans="1:11">
      <c r="A4" s="360" t="s">
        <v>170</v>
      </c>
      <c r="B4" s="49">
        <f>IF(ISERROR('SEAP template'!B78+'SEAP template'!C78),0,'SEAP template'!B78+'SEAP template'!C78)</f>
        <v>1733.309693726042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0.21888764326580615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1347.6880000000001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1347.6880000000001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0.21888764326580615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294.99225017760779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17886.6048528065</v>
      </c>
      <c r="C5" s="17">
        <f>IF(ISERROR('Eigen informatie GS &amp; warmtenet'!B59),0,'Eigen informatie GS &amp; warmtenet'!B59)</f>
        <v>0</v>
      </c>
      <c r="D5" s="30">
        <f>(SUM(HH_hh_gas_kWh,HH_rest_gas_kWh)/1000)*0.903</f>
        <v>64590.801939459918</v>
      </c>
      <c r="E5" s="17">
        <f>B46*B57</f>
        <v>726.50752858817498</v>
      </c>
      <c r="F5" s="17">
        <f>B51*B62</f>
        <v>0</v>
      </c>
      <c r="G5" s="18"/>
      <c r="H5" s="17"/>
      <c r="I5" s="17"/>
      <c r="J5" s="17">
        <f>B50*B61+C50*C61</f>
        <v>0</v>
      </c>
      <c r="K5" s="17"/>
      <c r="L5" s="17"/>
      <c r="M5" s="17"/>
      <c r="N5" s="17">
        <f>B48*B59+C48*C59</f>
        <v>2451.1137495301514</v>
      </c>
      <c r="O5" s="17">
        <f>B69*B70*B71</f>
        <v>57.534788362223921</v>
      </c>
      <c r="P5" s="17">
        <f>B77*B78*B79/1000-B77*B78*B79/1000/B80</f>
        <v>42.135837230740094</v>
      </c>
    </row>
    <row r="6" spans="1:16">
      <c r="A6" s="16" t="s">
        <v>612</v>
      </c>
      <c r="B6" s="786">
        <f>kWh_PV_kleiner_dan_10kW</f>
        <v>1211.5100729446756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19098.114925751175</v>
      </c>
      <c r="C8" s="21">
        <f>C5</f>
        <v>0</v>
      </c>
      <c r="D8" s="21">
        <f>D5</f>
        <v>64590.801939459918</v>
      </c>
      <c r="E8" s="21">
        <f>E5</f>
        <v>726.50752858817498</v>
      </c>
      <c r="F8" s="21">
        <f>F5</f>
        <v>0</v>
      </c>
      <c r="G8" s="21"/>
      <c r="H8" s="21"/>
      <c r="I8" s="21"/>
      <c r="J8" s="21">
        <f>J5</f>
        <v>0</v>
      </c>
      <c r="K8" s="21"/>
      <c r="L8" s="21">
        <f>L5</f>
        <v>0</v>
      </c>
      <c r="M8" s="21">
        <f>M5</f>
        <v>0</v>
      </c>
      <c r="N8" s="21">
        <f>N5</f>
        <v>2451.1137495301514</v>
      </c>
      <c r="O8" s="21">
        <f>O5</f>
        <v>57.534788362223921</v>
      </c>
      <c r="P8" s="21">
        <f>P5</f>
        <v>42.135837230740094</v>
      </c>
    </row>
    <row r="9" spans="1:16">
      <c r="B9" s="19"/>
      <c r="C9" s="19"/>
      <c r="D9" s="258"/>
      <c r="E9" s="19"/>
      <c r="F9" s="19"/>
      <c r="G9" s="19"/>
      <c r="H9" s="19"/>
      <c r="I9" s="19"/>
      <c r="J9" s="19"/>
      <c r="K9" s="19"/>
      <c r="L9" s="19"/>
      <c r="M9" s="19"/>
      <c r="N9" s="19"/>
      <c r="O9" s="19"/>
      <c r="P9" s="19"/>
    </row>
    <row r="10" spans="1:16">
      <c r="A10" s="24" t="s">
        <v>213</v>
      </c>
      <c r="B10" s="25">
        <f ca="1">'EF ele_warmte'!B12</f>
        <v>0.21888764326580615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4180.3413669171914</v>
      </c>
      <c r="C12" s="23">
        <f ca="1">C10*C8</f>
        <v>0</v>
      </c>
      <c r="D12" s="23">
        <f>D8*D10</f>
        <v>13047.341991770903</v>
      </c>
      <c r="E12" s="23">
        <f>E10*E8</f>
        <v>164.91720898951573</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3462</v>
      </c>
      <c r="C18" s="166" t="s">
        <v>110</v>
      </c>
      <c r="D18" s="228"/>
      <c r="E18" s="15"/>
    </row>
    <row r="19" spans="1:7">
      <c r="A19" s="171" t="s">
        <v>71</v>
      </c>
      <c r="B19" s="37">
        <f>aantalw2001_ander</f>
        <v>6</v>
      </c>
      <c r="C19" s="166" t="s">
        <v>110</v>
      </c>
      <c r="D19" s="229"/>
      <c r="E19" s="15"/>
    </row>
    <row r="20" spans="1:7">
      <c r="A20" s="171" t="s">
        <v>72</v>
      </c>
      <c r="B20" s="37">
        <f>aantalw2001_propaan</f>
        <v>10</v>
      </c>
      <c r="C20" s="167">
        <f>IF(ISERROR(B20/SUM($B$20,$B$21,$B$22)*100),0,B20/SUM($B$20,$B$21,$B$22)*100)</f>
        <v>3.3783783783783785</v>
      </c>
      <c r="D20" s="229"/>
      <c r="E20" s="15"/>
    </row>
    <row r="21" spans="1:7">
      <c r="A21" s="171" t="s">
        <v>73</v>
      </c>
      <c r="B21" s="37">
        <f>aantalw2001_elektriciteit</f>
        <v>268</v>
      </c>
      <c r="C21" s="167">
        <f>IF(ISERROR(B21/SUM($B$20,$B$21,$B$22)*100),0,B21/SUM($B$20,$B$21,$B$22)*100)</f>
        <v>90.540540540540533</v>
      </c>
      <c r="D21" s="229"/>
      <c r="E21" s="15"/>
    </row>
    <row r="22" spans="1:7">
      <c r="A22" s="171" t="s">
        <v>74</v>
      </c>
      <c r="B22" s="37">
        <f>aantalw2001_hout</f>
        <v>18</v>
      </c>
      <c r="C22" s="167">
        <f>IF(ISERROR(B22/SUM($B$20,$B$21,$B$22)*100),0,B22/SUM($B$20,$B$21,$B$22)*100)</f>
        <v>6.0810810810810816</v>
      </c>
      <c r="D22" s="229"/>
      <c r="E22" s="15"/>
    </row>
    <row r="23" spans="1:7">
      <c r="A23" s="171" t="s">
        <v>75</v>
      </c>
      <c r="B23" s="37">
        <f>aantalw2001_niet_gespec</f>
        <v>86</v>
      </c>
      <c r="C23" s="166" t="s">
        <v>110</v>
      </c>
      <c r="D23" s="228"/>
      <c r="E23" s="15"/>
    </row>
    <row r="24" spans="1:7">
      <c r="A24" s="171" t="s">
        <v>76</v>
      </c>
      <c r="B24" s="37">
        <f>aantalw2001_steenkool</f>
        <v>66</v>
      </c>
      <c r="C24" s="166" t="s">
        <v>110</v>
      </c>
      <c r="D24" s="229"/>
      <c r="E24" s="15"/>
    </row>
    <row r="25" spans="1:7">
      <c r="A25" s="171" t="s">
        <v>77</v>
      </c>
      <c r="B25" s="37">
        <f>aantalw2001_stookolie</f>
        <v>830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5618</v>
      </c>
      <c r="C28" s="36"/>
      <c r="D28" s="228"/>
    </row>
    <row r="29" spans="1:7" s="15" customFormat="1">
      <c r="A29" s="230" t="s">
        <v>839</v>
      </c>
      <c r="B29" s="37">
        <f>SUM(HH_hh_gas_aantal,HH_rest_gas_aantal)</f>
        <v>5016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5016</v>
      </c>
      <c r="C32" s="167">
        <f>IF(ISERROR(B32/SUM($B$32,$B$34,$B$35,$B$36,$B$38,$B$39)*100),0,B32/SUM($B$32,$B$34,$B$35,$B$36,$B$38,$B$39)*100)</f>
        <v>89.348058425365167</v>
      </c>
      <c r="D32" s="233"/>
      <c r="G32" s="15"/>
    </row>
    <row r="33" spans="1:7">
      <c r="A33" s="171" t="s">
        <v>71</v>
      </c>
      <c r="B33" s="34" t="s">
        <v>110</v>
      </c>
      <c r="C33" s="167"/>
      <c r="D33" s="233"/>
      <c r="G33" s="15"/>
    </row>
    <row r="34" spans="1:7">
      <c r="A34" s="171" t="s">
        <v>72</v>
      </c>
      <c r="B34" s="33">
        <f>IF((($B$28-$B$32-$B$39-$B$77-$B$38)*C20/100)&lt;0,0,($B$28-$B$32-$B$39-$B$77-$B$38)*C20/100)</f>
        <v>20.202702702702705</v>
      </c>
      <c r="C34" s="167">
        <f>IF(ISERROR(B34/SUM($B$32,$B$34,$B$35,$B$36,$B$38,$B$39)*100),0,B34/SUM($B$32,$B$34,$B$35,$B$36,$B$38,$B$39)*100)</f>
        <v>0.35986289103496089</v>
      </c>
      <c r="D34" s="233"/>
      <c r="G34" s="15"/>
    </row>
    <row r="35" spans="1:7">
      <c r="A35" s="171" t="s">
        <v>73</v>
      </c>
      <c r="B35" s="33">
        <f>IF((($B$28-$B$32-$B$39-$B$77-$B$38)*C21/100)&lt;0,0,($B$28-$B$32-$B$39-$B$77-$B$38)*C21/100)</f>
        <v>541.43243243243239</v>
      </c>
      <c r="C35" s="167">
        <f>IF(ISERROR(B35/SUM($B$32,$B$34,$B$35,$B$36,$B$38,$B$39)*100),0,B35/SUM($B$32,$B$34,$B$35,$B$36,$B$38,$B$39)*100)</f>
        <v>9.6443254797369509</v>
      </c>
      <c r="D35" s="233"/>
      <c r="G35" s="15"/>
    </row>
    <row r="36" spans="1:7">
      <c r="A36" s="171" t="s">
        <v>74</v>
      </c>
      <c r="B36" s="33">
        <f>IF((($B$28-$B$32-$B$39-$B$77-$B$38)*C22/100)&lt;0,0,($B$28-$B$32-$B$39-$B$77-$B$38)*C22/100)</f>
        <v>36.36486486486487</v>
      </c>
      <c r="C36" s="167">
        <f>IF(ISERROR(B36/SUM($B$32,$B$34,$B$35,$B$36,$B$38,$B$39)*100),0,B36/SUM($B$32,$B$34,$B$35,$B$36,$B$38,$B$39)*100)</f>
        <v>0.64775320386292967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5016</v>
      </c>
      <c r="C44" s="34" t="s">
        <v>110</v>
      </c>
      <c r="D44" s="174"/>
    </row>
    <row r="45" spans="1:7">
      <c r="A45" s="171" t="s">
        <v>71</v>
      </c>
      <c r="B45" s="33" t="str">
        <f t="shared" si="0"/>
        <v>-</v>
      </c>
      <c r="C45" s="34" t="s">
        <v>110</v>
      </c>
      <c r="D45" s="174"/>
    </row>
    <row r="46" spans="1:7">
      <c r="A46" s="171" t="s">
        <v>72</v>
      </c>
      <c r="B46" s="33">
        <f t="shared" si="0"/>
        <v>20.202702702702705</v>
      </c>
      <c r="C46" s="34" t="s">
        <v>110</v>
      </c>
      <c r="D46" s="174"/>
    </row>
    <row r="47" spans="1:7">
      <c r="A47" s="171" t="s">
        <v>73</v>
      </c>
      <c r="B47" s="33">
        <f t="shared" si="0"/>
        <v>541.43243243243239</v>
      </c>
      <c r="C47" s="34" t="s">
        <v>110</v>
      </c>
      <c r="D47" s="174"/>
    </row>
    <row r="48" spans="1:7">
      <c r="A48" s="171" t="s">
        <v>74</v>
      </c>
      <c r="B48" s="33">
        <f t="shared" si="0"/>
        <v>36.36486486486487</v>
      </c>
      <c r="C48" s="33">
        <f>B48*10</f>
        <v>363.6486486486487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146113.81389816268</v>
      </c>
      <c r="C5" s="17">
        <f>IF(ISERROR('Eigen informatie GS &amp; warmtenet'!B60),0,'Eigen informatie GS &amp; warmtenet'!B60)</f>
        <v>0</v>
      </c>
      <c r="D5" s="30">
        <f>SUM(D6:D12)</f>
        <v>88930.073760787185</v>
      </c>
      <c r="E5" s="17">
        <f>SUM(E6:E12)</f>
        <v>120.36783079840387</v>
      </c>
      <c r="F5" s="17">
        <f>SUM(F6:F12)</f>
        <v>14676.390216122172</v>
      </c>
      <c r="G5" s="18"/>
      <c r="H5" s="17"/>
      <c r="I5" s="17"/>
      <c r="J5" s="17">
        <f>SUM(J6:J12)</f>
        <v>2.0629024537101005E-2</v>
      </c>
      <c r="K5" s="17"/>
      <c r="L5" s="17"/>
      <c r="M5" s="17"/>
      <c r="N5" s="17">
        <f>SUM(N6:N12)</f>
        <v>817.27300051389102</v>
      </c>
      <c r="O5" s="17">
        <f>B38*B39*B40</f>
        <v>4.8972607658411542</v>
      </c>
      <c r="P5" s="17">
        <f>B46*B47*B48/1000-B46*B47*B48/1000/B49</f>
        <v>998.24362782340552</v>
      </c>
      <c r="R5" s="32"/>
    </row>
    <row r="6" spans="1:18">
      <c r="A6" s="32" t="s">
        <v>53</v>
      </c>
      <c r="B6" s="37">
        <f>B26</f>
        <v>110765.195792825</v>
      </c>
      <c r="C6" s="33"/>
      <c r="D6" s="37">
        <f>IF(ISERROR(TER_kantoor_gas_kWh/1000),0,TER_kantoor_gas_kWh/1000)*0.903</f>
        <v>63571.764742804713</v>
      </c>
      <c r="E6" s="33">
        <f>$C$26*'E Balans VL '!I12/100/3.6*1000000</f>
        <v>26.536708065454388</v>
      </c>
      <c r="F6" s="33">
        <f>$C$26*('E Balans VL '!L12+'E Balans VL '!N12)/100/3.6*1000000</f>
        <v>10503.733419835688</v>
      </c>
      <c r="G6" s="34"/>
      <c r="H6" s="33"/>
      <c r="I6" s="33"/>
      <c r="J6" s="33">
        <f>$C$26*('E Balans VL '!D12+'E Balans VL '!E12)/100/3.6*1000000</f>
        <v>0</v>
      </c>
      <c r="K6" s="33"/>
      <c r="L6" s="33"/>
      <c r="M6" s="33"/>
      <c r="N6" s="33">
        <f>$C$26*'E Balans VL '!Y12/100/3.6*1000000</f>
        <v>56.262990277459878</v>
      </c>
      <c r="O6" s="33"/>
      <c r="P6" s="33"/>
      <c r="R6" s="32"/>
    </row>
    <row r="7" spans="1:18">
      <c r="A7" s="32" t="s">
        <v>52</v>
      </c>
      <c r="B7" s="37">
        <f t="shared" ref="B7:B12" si="0">B27</f>
        <v>14325.944913848201</v>
      </c>
      <c r="C7" s="33"/>
      <c r="D7" s="37">
        <f>IF(ISERROR(TER_horeca_gas_kWh/1000),0,TER_horeca_gas_kWh/1000)*0.903</f>
        <v>11769.013594254473</v>
      </c>
      <c r="E7" s="33">
        <f>$C$27*'E Balans VL '!I9/100/3.6*1000000</f>
        <v>0</v>
      </c>
      <c r="F7" s="33">
        <f>$C$27*('E Balans VL '!L9+'E Balans VL '!N9)/100/3.6*1000000</f>
        <v>1174.6938070901545</v>
      </c>
      <c r="G7" s="34"/>
      <c r="H7" s="33"/>
      <c r="I7" s="33"/>
      <c r="J7" s="33">
        <f>$C$27*('E Balans VL '!D9+'E Balans VL '!E9)/100/3.6*1000000</f>
        <v>0</v>
      </c>
      <c r="K7" s="33"/>
      <c r="L7" s="33"/>
      <c r="M7" s="33"/>
      <c r="N7" s="33">
        <f>$C$27*'E Balans VL '!Y9/100/3.6*1000000</f>
        <v>4.3914776903521329</v>
      </c>
      <c r="O7" s="33"/>
      <c r="P7" s="33"/>
      <c r="R7" s="32"/>
    </row>
    <row r="8" spans="1:18">
      <c r="A8" s="6" t="s">
        <v>51</v>
      </c>
      <c r="B8" s="37">
        <f t="shared" si="0"/>
        <v>18186.127760651802</v>
      </c>
      <c r="C8" s="33"/>
      <c r="D8" s="37">
        <f>IF(ISERROR(TER_handel_gas_kWh/1000),0,TER_handel_gas_kWh/1000)*0.903</f>
        <v>9950.8929702938422</v>
      </c>
      <c r="E8" s="33">
        <f>$C$28*'E Balans VL '!I13/100/3.6*1000000</f>
        <v>63.91429939414386</v>
      </c>
      <c r="F8" s="33">
        <f>$C$28*('E Balans VL '!L13+'E Balans VL '!N13)/100/3.6*1000000</f>
        <v>1663.9980308621498</v>
      </c>
      <c r="G8" s="34"/>
      <c r="H8" s="33"/>
      <c r="I8" s="33"/>
      <c r="J8" s="33">
        <f>$C$28*('E Balans VL '!D13+'E Balans VL '!E13)/100/3.6*1000000</f>
        <v>0</v>
      </c>
      <c r="K8" s="33"/>
      <c r="L8" s="33"/>
      <c r="M8" s="33"/>
      <c r="N8" s="33">
        <f>$C$28*'E Balans VL '!Y13/100/3.6*1000000</f>
        <v>6.5862325328066627</v>
      </c>
      <c r="O8" s="33"/>
      <c r="P8" s="33"/>
      <c r="R8" s="32"/>
    </row>
    <row r="9" spans="1:18">
      <c r="A9" s="32" t="s">
        <v>50</v>
      </c>
      <c r="B9" s="37">
        <f t="shared" si="0"/>
        <v>527.54126666708498</v>
      </c>
      <c r="C9" s="33"/>
      <c r="D9" s="37">
        <f>IF(ISERROR(TER_gezond_gas_kWh/1000),0,TER_gezond_gas_kWh/1000)*0.903</f>
        <v>1105.0621526120522</v>
      </c>
      <c r="E9" s="33">
        <f>$C$29*'E Balans VL '!I10/100/3.6*1000000</f>
        <v>0</v>
      </c>
      <c r="F9" s="33">
        <f>$C$29*('E Balans VL '!L10+'E Balans VL '!N10)/100/3.6*1000000</f>
        <v>64.666872080389368</v>
      </c>
      <c r="G9" s="34"/>
      <c r="H9" s="33"/>
      <c r="I9" s="33"/>
      <c r="J9" s="33">
        <f>$C$29*('E Balans VL '!D10+'E Balans VL '!E10)/100/3.6*1000000</f>
        <v>0</v>
      </c>
      <c r="K9" s="33"/>
      <c r="L9" s="33"/>
      <c r="M9" s="33"/>
      <c r="N9" s="33">
        <f>$C$29*'E Balans VL '!Y10/100/3.6*1000000</f>
        <v>3.89024922198724</v>
      </c>
      <c r="O9" s="33"/>
      <c r="P9" s="33"/>
      <c r="R9" s="32"/>
    </row>
    <row r="10" spans="1:18">
      <c r="A10" s="32" t="s">
        <v>49</v>
      </c>
      <c r="B10" s="37">
        <f t="shared" si="0"/>
        <v>2088.84166715945</v>
      </c>
      <c r="C10" s="33"/>
      <c r="D10" s="37">
        <f>IF(ISERROR(TER_ander_gas_kWh/1000),0,TER_ander_gas_kWh/1000)*0.903</f>
        <v>2156.5175831997899</v>
      </c>
      <c r="E10" s="33">
        <f>$C$30*'E Balans VL '!I14/100/3.6*1000000</f>
        <v>29.916823338805635</v>
      </c>
      <c r="F10" s="33">
        <f>$C$30*('E Balans VL '!L14+'E Balans VL '!N14)/100/3.6*1000000</f>
        <v>1243.5584685672925</v>
      </c>
      <c r="G10" s="34"/>
      <c r="H10" s="33"/>
      <c r="I10" s="33"/>
      <c r="J10" s="33">
        <f>$C$30*('E Balans VL '!D14+'E Balans VL '!E14)/100/3.6*1000000</f>
        <v>2.0629024537101005E-2</v>
      </c>
      <c r="K10" s="33"/>
      <c r="L10" s="33"/>
      <c r="M10" s="33"/>
      <c r="N10" s="33">
        <f>$C$30*'E Balans VL '!Y14/100/3.6*1000000</f>
        <v>745.52209848122925</v>
      </c>
      <c r="O10" s="33"/>
      <c r="P10" s="33"/>
      <c r="R10" s="32"/>
    </row>
    <row r="11" spans="1:18">
      <c r="A11" s="32" t="s">
        <v>54</v>
      </c>
      <c r="B11" s="37">
        <f t="shared" si="0"/>
        <v>220.16249701113</v>
      </c>
      <c r="C11" s="33"/>
      <c r="D11" s="37">
        <f>IF(ISERROR(TER_onderwijs_gas_kWh/1000),0,TER_onderwijs_gas_kWh/1000)*0.903</f>
        <v>376.82271762229908</v>
      </c>
      <c r="E11" s="33">
        <f>$C$31*'E Balans VL '!I11/100/3.6*1000000</f>
        <v>0</v>
      </c>
      <c r="F11" s="33">
        <f>$C$31*('E Balans VL '!L11+'E Balans VL '!N11)/100/3.6*1000000</f>
        <v>25.739617686496018</v>
      </c>
      <c r="G11" s="34"/>
      <c r="H11" s="33"/>
      <c r="I11" s="33"/>
      <c r="J11" s="33">
        <f>$C$31*('E Balans VL '!D11+'E Balans VL '!E11)/100/3.6*1000000</f>
        <v>0</v>
      </c>
      <c r="K11" s="33"/>
      <c r="L11" s="33"/>
      <c r="M11" s="33"/>
      <c r="N11" s="33">
        <f>$C$31*'E Balans VL '!Y11/100/3.6*1000000</f>
        <v>0.61995231005580864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146113.81389816268</v>
      </c>
      <c r="C16" s="21">
        <f t="shared" ca="1" si="1"/>
        <v>0</v>
      </c>
      <c r="D16" s="21">
        <f t="shared" ca="1" si="1"/>
        <v>88930.073760787185</v>
      </c>
      <c r="E16" s="21">
        <f t="shared" si="1"/>
        <v>120.36783079840387</v>
      </c>
      <c r="F16" s="21">
        <f t="shared" ca="1" si="1"/>
        <v>14676.390216122172</v>
      </c>
      <c r="G16" s="21">
        <f t="shared" si="1"/>
        <v>0</v>
      </c>
      <c r="H16" s="21">
        <f t="shared" si="1"/>
        <v>0</v>
      </c>
      <c r="I16" s="21">
        <f t="shared" si="1"/>
        <v>0</v>
      </c>
      <c r="J16" s="21">
        <f t="shared" si="1"/>
        <v>2.0629024537101005E-2</v>
      </c>
      <c r="K16" s="21">
        <f t="shared" si="1"/>
        <v>0</v>
      </c>
      <c r="L16" s="21">
        <f t="shared" ca="1" si="1"/>
        <v>0</v>
      </c>
      <c r="M16" s="21">
        <f t="shared" si="1"/>
        <v>0</v>
      </c>
      <c r="N16" s="21">
        <f t="shared" ca="1" si="1"/>
        <v>817.27300051389102</v>
      </c>
      <c r="O16" s="21">
        <f>O5</f>
        <v>4.8972607658411542</v>
      </c>
      <c r="P16" s="21">
        <f>P5</f>
        <v>998.24362782340552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0.21888764326580615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31982.508372747423</v>
      </c>
      <c r="C20" s="23">
        <f t="shared" ref="C20:P20" ca="1" si="2">C16*C18</f>
        <v>0</v>
      </c>
      <c r="D20" s="23">
        <f t="shared" ca="1" si="2"/>
        <v>17963.874899679013</v>
      </c>
      <c r="E20" s="23">
        <f t="shared" si="2"/>
        <v>27.323497591237679</v>
      </c>
      <c r="F20" s="23">
        <f t="shared" ca="1" si="2"/>
        <v>3918.5961877046202</v>
      </c>
      <c r="G20" s="23">
        <f t="shared" si="2"/>
        <v>0</v>
      </c>
      <c r="H20" s="23">
        <f t="shared" si="2"/>
        <v>0</v>
      </c>
      <c r="I20" s="23">
        <f t="shared" si="2"/>
        <v>0</v>
      </c>
      <c r="J20" s="23">
        <f t="shared" si="2"/>
        <v>7.3026746861337552E-3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110765.195792825</v>
      </c>
      <c r="C26" s="39">
        <f>IF(ISERROR(B26*3.6/1000000/'E Balans VL '!Z12*100),0,B26*3.6/1000000/'E Balans VL '!Z12*100)</f>
        <v>3.1238718424470235</v>
      </c>
      <c r="D26" s="237" t="s">
        <v>702</v>
      </c>
      <c r="F26" s="6"/>
    </row>
    <row r="27" spans="1:18">
      <c r="A27" s="231" t="s">
        <v>52</v>
      </c>
      <c r="B27" s="33">
        <f>IF(ISERROR(TER_horeca_ele_kWh/1000),0,TER_horeca_ele_kWh/1000)</f>
        <v>14325.944913848201</v>
      </c>
      <c r="C27" s="39">
        <f>IF(ISERROR(B27*3.6/1000000/'E Balans VL '!Z9*100),0,B27*3.6/1000000/'E Balans VL '!Z9*100)</f>
        <v>1.0620928257525581</v>
      </c>
      <c r="D27" s="237" t="s">
        <v>702</v>
      </c>
      <c r="F27" s="6"/>
    </row>
    <row r="28" spans="1:18">
      <c r="A28" s="171" t="s">
        <v>51</v>
      </c>
      <c r="B28" s="33">
        <f>IF(ISERROR(TER_handel_ele_kWh/1000),0,TER_handel_ele_kWh/1000)</f>
        <v>18186.127760651802</v>
      </c>
      <c r="C28" s="39">
        <f>IF(ISERROR(B28*3.6/1000000/'E Balans VL '!Z13*100),0,B28*3.6/1000000/'E Balans VL '!Z13*100)</f>
        <v>0.54481314857600938</v>
      </c>
      <c r="D28" s="237" t="s">
        <v>702</v>
      </c>
      <c r="F28" s="6"/>
    </row>
    <row r="29" spans="1:18">
      <c r="A29" s="231" t="s">
        <v>50</v>
      </c>
      <c r="B29" s="33">
        <f>IF(ISERROR(TER_gezond_ele_kWh/1000),0,TER_gezond_ele_kWh/1000)</f>
        <v>527.54126666708498</v>
      </c>
      <c r="C29" s="39">
        <f>IF(ISERROR(B29*3.6/1000000/'E Balans VL '!Z10*100),0,B29*3.6/1000000/'E Balans VL '!Z10*100)</f>
        <v>5.216348721684478E-2</v>
      </c>
      <c r="D29" s="237" t="s">
        <v>702</v>
      </c>
      <c r="F29" s="6"/>
    </row>
    <row r="30" spans="1:18">
      <c r="A30" s="231" t="s">
        <v>49</v>
      </c>
      <c r="B30" s="33">
        <f>IF(ISERROR(TER_ander_ele_kWh/1000),0,TER_ander_ele_kWh/1000)</f>
        <v>2088.84166715945</v>
      </c>
      <c r="C30" s="39">
        <f>IF(ISERROR(B30*3.6/1000000/'E Balans VL '!Z14*100),0,B30*3.6/1000000/'E Balans VL '!Z14*100)</f>
        <v>8.4487472506898309E-2</v>
      </c>
      <c r="D30" s="237" t="s">
        <v>702</v>
      </c>
      <c r="F30" s="6"/>
    </row>
    <row r="31" spans="1:18">
      <c r="A31" s="231" t="s">
        <v>54</v>
      </c>
      <c r="B31" s="33">
        <f>IF(ISERROR(TER_onderwijs_ele_kWh/1000),0,TER_onderwijs_ele_kWh/1000)</f>
        <v>220.16249701113</v>
      </c>
      <c r="C31" s="39">
        <f>IF(ISERROR(B31*3.6/1000000/'E Balans VL '!Z11*100),0,B31*3.6/1000000/'E Balans VL '!Z11*100)</f>
        <v>6.0488266655633512E-2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19</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13022.93248067019</v>
      </c>
      <c r="C5" s="17">
        <f>IF(ISERROR('Eigen informatie GS &amp; warmtenet'!B61),0,'Eigen informatie GS &amp; warmtenet'!B61)</f>
        <v>0</v>
      </c>
      <c r="D5" s="30">
        <f>SUM(D6:D15)</f>
        <v>4740.3995646367712</v>
      </c>
      <c r="E5" s="17">
        <f>SUM(E6:E15)</f>
        <v>297.37049588793798</v>
      </c>
      <c r="F5" s="17">
        <f>SUM(F6:F15)</f>
        <v>2370.0929464453229</v>
      </c>
      <c r="G5" s="18"/>
      <c r="H5" s="17"/>
      <c r="I5" s="17"/>
      <c r="J5" s="17">
        <f>SUM(J6:J15)</f>
        <v>0.85647636230707036</v>
      </c>
      <c r="K5" s="17"/>
      <c r="L5" s="17"/>
      <c r="M5" s="17"/>
      <c r="N5" s="17">
        <f>SUM(N6:N15)</f>
        <v>282.13822953411278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887.57977311466902</v>
      </c>
      <c r="C8" s="33"/>
      <c r="D8" s="37">
        <f>IF( ISERROR(IND_metaal_Gas_kWH/1000),0,IND_metaal_Gas_kWH/1000)*0.903</f>
        <v>233.76323359827106</v>
      </c>
      <c r="E8" s="33">
        <f>C30*'E Balans VL '!I18/100/3.6*1000000</f>
        <v>4.4753320803645762</v>
      </c>
      <c r="F8" s="33">
        <f>C30*'E Balans VL '!L18/100/3.6*1000000+C30*'E Balans VL '!N18/100/3.6*1000000</f>
        <v>60.64126382499331</v>
      </c>
      <c r="G8" s="34"/>
      <c r="H8" s="33"/>
      <c r="I8" s="33"/>
      <c r="J8" s="40">
        <f>C30*'E Balans VL '!D18/100/3.6*1000000+C30*'E Balans VL '!E18/100/3.6*1000000</f>
        <v>0.78691518039615294</v>
      </c>
      <c r="K8" s="33"/>
      <c r="L8" s="33"/>
      <c r="M8" s="33"/>
      <c r="N8" s="33">
        <f>C30*'E Balans VL '!Y18/100/3.6*1000000</f>
        <v>11.795940452060336</v>
      </c>
      <c r="O8" s="33"/>
      <c r="P8" s="33"/>
      <c r="R8" s="32"/>
    </row>
    <row r="9" spans="1:18">
      <c r="A9" s="6" t="s">
        <v>32</v>
      </c>
      <c r="B9" s="37">
        <f t="shared" si="0"/>
        <v>3614.88546942638</v>
      </c>
      <c r="C9" s="33"/>
      <c r="D9" s="37">
        <f>IF( ISERROR(IND_andere_gas_kWh/1000),0,IND_andere_gas_kWh/1000)*0.903</f>
        <v>3474.8168470578594</v>
      </c>
      <c r="E9" s="33">
        <f>C31*'E Balans VL '!I19/100/3.6*1000000</f>
        <v>11.394973353612876</v>
      </c>
      <c r="F9" s="33">
        <f>C31*'E Balans VL '!L19/100/3.6*1000000+C31*'E Balans VL '!N19/100/3.6*1000000</f>
        <v>2212.8808469581072</v>
      </c>
      <c r="G9" s="34"/>
      <c r="H9" s="33"/>
      <c r="I9" s="33"/>
      <c r="J9" s="40">
        <f>C31*'E Balans VL '!D19/100/3.6*1000000+C31*'E Balans VL '!E19/100/3.6*1000000</f>
        <v>0</v>
      </c>
      <c r="K9" s="33"/>
      <c r="L9" s="33"/>
      <c r="M9" s="33"/>
      <c r="N9" s="33">
        <f>C31*'E Balans VL '!Y19/100/3.6*1000000</f>
        <v>151.57705609995776</v>
      </c>
      <c r="O9" s="33"/>
      <c r="P9" s="33"/>
      <c r="R9" s="32"/>
    </row>
    <row r="10" spans="1:18">
      <c r="A10" s="6" t="s">
        <v>40</v>
      </c>
      <c r="B10" s="37">
        <f t="shared" si="0"/>
        <v>3732.3433146973498</v>
      </c>
      <c r="C10" s="33"/>
      <c r="D10" s="37">
        <f>IF( ISERROR(IND_voed_gas_kWh/1000),0,IND_voed_gas_kWh/1000)*0.903</f>
        <v>0</v>
      </c>
      <c r="E10" s="33">
        <f>C32*'E Balans VL '!I20/100/3.6*1000000</f>
        <v>5.9483070403662168</v>
      </c>
      <c r="F10" s="33">
        <f>C32*'E Balans VL '!L20/100/3.6*1000000+C32*'E Balans VL '!N20/100/3.6*1000000</f>
        <v>60.641511974151236</v>
      </c>
      <c r="G10" s="34"/>
      <c r="H10" s="33"/>
      <c r="I10" s="33"/>
      <c r="J10" s="40">
        <f>C32*'E Balans VL '!D20/100/3.6*1000000+C32*'E Balans VL '!E20/100/3.6*1000000</f>
        <v>0</v>
      </c>
      <c r="K10" s="33"/>
      <c r="L10" s="33"/>
      <c r="M10" s="33"/>
      <c r="N10" s="33">
        <f>C32*'E Balans VL '!Y20/100/3.6*1000000</f>
        <v>117.88604258879415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57.536960358581197</v>
      </c>
      <c r="C13" s="33"/>
      <c r="D13" s="37">
        <f>IF( ISERROR(IND_papier_gas_kWh/1000),0,IND_papier_gas_kWh/1000)*0.903</f>
        <v>0</v>
      </c>
      <c r="E13" s="33">
        <f>C35*'E Balans VL '!I23/100/3.6*1000000</f>
        <v>0</v>
      </c>
      <c r="F13" s="33">
        <f>C35*'E Balans VL '!L23/100/3.6*1000000+C35*'E Balans VL '!N23/100/3.6*1000000</f>
        <v>2.4927686626869307E-3</v>
      </c>
      <c r="G13" s="34"/>
      <c r="H13" s="33"/>
      <c r="I13" s="33"/>
      <c r="J13" s="40">
        <f>C35*'E Balans VL '!D23/100/3.6*1000000+C35*'E Balans VL '!E23/100/3.6*1000000</f>
        <v>1.5854176667201949E-3</v>
      </c>
      <c r="K13" s="33"/>
      <c r="L13" s="33"/>
      <c r="M13" s="33"/>
      <c r="N13" s="33">
        <f>C35*'E Balans VL '!Y23/100/3.6*1000000</f>
        <v>0</v>
      </c>
      <c r="O13" s="33"/>
      <c r="P13" s="33"/>
      <c r="R13" s="32"/>
    </row>
    <row r="14" spans="1:18">
      <c r="A14" s="6" t="s">
        <v>33</v>
      </c>
      <c r="B14" s="37">
        <f t="shared" si="0"/>
        <v>4697.2909618174399</v>
      </c>
      <c r="C14" s="33"/>
      <c r="D14" s="37">
        <f>IF( ISERROR(IND_chemie_gas_kWh/1000),0,IND_chemie_gas_kWh/1000)*0.903</f>
        <v>0</v>
      </c>
      <c r="E14" s="33">
        <f>C36*'E Balans VL '!I24/100/3.6*1000000</f>
        <v>274.71263153343824</v>
      </c>
      <c r="F14" s="33">
        <f>C36*'E Balans VL '!L24/100/3.6*1000000+C36*'E Balans VL '!N24/100/3.6*1000000</f>
        <v>33.223817607693654</v>
      </c>
      <c r="G14" s="34"/>
      <c r="H14" s="33"/>
      <c r="I14" s="33"/>
      <c r="J14" s="40">
        <f>C36*'E Balans VL '!D24/100/3.6*1000000+C36*'E Balans VL '!E24/100/3.6*1000000</f>
        <v>0</v>
      </c>
      <c r="K14" s="33"/>
      <c r="L14" s="33"/>
      <c r="M14" s="33"/>
      <c r="N14" s="33">
        <f>C36*'E Balans VL '!Y24/100/3.6*1000000</f>
        <v>0.31657925503090312</v>
      </c>
      <c r="O14" s="33"/>
      <c r="P14" s="33"/>
      <c r="R14" s="32"/>
    </row>
    <row r="15" spans="1:18">
      <c r="A15" s="6" t="s">
        <v>269</v>
      </c>
      <c r="B15" s="37">
        <f t="shared" si="0"/>
        <v>33.296001255770001</v>
      </c>
      <c r="C15" s="33"/>
      <c r="D15" s="37">
        <f>IF( ISERROR(IND_rest_gas_kWh/1000),0,IND_rest_gas_kWh/1000)*0.903</f>
        <v>1031.8194839806411</v>
      </c>
      <c r="E15" s="33">
        <f>C37*'E Balans VL '!I15/100/3.6*1000000</f>
        <v>0.83925188015602858</v>
      </c>
      <c r="F15" s="33">
        <f>C37*'E Balans VL '!L15/100/3.6*1000000+C37*'E Balans VL '!N15/100/3.6*1000000</f>
        <v>2.703013311714519</v>
      </c>
      <c r="G15" s="34"/>
      <c r="H15" s="33"/>
      <c r="I15" s="33"/>
      <c r="J15" s="40">
        <f>C37*'E Balans VL '!D15/100/3.6*1000000+C37*'E Balans VL '!E15/100/3.6*1000000</f>
        <v>6.7975764244197268E-2</v>
      </c>
      <c r="K15" s="33"/>
      <c r="L15" s="33"/>
      <c r="M15" s="33"/>
      <c r="N15" s="33">
        <f>C37*'E Balans VL '!Y15/100/3.6*1000000</f>
        <v>0.56261113826961795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13022.93248067019</v>
      </c>
      <c r="C18" s="21">
        <f>C5+C16</f>
        <v>0</v>
      </c>
      <c r="D18" s="21">
        <f>MAX((D5+D16),0)</f>
        <v>4740.3995646367712</v>
      </c>
      <c r="E18" s="21">
        <f>MAX((E5+E16),0)</f>
        <v>297.37049588793798</v>
      </c>
      <c r="F18" s="21">
        <f>MAX((F5+F16),0)</f>
        <v>2370.0929464453229</v>
      </c>
      <c r="G18" s="21"/>
      <c r="H18" s="21"/>
      <c r="I18" s="21"/>
      <c r="J18" s="21">
        <f>MAX((J5+J16),0)</f>
        <v>0.85647636230707036</v>
      </c>
      <c r="K18" s="21"/>
      <c r="L18" s="21">
        <f>MAX((L5+L16),0)</f>
        <v>0</v>
      </c>
      <c r="M18" s="21"/>
      <c r="N18" s="21">
        <f>MAX((N5+N16),0)</f>
        <v>282.13822953411278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0.21888764326580615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2850.5589991036163</v>
      </c>
      <c r="C22" s="23">
        <f ca="1">C18*C20</f>
        <v>0</v>
      </c>
      <c r="D22" s="23">
        <f>D18*D20</f>
        <v>957.56071205662784</v>
      </c>
      <c r="E22" s="23">
        <f>E18*E20</f>
        <v>67.503102566561921</v>
      </c>
      <c r="F22" s="23">
        <f>F18*F20</f>
        <v>632.81481670090125</v>
      </c>
      <c r="G22" s="23"/>
      <c r="H22" s="23"/>
      <c r="I22" s="23"/>
      <c r="J22" s="23">
        <f>J18*J20</f>
        <v>0.3031926322567029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887.57977311466902</v>
      </c>
      <c r="C30" s="39">
        <f>IF(ISERROR(B30*3.6/1000000/'E Balans VL '!Z18*100),0,B30*3.6/1000000/'E Balans VL '!Z18*100)</f>
        <v>4.4057459555616518E-2</v>
      </c>
      <c r="D30" s="237" t="s">
        <v>702</v>
      </c>
    </row>
    <row r="31" spans="1:18">
      <c r="A31" s="6" t="s">
        <v>32</v>
      </c>
      <c r="B31" s="37">
        <f>IF( ISERROR(IND_ander_ele_kWh/1000),0,IND_ander_ele_kWh/1000)</f>
        <v>3614.88546942638</v>
      </c>
      <c r="C31" s="39">
        <f>IF(ISERROR(B31*3.6/1000000/'E Balans VL '!Z19*100),0,B31*3.6/1000000/'E Balans VL '!Z19*100)</f>
        <v>0.1219838607738333</v>
      </c>
      <c r="D31" s="237" t="s">
        <v>702</v>
      </c>
    </row>
    <row r="32" spans="1:18">
      <c r="A32" s="171" t="s">
        <v>40</v>
      </c>
      <c r="B32" s="37">
        <f>IF( ISERROR(IND_voed_ele_kWh/1000),0,IND_voed_ele_kWh/1000)</f>
        <v>3732.3433146973498</v>
      </c>
      <c r="C32" s="39">
        <f>IF(ISERROR(B32*3.6/1000000/'E Balans VL '!Z20*100),0,B32*3.6/1000000/'E Balans VL '!Z20*100)</f>
        <v>8.7651518925465646E-2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57.536960358581197</v>
      </c>
      <c r="C35" s="39">
        <f>IF(ISERROR(B35*3.6/1000000/'E Balans VL '!Z22*100),0,B35*3.6/1000000/'E Balans VL '!Z22*100)</f>
        <v>8.1628122106737946E-3</v>
      </c>
      <c r="D35" s="237" t="s">
        <v>702</v>
      </c>
    </row>
    <row r="36" spans="1:5">
      <c r="A36" s="171" t="s">
        <v>33</v>
      </c>
      <c r="B36" s="37">
        <f>IF( ISERROR(IND_chemie_ele_kWh/1000),0,IND_chemie_ele_kWh/1000)</f>
        <v>4697.2909618174399</v>
      </c>
      <c r="C36" s="39">
        <f>IF(ISERROR(B36*3.6/1000000/'E Balans VL '!Z24*100),0,B36*3.6/1000000/'E Balans VL '!Z24*100)</f>
        <v>4.2893689051985047E-2</v>
      </c>
      <c r="D36" s="237" t="s">
        <v>702</v>
      </c>
    </row>
    <row r="37" spans="1:5">
      <c r="A37" s="171" t="s">
        <v>269</v>
      </c>
      <c r="B37" s="37">
        <f>IF( ISERROR(IND_rest_ele_kWh/1000),0,IND_rest_ele_kWh/1000)</f>
        <v>33.296001255770001</v>
      </c>
      <c r="C37" s="39">
        <f>IF(ISERROR(B37*3.6/1000000/'E Balans VL '!Z15*100),0,B37*3.6/1000000/'E Balans VL '!Z15*100)</f>
        <v>1.2477773703877646E-4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27.192687212416601</v>
      </c>
      <c r="C5" s="17">
        <f>'Eigen informatie GS &amp; warmtenet'!B62</f>
        <v>0</v>
      </c>
      <c r="D5" s="30">
        <f>IF(ISERROR(SUM(LB_lb_gas_kWh,LB_rest_gas_kWh)/1000),0,SUM(LB_lb_gas_kWh,LB_rest_gas_kWh)/1000)*0.903</f>
        <v>61.285934109773876</v>
      </c>
      <c r="E5" s="17">
        <f>B17*'E Balans VL '!I25/3.6*1000000/100</f>
        <v>1.0140984826477375</v>
      </c>
      <c r="F5" s="17">
        <f>B17*('E Balans VL '!L25/3.6*1000000+'E Balans VL '!N25/3.6*1000000)/100</f>
        <v>88.223584985032318</v>
      </c>
      <c r="G5" s="18"/>
      <c r="H5" s="17"/>
      <c r="I5" s="17"/>
      <c r="J5" s="17">
        <f>('E Balans VL '!D25+'E Balans VL '!E25)/3.6*1000000*landbouw!B17/100</f>
        <v>7.1382146410308387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27.192687212416601</v>
      </c>
      <c r="C8" s="21">
        <f>C5+C6</f>
        <v>0</v>
      </c>
      <c r="D8" s="21">
        <f>MAX((D5+D6),0)</f>
        <v>61.285934109773876</v>
      </c>
      <c r="E8" s="21">
        <f>MAX((E5+E6),0)</f>
        <v>1.0140984826477375</v>
      </c>
      <c r="F8" s="21">
        <f>MAX((F5+F6),0)</f>
        <v>88.223584985032318</v>
      </c>
      <c r="G8" s="21"/>
      <c r="H8" s="21"/>
      <c r="I8" s="21"/>
      <c r="J8" s="21">
        <f>MAX((J5+J6),0)</f>
        <v>7.1382146410308387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0.21888764326580615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5.9521432179900939</v>
      </c>
      <c r="C12" s="23">
        <f ca="1">C8*C10</f>
        <v>0</v>
      </c>
      <c r="D12" s="23">
        <f>D8*D10</f>
        <v>12.379758690174324</v>
      </c>
      <c r="E12" s="23">
        <f>E8*E10</f>
        <v>0.23020035556103641</v>
      </c>
      <c r="F12" s="23">
        <f>F8*F10</f>
        <v>23.555697191003631</v>
      </c>
      <c r="G12" s="23"/>
      <c r="H12" s="23"/>
      <c r="I12" s="23"/>
      <c r="J12" s="23">
        <f>J8*J10</f>
        <v>2.5269279829249167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3.7348446288090423E-3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7">
        <f>B28*'GWP N2O_CH4'!B4</f>
        <v>0</v>
      </c>
      <c r="D28" s="50"/>
    </row>
    <row r="29" spans="1:4">
      <c r="A29" s="41" t="s">
        <v>276</v>
      </c>
      <c r="B29" s="247">
        <f>B34*'ha_N2O bodem landbouw'!B4</f>
        <v>0.5904191920343983</v>
      </c>
      <c r="C29" s="247">
        <f>B29*'GWP N2O_CH4'!B4</f>
        <v>183.02994953066349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1.3455821999077991E-4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1.1729710540487484E-3</v>
      </c>
      <c r="C5" s="440" t="s">
        <v>210</v>
      </c>
      <c r="D5" s="425">
        <f>SUM(D6:D11)</f>
        <v>4.4469691684579874E-3</v>
      </c>
      <c r="E5" s="425">
        <f>SUM(E6:E11)</f>
        <v>2.8573973333748063E-3</v>
      </c>
      <c r="F5" s="438" t="s">
        <v>210</v>
      </c>
      <c r="G5" s="425">
        <f>SUM(G6:G11)</f>
        <v>1.2386273245288992</v>
      </c>
      <c r="H5" s="425">
        <f>SUM(H6:H11)</f>
        <v>0.293574973112052</v>
      </c>
      <c r="I5" s="440" t="s">
        <v>210</v>
      </c>
      <c r="J5" s="440" t="s">
        <v>210</v>
      </c>
      <c r="K5" s="440" t="s">
        <v>210</v>
      </c>
      <c r="L5" s="440" t="s">
        <v>210</v>
      </c>
      <c r="M5" s="425">
        <f>SUM(M6:M11)</f>
        <v>9.014470732784316E-2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1.5964058349244724E-4</v>
      </c>
      <c r="C6" s="426"/>
      <c r="D6" s="893">
        <f>vkm_GW_PW*SUMIFS(TableVerdeelsleutelVkm[CNG],TableVerdeelsleutelVkm[Voertuigtype],"Lichte voertuigen")*SUMIFS(TableECFTransport[EnergieConsumptieFactor (PJ per km)],TableECFTransport[Index],CONCATENATE($A6,"_CNG_CNG"))</f>
        <v>5.7657307007796354E-4</v>
      </c>
      <c r="E6" s="893">
        <f>vkm_GW_PW*SUMIFS(TableVerdeelsleutelVkm[LPG],TableVerdeelsleutelVkm[Voertuigtype],"Lichte voertuigen")*SUMIFS(TableECFTransport[EnergieConsumptieFactor (PJ per km)],TableECFTransport[Index],CONCATENATE($A6,"_LPG_LPG"))</f>
        <v>3.1335266371879751E-4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9.7513418276264849E-2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3.6904913461707767E-2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8.0556690409858446E-3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5.0860853616823673E-2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5.3543982611373687E-7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2.863545723962762E-3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7.8320891211748302E-5</v>
      </c>
      <c r="C8" s="426"/>
      <c r="D8" s="428">
        <f>vkm_NGW_PW*SUMIFS(TableVerdeelsleutelVkm[CNG],TableVerdeelsleutelVkm[Voertuigtype],"Lichte voertuigen")*SUMIFS(TableECFTransport[EnergieConsumptieFactor (PJ per km)],TableECFTransport[Index],CONCATENATE($A8,"_CNG_CNG"))</f>
        <v>4.7948505292018617E-4</v>
      </c>
      <c r="E8" s="428">
        <f>vkm_NGW_PW*SUMIFS(TableVerdeelsleutelVkm[LPG],TableVerdeelsleutelVkm[Voertuigtype],"Lichte voertuigen")*SUMIFS(TableECFTransport[EnergieConsumptieFactor (PJ per km)],TableECFTransport[Index],CONCATENATE($A8,"_LPG_LPG"))</f>
        <v>2.4762805477735589E-4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7.1713145780570878E-2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3.022332197129118E-2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6.1385965046181004E-3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2.1914487892220367E-2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3.3508984250945117E-7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1.2338272504983558E-3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9.350095793445529E-4</v>
      </c>
      <c r="C10" s="426"/>
      <c r="D10" s="428">
        <f>vkm_SW_PW*SUMIFS(TableVerdeelsleutelVkm[CNG],TableVerdeelsleutelVkm[Voertuigtype],"Lichte voertuigen")*SUMIFS(TableECFTransport[EnergieConsumptieFactor (PJ per km)],TableECFTransport[Index],CONCATENATE($A10,"_CNG_CNG"))</f>
        <v>3.3909110454598376E-3</v>
      </c>
      <c r="E10" s="428">
        <f>vkm_SW_PW*SUMIFS(TableVerdeelsleutelVkm[LPG],TableVerdeelsleutelVkm[Voertuigtype],"Lichte voertuigen")*SUMIFS(TableECFTransport[EnergieConsumptieFactor (PJ per km)],TableECFTransport[Index],CONCATENATE($A10,"_LPG_LPG"))</f>
        <v>2.2964166148786527E-3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0.63505312434804462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0.22644183603279613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5.1495966658901368E-2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0.36157229461497487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4.0311165882576241E-6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2.0357102148876732E-2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325.82529279131904</v>
      </c>
      <c r="C14" s="21"/>
      <c r="D14" s="21">
        <f t="shared" ref="D14:M14" si="0">((D5)*10^9/3600)+D12</f>
        <v>1235.2692134605522</v>
      </c>
      <c r="E14" s="21">
        <f t="shared" si="0"/>
        <v>793.72148149300176</v>
      </c>
      <c r="F14" s="21"/>
      <c r="G14" s="21">
        <f t="shared" si="0"/>
        <v>344063.14570247201</v>
      </c>
      <c r="H14" s="21">
        <f t="shared" si="0"/>
        <v>81548.603642236674</v>
      </c>
      <c r="I14" s="21"/>
      <c r="J14" s="21"/>
      <c r="K14" s="21"/>
      <c r="L14" s="21"/>
      <c r="M14" s="21">
        <f t="shared" si="0"/>
        <v>25040.196479956434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0.21888764326580615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71.319130455483077</v>
      </c>
      <c r="C18" s="23"/>
      <c r="D18" s="23">
        <f t="shared" ref="D18:M18" si="1">D14*D16</f>
        <v>249.52438111903157</v>
      </c>
      <c r="E18" s="23">
        <f t="shared" si="1"/>
        <v>180.17477629891141</v>
      </c>
      <c r="F18" s="23"/>
      <c r="G18" s="23">
        <f t="shared" si="1"/>
        <v>91864.859902560027</v>
      </c>
      <c r="H18" s="23">
        <f t="shared" si="1"/>
        <v>20305.602306916931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1.3737835739645699E-2</v>
      </c>
      <c r="H50" s="321">
        <f t="shared" si="2"/>
        <v>0</v>
      </c>
      <c r="I50" s="321">
        <f t="shared" si="2"/>
        <v>0</v>
      </c>
      <c r="J50" s="321">
        <f t="shared" si="2"/>
        <v>0</v>
      </c>
      <c r="K50" s="321">
        <f t="shared" si="2"/>
        <v>0</v>
      </c>
      <c r="L50" s="321">
        <f t="shared" si="2"/>
        <v>0</v>
      </c>
      <c r="M50" s="321">
        <f t="shared" si="2"/>
        <v>7.4549321229037512E-4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1.3737835739645699E-2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7.4549321229037512E-4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3816.0654832349164</v>
      </c>
      <c r="H54" s="21">
        <f t="shared" si="3"/>
        <v>0</v>
      </c>
      <c r="I54" s="21">
        <f t="shared" si="3"/>
        <v>0</v>
      </c>
      <c r="J54" s="21">
        <f t="shared" si="3"/>
        <v>0</v>
      </c>
      <c r="K54" s="21">
        <f t="shared" si="3"/>
        <v>0</v>
      </c>
      <c r="L54" s="21">
        <f t="shared" si="3"/>
        <v>0</v>
      </c>
      <c r="M54" s="21">
        <f t="shared" si="3"/>
        <v>207.08144785843754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0.21888764326580615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1018.8894840237227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1733.309693726042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1733.309693726042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2020-06-20T15:19:33Z</dcterms:modified>
</cp:coreProperties>
</file>