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S33" i="18"/>
  <c r="R33" i="18"/>
  <c r="Q33" i="18"/>
  <c r="P33" i="18"/>
  <c r="D6" i="17" s="1"/>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56" i="22" l="1"/>
  <c r="C58" i="22" s="1"/>
  <c r="D49" i="14" s="1"/>
  <c r="D52" i="14" s="1"/>
  <c r="C20" i="16"/>
  <c r="C22" i="16" s="1"/>
  <c r="D43" i="14" s="1"/>
  <c r="C10" i="17"/>
  <c r="C12" i="17" s="1"/>
  <c r="D54" i="14" s="1"/>
  <c r="D56" i="14" s="1"/>
  <c r="C17" i="49"/>
  <c r="C17" i="19"/>
  <c r="C19" i="19" s="1"/>
  <c r="D39" i="14" s="1"/>
  <c r="C16" i="22"/>
  <c r="C18" i="15"/>
  <c r="C20" i="15" s="1"/>
  <c r="D40" i="14" s="1"/>
  <c r="C10" i="13"/>
  <c r="C12" i="13" s="1"/>
  <c r="D41" i="14" s="1"/>
  <c r="D46" i="14" s="1"/>
  <c r="D61" i="14" s="1"/>
  <c r="D63" i="14" s="1"/>
  <c r="C22" i="59"/>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9" i="48"/>
  <c r="C32" i="48"/>
  <c r="C25" i="48"/>
  <c r="C31" i="48"/>
  <c r="C26" i="48"/>
  <c r="F27" i="14"/>
  <c r="F63" i="14" s="1"/>
  <c r="C78" i="14"/>
  <c r="B78" i="14"/>
  <c r="C27" i="48" l="1"/>
  <c r="C23" i="48"/>
  <c r="C30" i="48"/>
  <c r="C22" i="48"/>
  <c r="C28" i="48"/>
  <c r="B4" i="6"/>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<sst xmlns="http://schemas.openxmlformats.org/spreadsheetml/2006/main" count="2382" uniqueCount="873">
  <si>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</si>
  <si>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</si>
  <si>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</si>
  <si>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</si>
  <si>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</si>
  <si>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</si>
  <si>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</si>
  <si>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</si>
  <si>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</si>
  <si>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</si>
  <si>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</si>
  <si>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</si>
  <si>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</si>
  <si>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</si>
  <si>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</si>
  <si>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</si>
  <si>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</si>
  <si>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</si>
  <si>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</si>
  <si>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</si>
  <si>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</si>
  <si>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</si>
  <si>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</si>
  <si>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</si>
  <si>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</si>
  <si>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</si>
  <si>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</si>
  <si>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</si>
  <si>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</si>
  <si>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</si>
  <si>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</si>
  <si>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</si>
  <si>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</si>
  <si>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</si>
  <si>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</si>
  <si>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</si>
  <si>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</si>
  <si>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</si>
  <si>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</si>
  <si>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</si>
  <si>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</si>
  <si>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</si>
  <si>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</si>
  <si>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</si>
  <si>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</si>
  <si>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</si>
  <si>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</si>
  <si>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</si>
  <si>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</si>
  <si>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</si>
  <si>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</si>
  <si>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</si>
  <si>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</si>
  <si>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</si>
  <si>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</si>
  <si>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</si>
  <si>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</si>
  <si>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</si>
  <si>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</si>
  <si>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</si>
  <si>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</si>
  <si>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</si>
  <si>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</si>
  <si>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</si>
  <si>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</si>
  <si>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</si>
  <si>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</si>
  <si>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</si>
  <si>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</si>
  <si>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</si>
  <si>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</si>
  <si>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</si>
  <si>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</si>
  <si>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</si>
  <si>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</si>
  <si>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</si>
  <si>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</si>
  <si>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</si>
  <si>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</si>
  <si>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</si>
  <si>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</si>
  <si>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</si>
  <si>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</si>
  <si>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</si>
  <si>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</si>
  <si>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</si>
  <si>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</si>
  <si>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</si>
  <si>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</si>
  <si>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</si>
  <si>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</si>
  <si>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</si>
  <si>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</si>
  <si>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</si>
  <si>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</si>
  <si>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</si>
  <si>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</si>
  <si>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</si>
  <si>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</si>
  <si>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</si>
  <si>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</si>
  <si>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</si>
  <si>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</si>
  <si>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</si>
  <si>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</si>
  <si>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</si>
  <si>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</si>
  <si>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</si>
  <si>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</si>
  <si>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</si>
  <si>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</si>
  <si>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</si>
  <si>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</si>
  <si>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</si>
  <si>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</si>
  <si>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</si>
  <si>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</si>
  <si>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</si>
  <si>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</si>
  <si>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</si>
  <si>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</si>
  <si>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</si>
  <si>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</si>
  <si>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</si>
  <si>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</si>
  <si>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</si>
  <si>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</si>
  <si>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</si>
  <si>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</si>
  <si>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</si>
  <si>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</si>
  <si>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</si>
  <si>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</si>
  <si>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</si>
  <si>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</si>
  <si>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</si>
  <si>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</si>
  <si>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</si>
  <si>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</si>
  <si>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</si>
  <si>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</si>
  <si>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</si>
  <si>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</si>
  <si>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</si>
  <si>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</si>
  <si>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</si>
  <si>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</si>
  <si>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</si>
  <si>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</si>
  <si>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</si>
  <si>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</si>
  <si>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</si>
  <si>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</si>
  <si>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</si>
  <si>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</si>
  <si>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</si>
  <si>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</si>
  <si>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</si>
  <si>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</si>
  <si>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</si>
  <si>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</si>
  <si>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</si>
  <si>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</si>
  <si>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</si>
  <si>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</si>
  <si>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</si>
  <si>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</si>
  <si>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</si>
  <si>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</si>
  <si>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</si>
  <si>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</si>
  <si>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</si>
  <si>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</si>
  <si>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</si>
  <si>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</si>
  <si>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</si>
  <si>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</si>
  <si>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</si>
  <si>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</si>
  <si>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</si>
  <si>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</si>
  <si>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</si>
  <si>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</si>
  <si>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</si>
  <si>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</si>
  <si>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</si>
  <si>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</si>
  <si>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</si>
  <si>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</si>
  <si>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</si>
  <si>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</si>
  <si>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</si>
  <si>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</si>
  <si>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</si>
  <si>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</si>
  <si>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</si>
  <si>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</si>
  <si>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</si>
  <si>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</si>
  <si>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</si>
  <si>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</si>
  <si>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</si>
  <si>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</si>
  <si>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</si>
  <si>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</si>
  <si>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</si>
  <si>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</si>
  <si>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</si>
  <si>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</si>
  <si>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</si>
  <si>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</si>
  <si>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</si>
  <si>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</si>
  <si>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</si>
  <si>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</si>
  <si>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</si>
  <si>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</si>
  <si>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</si>
  <si>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</si>
  <si>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</si>
  <si>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</si>
  <si>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</si>
  <si>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</si>
  <si>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</si>
  <si>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</si>
  <si>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</si>
  <si>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</si>
  <si>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</si>
  <si>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</si>
  <si>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</si>
  <si>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</si>
  <si>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</si>
  <si>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</si>
  <si>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</si>
  <si>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</si>
  <si>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</si>
  <si>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</si>
  <si>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</si>
  <si>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</si>
  <si>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</si>
  <si>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</si>
  <si>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</si>
  <si>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</si>
  <si>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</si>
  <si>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</si>
  <si>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</si>
  <si>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</si>
  <si>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</si>
  <si>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</si>
  <si>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</si>
  <si>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</si>
  <si>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</si>
  <si>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</si>
  <si>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</si>
  <si>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</si>
  <si>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</si>
  <si>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</si>
  <si>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</si>
  <si>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</si>
  <si>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</si>
  <si>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</si>
  <si>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</si>
  <si>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</si>
  <si>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</si>
  <si>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</si>
  <si>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</si>
  <si>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</si>
  <si>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</si>
  <si>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</si>
  <si>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</si>
  <si>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</si>
  <si>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</si>
  <si>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</si>
  <si>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</si>
  <si>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</si>
  <si>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</si>
  <si>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</si>
  <si>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</si>
  <si>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</si>
  <si>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</si>
  <si>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</si>
  <si>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</si>
  <si>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</si>
  <si>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</si>
  <si>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</si>
  <si>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</si>
  <si>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</si>
  <si>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</si>
  <si>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</si>
  <si>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</si>
  <si>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</si>
  <si>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</si>
  <si>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</si>
  <si>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</si>
  <si>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</si>
  <si>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</si>
  <si>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</si>
  <si>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</si>
  <si>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</si>
  <si>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</si>
  <si>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</si>
  <si>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</si>
  <si>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</si>
  <si>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</si>
  <si>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</si>
  <si>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</si>
  <si>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</si>
  <si>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</si>
  <si>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</si>
  <si>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</si>
  <si>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</si>
  <si>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</si>
  <si>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</si>
  <si>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</si>
  <si>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</si>
  <si>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</si>
  <si>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</si>
  <si>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</si>
  <si>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</si>
  <si>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</si>
  <si>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</si>
  <si>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</si>
  <si>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</si>
  <si>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</si>
  <si>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</si>
  <si>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</si>
  <si>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</si>
  <si>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</si>
  <si>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</si>
  <si>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</si>
  <si>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</si>
  <si>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</si>
  <si>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</si>
  <si>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</si>
  <si>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</si>
  <si>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</si>
  <si>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</si>
  <si>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</si>
  <si>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</si>
  <si>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</si>
  <si>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</si>
  <si>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</si>
  <si>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</si>
  <si>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</si>
  <si>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</si>
  <si>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</si>
  <si>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</si>
  <si>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</si>
  <si>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</si>
  <si>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</si>
  <si>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</si>
  <si>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</si>
  <si>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</si>
  <si>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</si>
  <si>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</si>
  <si>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</si>
  <si>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</si>
  <si>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</si>
  <si>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</si>
  <si>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</si>
  <si>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</si>
  <si>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</si>
  <si>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</si>
  <si>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</si>
  <si>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</si>
  <si>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</si>
  <si>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</si>
  <si>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</si>
  <si>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</si>
  <si>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</si>
  <si>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</si>
  <si>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</si>
  <si>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</si>
  <si>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</si>
  <si>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</si>
  <si>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</si>
  <si>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</si>
  <si>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</si>
  <si>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</si>
  <si>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</si>
  <si>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</si>
  <si>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</si>
  <si>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</si>
  <si>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</si>
  <si>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</si>
  <si>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</si>
  <si>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</si>
  <si>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</si>
  <si>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</si>
  <si>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</si>
  <si>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</si>
  <si>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</si>
  <si>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</si>
  <si>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</si>
  <si>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</si>
  <si>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</si>
  <si>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</si>
  <si>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</si>
  <si>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</si>
  <si>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</si>
  <si>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</si>
  <si>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</si>
  <si>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</si>
  <si>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</si>
  <si>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</si>
  <si>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</si>
  <si>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</si>
  <si>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</si>
  <si>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</si>
  <si>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</si>
  <si>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</si>
  <si>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</si>
  <si>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</si>
  <si>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</si>
  <si>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</si>
  <si>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</si>
  <si>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</si>
  <si>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</si>
  <si>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</si>
  <si>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</si>
  <si>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</si>
  <si>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</si>
  <si>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</si>
  <si>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</si>
  <si>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</si>
  <si>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</si>
  <si>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</si>
  <si>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</si>
  <si>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</si>
  <si>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</si>
  <si>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</si>
  <si>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</si>
  <si>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</si>
  <si>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</si>
  <si>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</si>
  <si>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</si>
  <si>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</si>
  <si>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</si>
  <si>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</si>
  <si>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</si>
  <si>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</si>
  <si>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</si>
  <si>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</si>
  <si>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</si>
  <si>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</si>
  <si>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</si>
  <si>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</si>
  <si>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</si>
  <si>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</si>
  <si>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</si>
  <si>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</si>
  <si>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</si>
  <si>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</si>
  <si>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</si>
  <si>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</si>
  <si>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</si>
  <si>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</si>
  <si>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</si>
  <si>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</si>
  <si>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</si>
  <si>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</si>
  <si>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</si>
  <si>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</si>
  <si>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</si>
  <si>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</si>
  <si>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</si>
  <si>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</si>
  <si>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</si>
  <si>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</si>
  <si>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</si>
  <si>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</si>
  <si>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</si>
  <si>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</si>
  <si>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</si>
  <si>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</si>
  <si>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</si>
  <si>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</si>
  <si>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</si>
  <si>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</si>
  <si>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</si>
  <si>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</si>
  <si>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</si>
  <si>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</si>
  <si>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</si>
  <si>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</si>
  <si>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</si>
  <si>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</si>
  <si>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</si>
  <si>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</si>
  <si>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</si>
  <si>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</si>
  <si>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</si>
  <si>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</si>
  <si>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</si>
  <si>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</si>
  <si>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</si>
  <si>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</si>
  <si>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</si>
  <si>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</si>
  <si>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</si>
  <si>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</si>
  <si>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</si>
  <si>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</si>
  <si>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</si>
  <si>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</si>
  <si>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</si>
  <si>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</si>
  <si>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</si>
  <si>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</si>
  <si>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</si>
  <si>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</si>
  <si>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</si>
  <si>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</si>
  <si>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</si>
  <si>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</si>
  <si>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</si>
  <si>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</si>
  <si>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</si>
  <si>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</si>
  <si>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</si>
  <si>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</si>
  <si>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</si>
  <si>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</si>
  <si>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</si>
  <si>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</si>
  <si>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</si>
  <si>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</si>
  <si>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</si>
  <si>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</si>
  <si>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</si>
  <si>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</si>
  <si>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</si>
  <si>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</si>
  <si>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</si>
  <si>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</si>
  <si>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</si>
  <si>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</si>
  <si>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</si>
  <si>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</si>
  <si>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</si>
  <si>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</si>
  <si>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</si>
  <si>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</si>
  <si>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</si>
  <si>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</si>
  <si>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</si>
  <si>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</si>
  <si>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</si>
  <si>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</si>
  <si>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</si>
  <si>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</si>
  <si>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</si>
  <si>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</si>
  <si>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</si>
  <si>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</si>
  <si>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</si>
  <si>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</si>
  <si>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</si>
  <si>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</si>
  <si>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</si>
  <si>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</si>
  <si>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</si>
  <si>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</si>
  <si>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</si>
  <si>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</si>
  <si>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</si>
  <si>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</si>
  <si>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</si>
  <si>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</si>
  <si>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</si>
  <si>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</si>
  <si>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</si>
  <si>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</si>
  <si>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</si>
  <si>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</si>
  <si>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</si>
  <si>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</si>
  <si>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</si>
  <si>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</si>
  <si>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</si>
  <si>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</si>
  <si>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</si>
  <si>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</si>
  <si>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</si>
  <si>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</si>
  <si>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</si>
  <si>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</si>
  <si>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</si>
  <si>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</si>
  <si>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</si>
  <si>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</si>
  <si>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</si>
  <si>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</si>
  <si>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</si>
  <si>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</si>
  <si>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</si>
  <si>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</si>
  <si>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</si>
  <si>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</si>
  <si>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</si>
  <si>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</si>
  <si>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</si>
  <si>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</si>
  <si>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</si>
  <si>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</si>
  <si>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</si>
  <si>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</si>
  <si>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</si>
  <si>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</si>
  <si>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</si>
  <si>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</si>
  <si>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</si>
  <si>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</si>
  <si>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</si>
  <si>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</si>
  <si>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</si>
  <si>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</si>
  <si>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</si>
  <si>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</si>
  <si>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</si>
  <si>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</si>
  <si>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</si>
  <si>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</si>
  <si>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</si>
  <si>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</si>
  <si>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</si>
  <si>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</si>
  <si>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</si>
  <si>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</si>
  <si>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</si>
  <si>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</si>
  <si>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</si>
  <si>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</si>
  <si>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</si>
  <si>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</si>
  <si>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</si>
  <si>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</si>
  <si>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</si>
  <si>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</si>
  <si>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</si>
  <si>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</si>
  <si>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</si>
  <si>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</si>
  <si>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</si>
  <si>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</si>
  <si>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</si>
  <si>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</si>
  <si>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</si>
  <si>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</si>
  <si>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</si>
  <si>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</si>
  <si>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</si>
  <si>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</si>
  <si>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</si>
  <si>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</si>
  <si>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</si>
  <si>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</si>
  <si>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</si>
  <si>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</si>
  <si>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</si>
  <si>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</si>
  <si>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</si>
  <si>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</si>
  <si>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</si>
  <si>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</si>
  <si>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</si>
  <si>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</si>
  <si>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</si>
  <si>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</si>
  <si>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</si>
  <si>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</si>
  <si>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</si>
  <si>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</si>
  <si>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</si>
  <si>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</si>
  <si>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</si>
  <si>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</si>
  <si>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</si>
  <si>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</si>
  <si>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</si>
  <si>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</si>
  <si>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</si>
  <si>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</si>
  <si>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</si>
  <si>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</si>
  <si>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</si>
  <si>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</si>
  <si>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</si>
  <si>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</si>
  <si>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</si>
  <si>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</si>
  <si>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</si>
  <si>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</si>
  <si>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</si>
  <si>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</si>
  <si>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</si>
  <si>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</si>
  <si>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</si>
  <si>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</si>
  <si>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</si>
  <si>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</si>
  <si>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</si>
  <si>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</si>
  <si>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</si>
  <si>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</si>
  <si>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</si>
  <si>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</si>
  <si>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</si>
  <si>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</si>
  <si>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</si>
  <si>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</si>
  <si>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</si>
  <si>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</si>
  <si>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</si>
  <si>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</si>
  <si>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</si>
  <si>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</si>
  <si>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</si>
  <si>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</si>
  <si>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</si>
  <si>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</si>
  <si>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</si>
  <si>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</si>
  <si>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</si>
  <si>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</si>
  <si>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</si>
  <si>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</si>
  <si>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</si>
  <si>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</si>
  <si>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</si>
  <si>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</si>
  <si>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</si>
  <si>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</si>
  <si>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</si>
  <si>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</si>
  <si>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</si>
  <si>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</si>
  <si>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</si>
  <si>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</si>
  <si>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</si>
  <si>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</si>
  <si>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</si>
  <si>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</si>
  <si>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</si>
  <si>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</si>
  <si>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</si>
  <si>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</si>
  <si>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</si>
  <si>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</si>
  <si>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</si>
  <si>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</si>
  <si>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</si>
  <si>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</si>
  <si>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</si>
  <si>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</si>
  <si>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</si>
  <si>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</si>
  <si>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</si>
  <si>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</si>
  <si>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</si>
  <si>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</si>
  <si>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</si>
  <si>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</si>
  <si>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</si>
  <si>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</si>
  <si>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</si>
  <si>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</si>
  <si>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</si>
  <si>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</si>
  <si>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</si>
  <si>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</si>
  <si>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</si>
  <si>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</si>
  <si>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</si>
  <si>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</si>
  <si>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</si>
  <si>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</si>
  <si>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</si>
  <si>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</si>
  <si>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</si>
  <si>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</si>
  <si>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</si>
  <si>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</si>
  <si>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</si>
  <si>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</si>
  <si>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</si>
  <si>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</si>
  <si>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</si>
  <si>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</si>
  <si>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</si>
  <si>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</si>
  <si>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</si>
  <si>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</si>
  <si>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</si>
  <si>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</si>
  <si>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</si>
  <si>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</si>
  <si>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</si>
  <si>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</si>
  <si>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</si>
  <si>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</si>
  <si>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</si>
  <si>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</si>
  <si>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</si>
  <si>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</si>
  <si>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</si>
  <si>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</si>
  <si>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</si>
  <si>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</si>
  <si>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</si>
  <si>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</si>
  <si>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</si>
  <si>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</si>
  <si>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</si>
  <si>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</si>
  <si>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</si>
  <si>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</si>
  <si>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</si>
  <si>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</si>
  <si>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</si>
  <si>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</si>
  <si>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</si>
  <si>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</si>
  <si>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</si>
  <si>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</si>
  <si>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</si>
  <si>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</si>
  <si>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</si>
  <si>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</si>
  <si>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</si>
  <si>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</si>
  <si>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</si>
  <si>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</si>
  <si>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</si>
  <si>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</si>
  <si>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</si>
  <si>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</si>
  <si>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</si>
  <si>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</si>
  <si>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</si>
  <si>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</si>
  <si>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</si>
  <si>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</si>
  <si>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</si>
  <si>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</si>
  <si>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</si>
  <si>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</si>
  <si>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</si>
  <si>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</si>
  <si>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</si>
  <si>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</si>
  <si>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</si>
  <si>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</si>
  <si>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</si>
  <si>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</si>
  <si>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</si>
  <si>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</si>
  <si>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</si>
  <si>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</si>
  <si>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</si>
  <si>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</si>
  <si>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</si>
  <si>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23027</t>
  </si>
  <si>
    <t>HALLE</t>
  </si>
  <si>
    <t>referentietaak LNE (2017); Jaarverslag De Lijn</t>
  </si>
  <si>
    <t>GSL BVBA</t>
  </si>
  <si>
    <t>Scheyssingen 17 , 1500 Halle</t>
  </si>
  <si>
    <t>WKK-0209 GSL</t>
  </si>
  <si>
    <t>interne verbrandingsmotor</t>
  </si>
  <si>
    <t>WKK interne verbrandinsgmotor (gas)</t>
  </si>
  <si>
    <t>IVERLEK</t>
  </si>
  <si>
    <t>WKK-0676 Eoly</t>
  </si>
  <si>
    <t>Zinkstraat 1 , 1500 Halle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</si>
</sst>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251010.25102731245</c:v>
                </c:pt>
                <c:pt idx="1">
                  <c:v>186358.03567242599</c:v>
                </c:pt>
                <c:pt idx="2">
                  <c:v>2235.7440000000001</c:v>
                </c:pt>
                <c:pt idx="3">
                  <c:v>16231.296027726738</c:v>
                </c:pt>
                <c:pt idx="4">
                  <c:v>112782.92614406286</c:v>
                </c:pt>
                <c:pt idx="5">
                  <c:v>616332.45703609765</c:v>
                </c:pt>
                <c:pt idx="6">
                  <c:v>3794.9616101064694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251010.25102731245</c:v>
                </c:pt>
                <c:pt idx="1">
                  <c:v>186358.03567242599</c:v>
                </c:pt>
                <c:pt idx="2">
                  <c:v>2235.7440000000001</c:v>
                </c:pt>
                <c:pt idx="3">
                  <c:v>16231.296027726738</c:v>
                </c:pt>
                <c:pt idx="4">
                  <c:v>112782.92614406286</c:v>
                </c:pt>
                <c:pt idx="5">
                  <c:v>616332.45703609765</c:v>
                </c:pt>
                <c:pt idx="6">
                  <c:v>3794.9616101064694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45766.18971424699</c:v>
                </c:pt>
                <c:pt idx="1">
                  <c:v>35261.38522444963</c:v>
                </c:pt>
                <c:pt idx="2">
                  <c:v>391.33972881405094</c:v>
                </c:pt>
                <c:pt idx="3">
                  <c:v>2734.6843429357027</c:v>
                </c:pt>
                <c:pt idx="4">
                  <c:v>21897.146627753027</c:v>
                </c:pt>
                <c:pt idx="5">
                  <c:v>152997.66921987815</c:v>
                </c:pt>
                <c:pt idx="6">
                  <c:v>961.09999038995932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45766.18971424699</c:v>
                </c:pt>
                <c:pt idx="1">
                  <c:v>35261.38522444963</c:v>
                </c:pt>
                <c:pt idx="2">
                  <c:v>391.33972881405094</c:v>
                </c:pt>
                <c:pt idx="3">
                  <c:v>2734.6843429357027</c:v>
                </c:pt>
                <c:pt idx="4">
                  <c:v>21897.146627753027</c:v>
                </c:pt>
                <c:pt idx="5">
                  <c:v>152997.66921987815</c:v>
                </c:pt>
                <c:pt idx="6">
                  <c:v>961.09999038995932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23027</v>
      </c>
      <c r="B6" s="392"/>
      <c r="C6" s="393"/>
    </row>
    <row r="7" spans="1:7" s="390" customFormat="1" ht="15.75" customHeight="1">
      <c r="A7" s="394" t="str">
        <f>txtMunicipality</f>
        <v>HALLE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0.17503780791273549</v>
      </c>
      <c r="C17" s="504">
        <f ca="1">'EF ele_warmte'!B22</f>
        <v>0.10458823529411765</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0.17503780791273549</v>
      </c>
      <c r="C29" s="505">
        <f ca="1">'EF ele_warmte'!B22</f>
        <v>0.10458823529411765</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16430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1627.61</v>
      </c>
      <c r="C14" s="332"/>
      <c r="D14" s="332"/>
      <c r="E14" s="332"/>
      <c r="F14" s="332"/>
    </row>
    <row r="15" spans="1:6">
      <c r="A15" s="1310" t="s">
        <v>183</v>
      </c>
      <c r="B15" s="1311">
        <v>5</v>
      </c>
      <c r="C15" s="332"/>
      <c r="D15" s="332"/>
      <c r="E15" s="332"/>
      <c r="F15" s="332"/>
    </row>
    <row r="16" spans="1:6">
      <c r="A16" s="1310" t="s">
        <v>6</v>
      </c>
      <c r="B16" s="1311">
        <v>210</v>
      </c>
      <c r="C16" s="332"/>
      <c r="D16" s="332"/>
      <c r="E16" s="332"/>
      <c r="F16" s="332"/>
    </row>
    <row r="17" spans="1:6">
      <c r="A17" s="1310" t="s">
        <v>7</v>
      </c>
      <c r="B17" s="1311">
        <v>225</v>
      </c>
      <c r="C17" s="332"/>
      <c r="D17" s="332"/>
      <c r="E17" s="332"/>
      <c r="F17" s="332"/>
    </row>
    <row r="18" spans="1:6">
      <c r="A18" s="1310" t="s">
        <v>8</v>
      </c>
      <c r="B18" s="1311">
        <v>253</v>
      </c>
      <c r="C18" s="332"/>
      <c r="D18" s="332"/>
      <c r="E18" s="332"/>
      <c r="F18" s="332"/>
    </row>
    <row r="19" spans="1:6">
      <c r="A19" s="1310" t="s">
        <v>9</v>
      </c>
      <c r="B19" s="1311">
        <v>217</v>
      </c>
      <c r="C19" s="332"/>
      <c r="D19" s="332"/>
      <c r="E19" s="332"/>
      <c r="F19" s="332"/>
    </row>
    <row r="20" spans="1:6">
      <c r="A20" s="1310" t="s">
        <v>10</v>
      </c>
      <c r="B20" s="1311">
        <v>294</v>
      </c>
      <c r="C20" s="332"/>
      <c r="D20" s="332"/>
      <c r="E20" s="332"/>
      <c r="F20" s="332"/>
    </row>
    <row r="21" spans="1:6">
      <c r="A21" s="1310" t="s">
        <v>11</v>
      </c>
      <c r="B21" s="1311">
        <v>797</v>
      </c>
      <c r="C21" s="332"/>
      <c r="D21" s="332"/>
      <c r="E21" s="332"/>
      <c r="F21" s="332"/>
    </row>
    <row r="22" spans="1:6">
      <c r="A22" s="1310" t="s">
        <v>12</v>
      </c>
      <c r="B22" s="1311">
        <v>2027</v>
      </c>
      <c r="C22" s="332"/>
      <c r="D22" s="332"/>
      <c r="E22" s="332"/>
      <c r="F22" s="332"/>
    </row>
    <row r="23" spans="1:6">
      <c r="A23" s="1310" t="s">
        <v>13</v>
      </c>
      <c r="B23" s="1311">
        <v>28</v>
      </c>
      <c r="C23" s="332"/>
      <c r="D23" s="332"/>
      <c r="E23" s="332"/>
      <c r="F23" s="332"/>
    </row>
    <row r="24" spans="1:6">
      <c r="A24" s="1310" t="s">
        <v>14</v>
      </c>
      <c r="B24" s="1311">
        <v>2</v>
      </c>
      <c r="C24" s="332"/>
      <c r="D24" s="332"/>
      <c r="E24" s="332"/>
      <c r="F24" s="332"/>
    </row>
    <row r="25" spans="1:6">
      <c r="A25" s="1310" t="s">
        <v>15</v>
      </c>
      <c r="B25" s="1311">
        <v>182</v>
      </c>
      <c r="C25" s="332"/>
      <c r="D25" s="332"/>
      <c r="E25" s="332"/>
      <c r="F25" s="332"/>
    </row>
    <row r="26" spans="1:6">
      <c r="A26" s="1310" t="s">
        <v>16</v>
      </c>
      <c r="B26" s="1311">
        <v>160</v>
      </c>
      <c r="C26" s="332"/>
      <c r="D26" s="332"/>
      <c r="E26" s="332"/>
      <c r="F26" s="332"/>
    </row>
    <row r="27" spans="1:6">
      <c r="A27" s="1310" t="s">
        <v>17</v>
      </c>
      <c r="B27" s="1311">
        <v>1</v>
      </c>
      <c r="C27" s="332"/>
      <c r="D27" s="332"/>
      <c r="E27" s="332"/>
      <c r="F27" s="332"/>
    </row>
    <row r="28" spans="1:6" s="43" customFormat="1">
      <c r="A28" s="1312" t="s">
        <v>18</v>
      </c>
      <c r="B28" s="1313">
        <v>429</v>
      </c>
      <c r="C28" s="338"/>
      <c r="D28" s="338"/>
      <c r="E28" s="338"/>
      <c r="F28" s="338"/>
    </row>
    <row r="29" spans="1:6">
      <c r="A29" s="1312" t="s">
        <v>699</v>
      </c>
      <c r="B29" s="1313">
        <v>174</v>
      </c>
      <c r="C29" s="338"/>
      <c r="D29" s="338"/>
      <c r="E29" s="338"/>
      <c r="F29" s="338"/>
    </row>
    <row r="30" spans="1:6">
      <c r="A30" s="1305" t="s">
        <v>700</v>
      </c>
      <c r="B30" s="1314">
        <v>16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8</v>
      </c>
      <c r="D36" s="1311">
        <v>2591624.49772606</v>
      </c>
      <c r="E36" s="1311">
        <v>12</v>
      </c>
      <c r="F36" s="1311">
        <v>30687.5424727633</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598</v>
      </c>
    </row>
    <row r="39" spans="1:6">
      <c r="A39" s="1310" t="s">
        <v>29</v>
      </c>
      <c r="B39" s="1310" t="s">
        <v>30</v>
      </c>
      <c r="C39" s="1311">
        <v>12892</v>
      </c>
      <c r="D39" s="1311">
        <v>184197470.86821601</v>
      </c>
      <c r="E39" s="1311">
        <v>16813</v>
      </c>
      <c r="F39" s="1311">
        <v>56018917.879331298</v>
      </c>
    </row>
    <row r="40" spans="1:6">
      <c r="A40" s="1310" t="s">
        <v>29</v>
      </c>
      <c r="B40" s="1310" t="s">
        <v>28</v>
      </c>
      <c r="C40" s="1311">
        <v>0</v>
      </c>
      <c r="D40" s="1311">
        <v>0</v>
      </c>
      <c r="E40" s="1311">
        <v>0</v>
      </c>
      <c r="F40" s="1311">
        <v>0</v>
      </c>
    </row>
    <row r="41" spans="1:6">
      <c r="A41" s="1310" t="s">
        <v>31</v>
      </c>
      <c r="B41" s="1310" t="s">
        <v>32</v>
      </c>
      <c r="C41" s="1311">
        <v>261</v>
      </c>
      <c r="D41" s="1311">
        <v>2982803.7143204999</v>
      </c>
      <c r="E41" s="1311">
        <v>373</v>
      </c>
      <c r="F41" s="1311">
        <v>26941937.031180698</v>
      </c>
    </row>
    <row r="42" spans="1:6">
      <c r="A42" s="1310" t="s">
        <v>31</v>
      </c>
      <c r="B42" s="1310" t="s">
        <v>33</v>
      </c>
      <c r="C42" s="1311">
        <v>4</v>
      </c>
      <c r="D42" s="1311">
        <v>39458.290238686401</v>
      </c>
      <c r="E42" s="1311">
        <v>4</v>
      </c>
      <c r="F42" s="1311">
        <v>10977.069768712199</v>
      </c>
    </row>
    <row r="43" spans="1:6">
      <c r="A43" s="1310" t="s">
        <v>31</v>
      </c>
      <c r="B43" s="1310" t="s">
        <v>34</v>
      </c>
      <c r="C43" s="1311">
        <v>0</v>
      </c>
      <c r="D43" s="1311">
        <v>0</v>
      </c>
      <c r="E43" s="1311">
        <v>0</v>
      </c>
      <c r="F43" s="1311">
        <v>0</v>
      </c>
    </row>
    <row r="44" spans="1:6">
      <c r="A44" s="1310" t="s">
        <v>31</v>
      </c>
      <c r="B44" s="1310" t="s">
        <v>35</v>
      </c>
      <c r="C44" s="1311">
        <v>13</v>
      </c>
      <c r="D44" s="1311">
        <v>1328319.7805903</v>
      </c>
      <c r="E44" s="1311">
        <v>37</v>
      </c>
      <c r="F44" s="1311">
        <v>2032129.5792237001</v>
      </c>
    </row>
    <row r="45" spans="1:6">
      <c r="A45" s="1310" t="s">
        <v>31</v>
      </c>
      <c r="B45" s="1310" t="s">
        <v>36</v>
      </c>
      <c r="C45" s="1311">
        <v>0</v>
      </c>
      <c r="D45" s="1311">
        <v>0</v>
      </c>
      <c r="E45" s="1311">
        <v>3</v>
      </c>
      <c r="F45" s="1311">
        <v>92526.945414978502</v>
      </c>
    </row>
    <row r="46" spans="1:6">
      <c r="A46" s="1310" t="s">
        <v>31</v>
      </c>
      <c r="B46" s="1310" t="s">
        <v>37</v>
      </c>
      <c r="C46" s="1311">
        <v>0</v>
      </c>
      <c r="D46" s="1311">
        <v>0</v>
      </c>
      <c r="E46" s="1311">
        <v>0</v>
      </c>
      <c r="F46" s="1311">
        <v>0</v>
      </c>
    </row>
    <row r="47" spans="1:6">
      <c r="A47" s="1310" t="s">
        <v>31</v>
      </c>
      <c r="B47" s="1310" t="s">
        <v>38</v>
      </c>
      <c r="C47" s="1311">
        <v>10</v>
      </c>
      <c r="D47" s="1311">
        <v>19653556.0750672</v>
      </c>
      <c r="E47" s="1311">
        <v>12</v>
      </c>
      <c r="F47" s="1311">
        <v>6674496.4523032997</v>
      </c>
    </row>
    <row r="48" spans="1:6">
      <c r="A48" s="1310" t="s">
        <v>31</v>
      </c>
      <c r="B48" s="1310" t="s">
        <v>28</v>
      </c>
      <c r="C48" s="1311">
        <v>2</v>
      </c>
      <c r="D48" s="1311">
        <v>41346.748217486202</v>
      </c>
      <c r="E48" s="1311">
        <v>0</v>
      </c>
      <c r="F48" s="1311">
        <v>0</v>
      </c>
    </row>
    <row r="49" spans="1:6">
      <c r="A49" s="1310" t="s">
        <v>31</v>
      </c>
      <c r="B49" s="1310" t="s">
        <v>39</v>
      </c>
      <c r="C49" s="1311">
        <v>0</v>
      </c>
      <c r="D49" s="1311">
        <v>0</v>
      </c>
      <c r="E49" s="1311">
        <v>5</v>
      </c>
      <c r="F49" s="1311">
        <v>13296.641416955201</v>
      </c>
    </row>
    <row r="50" spans="1:6">
      <c r="A50" s="1310" t="s">
        <v>31</v>
      </c>
      <c r="B50" s="1310" t="s">
        <v>40</v>
      </c>
      <c r="C50" s="1311">
        <v>11</v>
      </c>
      <c r="D50" s="1311">
        <v>13745228.648965299</v>
      </c>
      <c r="E50" s="1311">
        <v>18</v>
      </c>
      <c r="F50" s="1311">
        <v>23808682.388994001</v>
      </c>
    </row>
    <row r="51" spans="1:6">
      <c r="A51" s="1310" t="s">
        <v>41</v>
      </c>
      <c r="B51" s="1310" t="s">
        <v>42</v>
      </c>
      <c r="C51" s="1311">
        <v>15</v>
      </c>
      <c r="D51" s="1311">
        <v>6246312.5921239499</v>
      </c>
      <c r="E51" s="1311">
        <v>51</v>
      </c>
      <c r="F51" s="1311">
        <v>730639.68604816694</v>
      </c>
    </row>
    <row r="52" spans="1:6">
      <c r="A52" s="1310" t="s">
        <v>41</v>
      </c>
      <c r="B52" s="1310" t="s">
        <v>28</v>
      </c>
      <c r="C52" s="1311">
        <v>0</v>
      </c>
      <c r="D52" s="1311">
        <v>0</v>
      </c>
      <c r="E52" s="1311">
        <v>0</v>
      </c>
      <c r="F52" s="1311">
        <v>0</v>
      </c>
    </row>
    <row r="53" spans="1:6">
      <c r="A53" s="1310" t="s">
        <v>43</v>
      </c>
      <c r="B53" s="1310" t="s">
        <v>44</v>
      </c>
      <c r="C53" s="1311">
        <v>383</v>
      </c>
      <c r="D53" s="1311">
        <v>5265605.70857393</v>
      </c>
      <c r="E53" s="1311">
        <v>697</v>
      </c>
      <c r="F53" s="1311">
        <v>1925186.0390932399</v>
      </c>
    </row>
    <row r="54" spans="1:6">
      <c r="A54" s="1310" t="s">
        <v>45</v>
      </c>
      <c r="B54" s="1310" t="s">
        <v>46</v>
      </c>
      <c r="C54" s="1311">
        <v>0</v>
      </c>
      <c r="D54" s="1311">
        <v>0</v>
      </c>
      <c r="E54" s="1311">
        <v>1</v>
      </c>
      <c r="F54" s="1311">
        <v>2235744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102</v>
      </c>
      <c r="D57" s="1311">
        <v>6299063.8307375303</v>
      </c>
      <c r="E57" s="1311">
        <v>191</v>
      </c>
      <c r="F57" s="1311">
        <v>3880208.7647176799</v>
      </c>
    </row>
    <row r="58" spans="1:6">
      <c r="A58" s="1310" t="s">
        <v>48</v>
      </c>
      <c r="B58" s="1310" t="s">
        <v>50</v>
      </c>
      <c r="C58" s="1311">
        <v>87</v>
      </c>
      <c r="D58" s="1311">
        <v>12366764.409126</v>
      </c>
      <c r="E58" s="1311">
        <v>110</v>
      </c>
      <c r="F58" s="1311">
        <v>7737336.0640994804</v>
      </c>
    </row>
    <row r="59" spans="1:6">
      <c r="A59" s="1310" t="s">
        <v>48</v>
      </c>
      <c r="B59" s="1310" t="s">
        <v>51</v>
      </c>
      <c r="C59" s="1311">
        <v>250</v>
      </c>
      <c r="D59" s="1311">
        <v>66102931.688556001</v>
      </c>
      <c r="E59" s="1311">
        <v>430</v>
      </c>
      <c r="F59" s="1311">
        <v>47135571.396333501</v>
      </c>
    </row>
    <row r="60" spans="1:6">
      <c r="A60" s="1310" t="s">
        <v>48</v>
      </c>
      <c r="B60" s="1310" t="s">
        <v>52</v>
      </c>
      <c r="C60" s="1311">
        <v>162</v>
      </c>
      <c r="D60" s="1311">
        <v>10490876.448396901</v>
      </c>
      <c r="E60" s="1311">
        <v>258</v>
      </c>
      <c r="F60" s="1311">
        <v>4757953.2155465903</v>
      </c>
    </row>
    <row r="61" spans="1:6">
      <c r="A61" s="1310" t="s">
        <v>48</v>
      </c>
      <c r="B61" s="1310" t="s">
        <v>53</v>
      </c>
      <c r="C61" s="1311">
        <v>382</v>
      </c>
      <c r="D61" s="1311">
        <v>14549937.4824227</v>
      </c>
      <c r="E61" s="1311">
        <v>843</v>
      </c>
      <c r="F61" s="1311">
        <v>7457888.0175420297</v>
      </c>
    </row>
    <row r="62" spans="1:6">
      <c r="A62" s="1310" t="s">
        <v>48</v>
      </c>
      <c r="B62" s="1310" t="s">
        <v>54</v>
      </c>
      <c r="C62" s="1311">
        <v>38</v>
      </c>
      <c r="D62" s="1311">
        <v>5348839.6432431899</v>
      </c>
      <c r="E62" s="1311">
        <v>49</v>
      </c>
      <c r="F62" s="1311">
        <v>2323736.10476196</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240991.095196704</v>
      </c>
      <c r="E65" s="1311">
        <v>0</v>
      </c>
      <c r="F65" s="1311">
        <v>0</v>
      </c>
    </row>
    <row r="66" spans="1:6">
      <c r="A66" s="1310" t="s">
        <v>55</v>
      </c>
      <c r="B66" s="1310" t="s">
        <v>57</v>
      </c>
      <c r="C66" s="1311">
        <v>0</v>
      </c>
      <c r="D66" s="1311">
        <v>0</v>
      </c>
      <c r="E66" s="1311">
        <v>24</v>
      </c>
      <c r="F66" s="1311">
        <v>557586.27506899403</v>
      </c>
    </row>
    <row r="67" spans="1:6">
      <c r="A67" s="1312" t="s">
        <v>55</v>
      </c>
      <c r="B67" s="1312" t="s">
        <v>58</v>
      </c>
      <c r="C67" s="1311">
        <v>0</v>
      </c>
      <c r="D67" s="1311">
        <v>0</v>
      </c>
      <c r="E67" s="1311">
        <v>0</v>
      </c>
      <c r="F67" s="1311">
        <v>0</v>
      </c>
    </row>
    <row r="68" spans="1:6">
      <c r="A68" s="1305" t="s">
        <v>55</v>
      </c>
      <c r="B68" s="1305" t="s">
        <v>59</v>
      </c>
      <c r="C68" s="1314">
        <v>8</v>
      </c>
      <c r="D68" s="1314">
        <v>260771.53633001901</v>
      </c>
      <c r="E68" s="1314">
        <v>19</v>
      </c>
      <c r="F68" s="1314">
        <v>541185.54500213999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265139835</v>
      </c>
      <c r="E73" s="453"/>
      <c r="F73" s="332"/>
    </row>
    <row r="74" spans="1:6">
      <c r="A74" s="1310" t="s">
        <v>63</v>
      </c>
      <c r="B74" s="1310" t="s">
        <v>648</v>
      </c>
      <c r="C74" s="1324" t="s">
        <v>650</v>
      </c>
      <c r="D74" s="1325">
        <v>21369189.909529895</v>
      </c>
      <c r="E74" s="453"/>
      <c r="F74" s="332"/>
    </row>
    <row r="75" spans="1:6">
      <c r="A75" s="1310" t="s">
        <v>64</v>
      </c>
      <c r="B75" s="1310" t="s">
        <v>647</v>
      </c>
      <c r="C75" s="1324" t="s">
        <v>651</v>
      </c>
      <c r="D75" s="1325">
        <v>171048462</v>
      </c>
      <c r="E75" s="453"/>
      <c r="F75" s="332"/>
    </row>
    <row r="76" spans="1:6">
      <c r="A76" s="1310" t="s">
        <v>64</v>
      </c>
      <c r="B76" s="1310" t="s">
        <v>648</v>
      </c>
      <c r="C76" s="1324" t="s">
        <v>652</v>
      </c>
      <c r="D76" s="1325">
        <v>8198404.9095298946</v>
      </c>
      <c r="E76" s="453"/>
      <c r="F76" s="332"/>
    </row>
    <row r="77" spans="1:6">
      <c r="A77" s="1310" t="s">
        <v>65</v>
      </c>
      <c r="B77" s="1310" t="s">
        <v>647</v>
      </c>
      <c r="C77" s="1324" t="s">
        <v>653</v>
      </c>
      <c r="D77" s="1325">
        <v>228153203</v>
      </c>
      <c r="E77" s="453"/>
      <c r="F77" s="332"/>
    </row>
    <row r="78" spans="1:6">
      <c r="A78" s="1305" t="s">
        <v>65</v>
      </c>
      <c r="B78" s="1305" t="s">
        <v>648</v>
      </c>
      <c r="C78" s="1305" t="s">
        <v>654</v>
      </c>
      <c r="D78" s="1326">
        <v>20789586</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1052630.1809402099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30158.224154313477</v>
      </c>
      <c r="C90" s="332"/>
      <c r="D90" s="332"/>
      <c r="E90" s="332"/>
      <c r="F90" s="332"/>
    </row>
    <row r="91" spans="1:6">
      <c r="A91" s="1310" t="s">
        <v>67</v>
      </c>
      <c r="B91" s="1311">
        <v>4800.2443454655613</v>
      </c>
      <c r="C91" s="332"/>
      <c r="D91" s="332"/>
      <c r="E91" s="332"/>
      <c r="F91" s="332"/>
    </row>
    <row r="92" spans="1:6">
      <c r="A92" s="1305" t="s">
        <v>68</v>
      </c>
      <c r="B92" s="1306">
        <v>2477.6003791326334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8417</v>
      </c>
      <c r="C97" s="332"/>
      <c r="D97" s="332"/>
      <c r="E97" s="332"/>
      <c r="F97" s="332"/>
    </row>
    <row r="98" spans="1:6">
      <c r="A98" s="1310" t="s">
        <v>71</v>
      </c>
      <c r="B98" s="1311">
        <v>12</v>
      </c>
      <c r="C98" s="332"/>
      <c r="D98" s="332"/>
      <c r="E98" s="332"/>
      <c r="F98" s="332"/>
    </row>
    <row r="99" spans="1:6">
      <c r="A99" s="1310" t="s">
        <v>72</v>
      </c>
      <c r="B99" s="1311">
        <v>88</v>
      </c>
      <c r="C99" s="332"/>
      <c r="D99" s="332"/>
      <c r="E99" s="332"/>
      <c r="F99" s="332"/>
    </row>
    <row r="100" spans="1:6">
      <c r="A100" s="1310" t="s">
        <v>73</v>
      </c>
      <c r="B100" s="1311">
        <v>1444</v>
      </c>
      <c r="C100" s="332"/>
      <c r="D100" s="332"/>
      <c r="E100" s="332"/>
      <c r="F100" s="332"/>
    </row>
    <row r="101" spans="1:6">
      <c r="A101" s="1310" t="s">
        <v>74</v>
      </c>
      <c r="B101" s="1311">
        <v>114</v>
      </c>
      <c r="C101" s="332"/>
      <c r="D101" s="332"/>
      <c r="E101" s="332"/>
      <c r="F101" s="332"/>
    </row>
    <row r="102" spans="1:6">
      <c r="A102" s="1310" t="s">
        <v>75</v>
      </c>
      <c r="B102" s="1311">
        <v>218</v>
      </c>
      <c r="C102" s="332"/>
      <c r="D102" s="332"/>
      <c r="E102" s="332"/>
      <c r="F102" s="332"/>
    </row>
    <row r="103" spans="1:6">
      <c r="A103" s="1310" t="s">
        <v>76</v>
      </c>
      <c r="B103" s="1311">
        <v>298</v>
      </c>
      <c r="C103" s="332"/>
      <c r="D103" s="332"/>
      <c r="E103" s="332"/>
      <c r="F103" s="332"/>
    </row>
    <row r="104" spans="1:6">
      <c r="A104" s="1310" t="s">
        <v>77</v>
      </c>
      <c r="B104" s="1311">
        <v>3161</v>
      </c>
      <c r="C104" s="332"/>
      <c r="D104" s="332"/>
      <c r="E104" s="332"/>
      <c r="F104" s="332"/>
    </row>
    <row r="105" spans="1:6">
      <c r="A105" s="1305" t="s">
        <v>78</v>
      </c>
      <c r="B105" s="1314">
        <v>7</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35</v>
      </c>
      <c r="C123" s="1311">
        <v>28</v>
      </c>
      <c r="D123" s="332"/>
      <c r="E123" s="332"/>
      <c r="F123" s="332"/>
    </row>
    <row r="124" spans="1:6" s="43" customFormat="1">
      <c r="A124" s="1312" t="s">
        <v>88</v>
      </c>
      <c r="B124" s="1333">
        <v>2</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144</v>
      </c>
      <c r="C129" s="332"/>
      <c r="D129" s="332"/>
      <c r="E129" s="332"/>
      <c r="F129" s="332"/>
    </row>
    <row r="130" spans="1:6">
      <c r="A130" s="1310" t="s">
        <v>294</v>
      </c>
      <c r="B130" s="1311">
        <v>0</v>
      </c>
      <c r="C130" s="332"/>
      <c r="D130" s="332"/>
      <c r="E130" s="332"/>
      <c r="F130" s="332"/>
    </row>
    <row r="131" spans="1:6">
      <c r="A131" s="1310" t="s">
        <v>295</v>
      </c>
      <c r="B131" s="1311">
        <v>3</v>
      </c>
      <c r="C131" s="332"/>
      <c r="D131" s="332"/>
      <c r="E131" s="332"/>
      <c r="F131" s="332"/>
    </row>
    <row r="132" spans="1:6">
      <c r="A132" s="1305" t="s">
        <v>296</v>
      </c>
      <c r="B132" s="1306">
        <v>14</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203026.74306088191</v>
      </c>
      <c r="C3" s="43" t="s">
        <v>169</v>
      </c>
      <c r="D3" s="43"/>
      <c r="E3" s="154"/>
      <c r="F3" s="43"/>
      <c r="G3" s="43"/>
      <c r="H3" s="43"/>
      <c r="I3" s="43"/>
      <c r="J3" s="43"/>
      <c r="K3" s="96"/>
    </row>
    <row r="4" spans="1:11">
      <c r="A4" s="360" t="s">
        <v>170</v>
      </c>
      <c r="B4" s="49">
        <f>IF(ISERROR('SEAP template'!B78+'SEAP template'!C78),0,'SEAP template'!B78+'SEAP template'!C78)</f>
        <v>46526.068878911668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950.70705882352934</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0.17503780791273549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1358.1529411764707</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12985.714285714286</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0.10458823529411765</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2235.7440000000001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2235.7440000000001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0.17503780791273549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391.33972881405094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56018.917879331297</v>
      </c>
      <c r="C5" s="17">
        <f>IF(ISERROR('Eigen informatie GS &amp; warmtenet'!B59),0,'Eigen informatie GS &amp; warmtenet'!B59)</f>
        <v>0</v>
      </c>
      <c r="D5" s="30">
        <f>(SUM(HH_hh_gas_kWh,HH_rest_gas_kWh)/1000)*0.903</f>
        <v>166330.31619399905</v>
      </c>
      <c r="E5" s="17">
        <f>B46*B57</f>
        <v>6704.0220622981924</v>
      </c>
      <c r="F5" s="17">
        <f>B51*B62</f>
        <v>0</v>
      </c>
      <c r="G5" s="18"/>
      <c r="H5" s="17"/>
      <c r="I5" s="17"/>
      <c r="J5" s="17">
        <f>B50*B61+C50*C61</f>
        <v>0</v>
      </c>
      <c r="K5" s="17"/>
      <c r="L5" s="17"/>
      <c r="M5" s="17"/>
      <c r="N5" s="17">
        <f>B48*B59+C48*C59</f>
        <v>16278.277807791819</v>
      </c>
      <c r="O5" s="17">
        <f>B69*B70*B71</f>
        <v>341.24081373456949</v>
      </c>
      <c r="P5" s="17">
        <f>B77*B78*B79/1000-B77*B78*B79/1000/B80</f>
        <v>537.23192469193623</v>
      </c>
    </row>
    <row r="6" spans="1:16">
      <c r="A6" s="16" t="s">
        <v>612</v>
      </c>
      <c r="B6" s="786">
        <f>kWh_PV_kleiner_dan_10kW</f>
        <v>4800.2443454655613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60819.162224796855</v>
      </c>
      <c r="C8" s="21">
        <f>C5</f>
        <v>0</v>
      </c>
      <c r="D8" s="21">
        <f>D5</f>
        <v>166330.31619399905</v>
      </c>
      <c r="E8" s="21">
        <f>E5</f>
        <v>6704.0220622981924</v>
      </c>
      <c r="F8" s="21">
        <f>F5</f>
        <v>0</v>
      </c>
      <c r="G8" s="21"/>
      <c r="H8" s="21"/>
      <c r="I8" s="21"/>
      <c r="J8" s="21">
        <f>J5</f>
        <v>0</v>
      </c>
      <c r="K8" s="21"/>
      <c r="L8" s="21">
        <f>L5</f>
        <v>0</v>
      </c>
      <c r="M8" s="21">
        <f>M5</f>
        <v>0</v>
      </c>
      <c r="N8" s="21">
        <f>N5</f>
        <v>16278.277807791819</v>
      </c>
      <c r="O8" s="21">
        <f>O5</f>
        <v>341.24081373456949</v>
      </c>
      <c r="P8" s="21">
        <f>P5</f>
        <v>537.23192469193623</v>
      </c>
    </row>
    <row r="9" spans="1:16">
      <c r="B9" s="19"/>
      <c r="C9" s="19"/>
      <c r="D9" s="258"/>
      <c r="E9" s="19"/>
      <c r="F9" s="19"/>
      <c r="G9" s="19"/>
      <c r="H9" s="19"/>
      <c r="I9" s="19"/>
      <c r="J9" s="19"/>
      <c r="K9" s="19"/>
      <c r="L9" s="19"/>
      <c r="M9" s="19"/>
      <c r="N9" s="19"/>
      <c r="O9" s="19"/>
      <c r="P9" s="19"/>
    </row>
    <row r="10" spans="1:16">
      <c r="A10" s="24" t="s">
        <v>213</v>
      </c>
      <c r="B10" s="25">
        <f ca="1">'EF ele_warmte'!B12</f>
        <v>0.17503780791273549</v>
      </c>
      <c r="C10" s="25">
        <f ca="1">'EF ele_warmte'!B22</f>
        <v>0.10458823529411765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10645.65283491749</v>
      </c>
      <c r="C12" s="23">
        <f ca="1">C10*C8</f>
        <v>0</v>
      </c>
      <c r="D12" s="23">
        <f>D8*D10</f>
        <v>33598.723871187809</v>
      </c>
      <c r="E12" s="23">
        <f>E10*E8</f>
        <v>1521.8130081416898</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8417</v>
      </c>
      <c r="C18" s="166" t="s">
        <v>110</v>
      </c>
      <c r="D18" s="228"/>
      <c r="E18" s="15"/>
    </row>
    <row r="19" spans="1:7">
      <c r="A19" s="171" t="s">
        <v>71</v>
      </c>
      <c r="B19" s="37">
        <f>aantalw2001_ander</f>
        <v>12</v>
      </c>
      <c r="C19" s="166" t="s">
        <v>110</v>
      </c>
      <c r="D19" s="229"/>
      <c r="E19" s="15"/>
    </row>
    <row r="20" spans="1:7">
      <c r="A20" s="171" t="s">
        <v>72</v>
      </c>
      <c r="B20" s="37">
        <f>aantalw2001_propaan</f>
        <v>88</v>
      </c>
      <c r="C20" s="167">
        <f>IF(ISERROR(B20/SUM($B$20,$B$21,$B$22)*100),0,B20/SUM($B$20,$B$21,$B$22)*100)</f>
        <v>5.3462940461725399</v>
      </c>
      <c r="D20" s="229"/>
      <c r="E20" s="15"/>
    </row>
    <row r="21" spans="1:7">
      <c r="A21" s="171" t="s">
        <v>73</v>
      </c>
      <c r="B21" s="37">
        <f>aantalw2001_elektriciteit</f>
        <v>1444</v>
      </c>
      <c r="C21" s="167">
        <f>IF(ISERROR(B21/SUM($B$20,$B$21,$B$22)*100),0,B21/SUM($B$20,$B$21,$B$22)*100)</f>
        <v>87.727825030376678</v>
      </c>
      <c r="D21" s="229"/>
      <c r="E21" s="15"/>
    </row>
    <row r="22" spans="1:7">
      <c r="A22" s="171" t="s">
        <v>74</v>
      </c>
      <c r="B22" s="37">
        <f>aantalw2001_hout</f>
        <v>114</v>
      </c>
      <c r="C22" s="167">
        <f>IF(ISERROR(B22/SUM($B$20,$B$21,$B$22)*100),0,B22/SUM($B$20,$B$21,$B$22)*100)</f>
        <v>6.9258809234507908</v>
      </c>
      <c r="D22" s="229"/>
      <c r="E22" s="15"/>
    </row>
    <row r="23" spans="1:7">
      <c r="A23" s="171" t="s">
        <v>75</v>
      </c>
      <c r="B23" s="37">
        <f>aantalw2001_niet_gespec</f>
        <v>218</v>
      </c>
      <c r="C23" s="166" t="s">
        <v>110</v>
      </c>
      <c r="D23" s="228"/>
      <c r="E23" s="15"/>
    </row>
    <row r="24" spans="1:7">
      <c r="A24" s="171" t="s">
        <v>76</v>
      </c>
      <c r="B24" s="37">
        <f>aantalw2001_steenkool</f>
        <v>298</v>
      </c>
      <c r="C24" s="166" t="s">
        <v>110</v>
      </c>
      <c r="D24" s="229"/>
      <c r="E24" s="15"/>
    </row>
    <row r="25" spans="1:7">
      <c r="A25" s="171" t="s">
        <v>77</v>
      </c>
      <c r="B25" s="37">
        <f>aantalw2001_stookolie</f>
        <v>3161</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838</v>
      </c>
      <c r="B28" s="37">
        <f>aantalHuishoudens</f>
        <v>16430</v>
      </c>
      <c r="C28" s="36"/>
      <c r="D28" s="228"/>
    </row>
    <row r="29" spans="1:7" s="15" customFormat="1">
      <c r="A29" s="230" t="s">
        <v>839</v>
      </c>
      <c r="B29" s="37">
        <f>SUM(HH_hh_gas_aantal,HH_rest_gas_aantal)</f>
        <v>12892</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12892</v>
      </c>
      <c r="C32" s="167">
        <f>IF(ISERROR(B32/SUM($B$32,$B$34,$B$35,$B$36,$B$38,$B$39)*100),0,B32/SUM($B$32,$B$34,$B$35,$B$36,$B$38,$B$39)*100)</f>
        <v>78.710543989254532</v>
      </c>
      <c r="D32" s="233"/>
      <c r="G32" s="15"/>
    </row>
    <row r="33" spans="1:7">
      <c r="A33" s="171" t="s">
        <v>71</v>
      </c>
      <c r="B33" s="34" t="s">
        <v>110</v>
      </c>
      <c r="C33" s="167"/>
      <c r="D33" s="233"/>
      <c r="G33" s="15"/>
    </row>
    <row r="34" spans="1:7">
      <c r="A34" s="171" t="s">
        <v>72</v>
      </c>
      <c r="B34" s="33">
        <f>IF((($B$28-$B$32-$B$39-$B$77-$B$38)*C20/100)&lt;0,0,($B$28-$B$32-$B$39-$B$77-$B$38)*C20/100)</f>
        <v>186.42527339003647</v>
      </c>
      <c r="C34" s="167">
        <f>IF(ISERROR(B34/SUM($B$32,$B$34,$B$35,$B$36,$B$38,$B$39)*100),0,B34/SUM($B$32,$B$34,$B$35,$B$36,$B$38,$B$39)*100)</f>
        <v>1.1381969191650068</v>
      </c>
      <c r="D34" s="233"/>
      <c r="G34" s="15"/>
    </row>
    <row r="35" spans="1:7">
      <c r="A35" s="171" t="s">
        <v>73</v>
      </c>
      <c r="B35" s="33">
        <f>IF((($B$28-$B$32-$B$39-$B$77-$B$38)*C21/100)&lt;0,0,($B$28-$B$32-$B$39-$B$77-$B$38)*C21/100)</f>
        <v>3059.0692588092347</v>
      </c>
      <c r="C35" s="167">
        <f>IF(ISERROR(B35/SUM($B$32,$B$34,$B$35,$B$36,$B$38,$B$39)*100),0,B35/SUM($B$32,$B$34,$B$35,$B$36,$B$38,$B$39)*100)</f>
        <v>18.676776719025792</v>
      </c>
      <c r="D35" s="233"/>
      <c r="G35" s="15"/>
    </row>
    <row r="36" spans="1:7">
      <c r="A36" s="171" t="s">
        <v>74</v>
      </c>
      <c r="B36" s="33">
        <f>IF((($B$28-$B$32-$B$39-$B$77-$B$38)*C22/100)&lt;0,0,($B$28-$B$32-$B$39-$B$77-$B$38)*C22/100)</f>
        <v>241.50546780072906</v>
      </c>
      <c r="C36" s="167">
        <f>IF(ISERROR(B36/SUM($B$32,$B$34,$B$35,$B$36,$B$38,$B$39)*100),0,B36/SUM($B$32,$B$34,$B$35,$B$36,$B$38,$B$39)*100)</f>
        <v>1.4744823725546679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12892</v>
      </c>
      <c r="C44" s="34" t="s">
        <v>110</v>
      </c>
      <c r="D44" s="174"/>
    </row>
    <row r="45" spans="1:7">
      <c r="A45" s="171" t="s">
        <v>71</v>
      </c>
      <c r="B45" s="33" t="str">
        <f t="shared" si="0"/>
        <v>-</v>
      </c>
      <c r="C45" s="34" t="s">
        <v>110</v>
      </c>
      <c r="D45" s="174"/>
    </row>
    <row r="46" spans="1:7">
      <c r="A46" s="171" t="s">
        <v>72</v>
      </c>
      <c r="B46" s="33">
        <f t="shared" si="0"/>
        <v>186.42527339003647</v>
      </c>
      <c r="C46" s="34" t="s">
        <v>110</v>
      </c>
      <c r="D46" s="174"/>
    </row>
    <row r="47" spans="1:7">
      <c r="A47" s="171" t="s">
        <v>73</v>
      </c>
      <c r="B47" s="33">
        <f t="shared" si="0"/>
        <v>3059.0692588092347</v>
      </c>
      <c r="C47" s="34" t="s">
        <v>110</v>
      </c>
      <c r="D47" s="174"/>
    </row>
    <row r="48" spans="1:7">
      <c r="A48" s="171" t="s">
        <v>74</v>
      </c>
      <c r="B48" s="33">
        <f t="shared" si="0"/>
        <v>241.50546780072906</v>
      </c>
      <c r="C48" s="33">
        <f>B48*10</f>
        <v>2415.0546780072905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172</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51</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73292.693563001245</v>
      </c>
      <c r="C5" s="17">
        <f>IF(ISERROR('Eigen informatie GS &amp; warmtenet'!B60),0,'Eigen informatie GS &amp; warmtenet'!B60)</f>
        <v>0</v>
      </c>
      <c r="D5" s="30">
        <f>SUM(D6:D12)</f>
        <v>103988.04739274154</v>
      </c>
      <c r="E5" s="17">
        <f>SUM(E6:E12)</f>
        <v>223.01565829348812</v>
      </c>
      <c r="F5" s="17">
        <f>SUM(F6:F12)</f>
        <v>8940.3318305938446</v>
      </c>
      <c r="G5" s="18"/>
      <c r="H5" s="17"/>
      <c r="I5" s="17"/>
      <c r="J5" s="17">
        <f>SUM(J6:J12)</f>
        <v>3.8320243738380604E-2</v>
      </c>
      <c r="K5" s="17"/>
      <c r="L5" s="17"/>
      <c r="M5" s="17"/>
      <c r="N5" s="17">
        <f>SUM(N6:N12)</f>
        <v>1470.7914926326366</v>
      </c>
      <c r="O5" s="17">
        <f>B38*B39*B40</f>
        <v>0</v>
      </c>
      <c r="P5" s="17">
        <f>B46*B47*B48/1000-B46*B47*B48/1000/B49</f>
        <v>157.61741491948504</v>
      </c>
      <c r="R5" s="32"/>
    </row>
    <row r="6" spans="1:18">
      <c r="A6" s="32" t="s">
        <v>53</v>
      </c>
      <c r="B6" s="37">
        <f>B26</f>
        <v>7457.88801754203</v>
      </c>
      <c r="C6" s="33"/>
      <c r="D6" s="37">
        <f>IF(ISERROR(TER_kantoor_gas_kWh/1000),0,TER_kantoor_gas_kWh/1000)*0.903</f>
        <v>13138.593546627699</v>
      </c>
      <c r="E6" s="33">
        <f>$C$26*'E Balans VL '!I12/100/3.6*1000000</f>
        <v>1.7867326978460771</v>
      </c>
      <c r="F6" s="33">
        <f>$C$26*('E Balans VL '!L12+'E Balans VL '!N12)/100/3.6*1000000</f>
        <v>707.22276118003003</v>
      </c>
      <c r="G6" s="34"/>
      <c r="H6" s="33"/>
      <c r="I6" s="33"/>
      <c r="J6" s="33">
        <f>$C$26*('E Balans VL '!D12+'E Balans VL '!E12)/100/3.6*1000000</f>
        <v>0</v>
      </c>
      <c r="K6" s="33"/>
      <c r="L6" s="33"/>
      <c r="M6" s="33"/>
      <c r="N6" s="33">
        <f>$C$26*'E Balans VL '!Y12/100/3.6*1000000</f>
        <v>3.7882213633800315</v>
      </c>
      <c r="O6" s="33"/>
      <c r="P6" s="33"/>
      <c r="R6" s="32"/>
    </row>
    <row r="7" spans="1:18">
      <c r="A7" s="32" t="s">
        <v>52</v>
      </c>
      <c r="B7" s="37">
        <f t="shared" ref="B7:B12" si="0">B27</f>
        <v>4757.9532155465904</v>
      </c>
      <c r="C7" s="33"/>
      <c r="D7" s="37">
        <f>IF(ISERROR(TER_horeca_gas_kWh/1000),0,TER_horeca_gas_kWh/1000)*0.903</f>
        <v>9473.2614329024018</v>
      </c>
      <c r="E7" s="33">
        <f>$C$27*'E Balans VL '!I9/100/3.6*1000000</f>
        <v>0</v>
      </c>
      <c r="F7" s="33">
        <f>$C$27*('E Balans VL '!L9+'E Balans VL '!N9)/100/3.6*1000000</f>
        <v>390.1409792051146</v>
      </c>
      <c r="G7" s="34"/>
      <c r="H7" s="33"/>
      <c r="I7" s="33"/>
      <c r="J7" s="33">
        <f>$C$27*('E Balans VL '!D9+'E Balans VL '!E9)/100/3.6*1000000</f>
        <v>0</v>
      </c>
      <c r="K7" s="33"/>
      <c r="L7" s="33"/>
      <c r="M7" s="33"/>
      <c r="N7" s="33">
        <f>$C$27*'E Balans VL '!Y9/100/3.6*1000000</f>
        <v>1.4585038211067247</v>
      </c>
      <c r="O7" s="33"/>
      <c r="P7" s="33"/>
      <c r="R7" s="32"/>
    </row>
    <row r="8" spans="1:18">
      <c r="A8" s="6" t="s">
        <v>51</v>
      </c>
      <c r="B8" s="37">
        <f t="shared" si="0"/>
        <v>47135.5713963335</v>
      </c>
      <c r="C8" s="33"/>
      <c r="D8" s="37">
        <f>IF(ISERROR(TER_handel_gas_kWh/1000),0,TER_handel_gas_kWh/1000)*0.903</f>
        <v>59690.947314766068</v>
      </c>
      <c r="E8" s="33">
        <f>$C$28*'E Balans VL '!I13/100/3.6*1000000</f>
        <v>165.65577136533486</v>
      </c>
      <c r="F8" s="33">
        <f>$C$28*('E Balans VL '!L13+'E Balans VL '!N13)/100/3.6*1000000</f>
        <v>4312.8201351781399</v>
      </c>
      <c r="G8" s="34"/>
      <c r="H8" s="33"/>
      <c r="I8" s="33"/>
      <c r="J8" s="33">
        <f>$C$28*('E Balans VL '!D13+'E Balans VL '!E13)/100/3.6*1000000</f>
        <v>0</v>
      </c>
      <c r="K8" s="33"/>
      <c r="L8" s="33"/>
      <c r="M8" s="33"/>
      <c r="N8" s="33">
        <f>$C$28*'E Balans VL '!Y13/100/3.6*1000000</f>
        <v>17.070474697458977</v>
      </c>
      <c r="O8" s="33"/>
      <c r="P8" s="33"/>
      <c r="R8" s="32"/>
    </row>
    <row r="9" spans="1:18">
      <c r="A9" s="32" t="s">
        <v>50</v>
      </c>
      <c r="B9" s="37">
        <f t="shared" si="0"/>
        <v>7737.3360640994806</v>
      </c>
      <c r="C9" s="33"/>
      <c r="D9" s="37">
        <f>IF(ISERROR(TER_gezond_gas_kWh/1000),0,TER_gezond_gas_kWh/1000)*0.903</f>
        <v>11167.188261440779</v>
      </c>
      <c r="E9" s="33">
        <f>$C$29*'E Balans VL '!I10/100/3.6*1000000</f>
        <v>0</v>
      </c>
      <c r="F9" s="33">
        <f>$C$29*('E Balans VL '!L10+'E Balans VL '!N10)/100/3.6*1000000</f>
        <v>948.4553211566282</v>
      </c>
      <c r="G9" s="34"/>
      <c r="H9" s="33"/>
      <c r="I9" s="33"/>
      <c r="J9" s="33">
        <f>$C$29*('E Balans VL '!D10+'E Balans VL '!E10)/100/3.6*1000000</f>
        <v>0</v>
      </c>
      <c r="K9" s="33"/>
      <c r="L9" s="33"/>
      <c r="M9" s="33"/>
      <c r="N9" s="33">
        <f>$C$29*'E Balans VL '!Y10/100/3.6*1000000</f>
        <v>57.057461672684852</v>
      </c>
      <c r="O9" s="33"/>
      <c r="P9" s="33"/>
      <c r="R9" s="32"/>
    </row>
    <row r="10" spans="1:18">
      <c r="A10" s="32" t="s">
        <v>49</v>
      </c>
      <c r="B10" s="37">
        <f t="shared" si="0"/>
        <v>3880.20876471768</v>
      </c>
      <c r="C10" s="33"/>
      <c r="D10" s="37">
        <f>IF(ISERROR(TER_ander_gas_kWh/1000),0,TER_ander_gas_kWh/1000)*0.903</f>
        <v>5688.0546391559901</v>
      </c>
      <c r="E10" s="33">
        <f>$C$30*'E Balans VL '!I14/100/3.6*1000000</f>
        <v>55.573154230307175</v>
      </c>
      <c r="F10" s="33">
        <f>$C$30*('E Balans VL '!L14+'E Balans VL '!N14)/100/3.6*1000000</f>
        <v>2310.0202112185129</v>
      </c>
      <c r="G10" s="34"/>
      <c r="H10" s="33"/>
      <c r="I10" s="33"/>
      <c r="J10" s="33">
        <f>$C$30*('E Balans VL '!D14+'E Balans VL '!E14)/100/3.6*1000000</f>
        <v>3.8320243738380604E-2</v>
      </c>
      <c r="K10" s="33"/>
      <c r="L10" s="33"/>
      <c r="M10" s="33"/>
      <c r="N10" s="33">
        <f>$C$30*'E Balans VL '!Y14/100/3.6*1000000</f>
        <v>1384.8734570444419</v>
      </c>
      <c r="O10" s="33"/>
      <c r="P10" s="33"/>
      <c r="R10" s="32"/>
    </row>
    <row r="11" spans="1:18">
      <c r="A11" s="32" t="s">
        <v>54</v>
      </c>
      <c r="B11" s="37">
        <f t="shared" si="0"/>
        <v>2323.7361047619602</v>
      </c>
      <c r="C11" s="33"/>
      <c r="D11" s="37">
        <f>IF(ISERROR(TER_onderwijs_gas_kWh/1000),0,TER_onderwijs_gas_kWh/1000)*0.903</f>
        <v>4830.0021978486011</v>
      </c>
      <c r="E11" s="33">
        <f>$C$31*'E Balans VL '!I11/100/3.6*1000000</f>
        <v>0</v>
      </c>
      <c r="F11" s="33">
        <f>$C$31*('E Balans VL '!L11+'E Balans VL '!N11)/100/3.6*1000000</f>
        <v>271.67242265541984</v>
      </c>
      <c r="G11" s="34"/>
      <c r="H11" s="33"/>
      <c r="I11" s="33"/>
      <c r="J11" s="33">
        <f>$C$31*('E Balans VL '!D11+'E Balans VL '!E11)/100/3.6*1000000</f>
        <v>0</v>
      </c>
      <c r="K11" s="33"/>
      <c r="L11" s="33"/>
      <c r="M11" s="33"/>
      <c r="N11" s="33">
        <f>$C$31*'E Balans VL '!Y11/100/3.6*1000000</f>
        <v>6.543374033564108</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energieproductie'!N39+'lokale energieproductie'!N32</f>
        <v>4000.5</v>
      </c>
      <c r="C13" s="247">
        <f ca="1">'lokale energieproductie'!O39+'lokale energieproductie'!O32</f>
        <v>5715</v>
      </c>
      <c r="D13" s="310">
        <f ca="1">('lokale energieproductie'!P32+'lokale energieproductie'!P39)*(-1)</f>
        <v>-11430</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77293.193563001245</v>
      </c>
      <c r="C16" s="21">
        <f t="shared" ca="1" si="1"/>
        <v>5715</v>
      </c>
      <c r="D16" s="21">
        <f t="shared" ca="1" si="1"/>
        <v>92558.047392741544</v>
      </c>
      <c r="E16" s="21">
        <f t="shared" si="1"/>
        <v>223.01565829348812</v>
      </c>
      <c r="F16" s="21">
        <f t="shared" ca="1" si="1"/>
        <v>8940.3318305938446</v>
      </c>
      <c r="G16" s="21">
        <f t="shared" si="1"/>
        <v>0</v>
      </c>
      <c r="H16" s="21">
        <f t="shared" si="1"/>
        <v>0</v>
      </c>
      <c r="I16" s="21">
        <f t="shared" si="1"/>
        <v>0</v>
      </c>
      <c r="J16" s="21">
        <f t="shared" si="1"/>
        <v>3.8320243738380604E-2</v>
      </c>
      <c r="K16" s="21">
        <f t="shared" si="1"/>
        <v>0</v>
      </c>
      <c r="L16" s="21">
        <f t="shared" ca="1" si="1"/>
        <v>0</v>
      </c>
      <c r="M16" s="21">
        <f t="shared" si="1"/>
        <v>0</v>
      </c>
      <c r="N16" s="21">
        <f t="shared" ca="1" si="1"/>
        <v>1470.7914926326366</v>
      </c>
      <c r="O16" s="21">
        <f>O5</f>
        <v>0</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0.17503780791273549</v>
      </c>
      <c r="C18" s="25">
        <f ca="1">'EF ele_warmte'!B22</f>
        <v>0.10458823529411765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13529.231167842496</v>
      </c>
      <c r="C20" s="23">
        <f t="shared" ref="C20:P20" ca="1" si="2">C16*C18</f>
        <v>597.72176470588238</v>
      </c>
      <c r="D20" s="23">
        <f t="shared" ca="1" si="2"/>
        <v>18696.725573333792</v>
      </c>
      <c r="E20" s="23">
        <f t="shared" si="2"/>
        <v>50.624554432621807</v>
      </c>
      <c r="F20" s="23">
        <f t="shared" ca="1" si="2"/>
        <v>2387.0685987685565</v>
      </c>
      <c r="G20" s="23">
        <f t="shared" si="2"/>
        <v>0</v>
      </c>
      <c r="H20" s="23">
        <f t="shared" si="2"/>
        <v>0</v>
      </c>
      <c r="I20" s="23">
        <f t="shared" si="2"/>
        <v>0</v>
      </c>
      <c r="J20" s="23">
        <f t="shared" si="2"/>
        <v>1.3565366283386733E-2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7457.88801754203</v>
      </c>
      <c r="C26" s="39">
        <f>IF(ISERROR(B26*3.6/1000000/'E Balans VL '!Z12*100),0,B26*3.6/1000000/'E Balans VL '!Z12*100)</f>
        <v>0.21033219158207578</v>
      </c>
      <c r="D26" s="237" t="s">
        <v>702</v>
      </c>
      <c r="F26" s="6"/>
    </row>
    <row r="27" spans="1:18">
      <c r="A27" s="231" t="s">
        <v>52</v>
      </c>
      <c r="B27" s="33">
        <f>IF(ISERROR(TER_horeca_ele_kWh/1000),0,TER_horeca_ele_kWh/1000)</f>
        <v>4757.9532155465904</v>
      </c>
      <c r="C27" s="39">
        <f>IF(ISERROR(B27*3.6/1000000/'E Balans VL '!Z9*100),0,B27*3.6/1000000/'E Balans VL '!Z9*100)</f>
        <v>0.35274378101324982</v>
      </c>
      <c r="D27" s="237" t="s">
        <v>702</v>
      </c>
      <c r="F27" s="6"/>
    </row>
    <row r="28" spans="1:18">
      <c r="A28" s="171" t="s">
        <v>51</v>
      </c>
      <c r="B28" s="33">
        <f>IF(ISERROR(TER_handel_ele_kWh/1000),0,TER_handel_ele_kWh/1000)</f>
        <v>47135.5713963335</v>
      </c>
      <c r="C28" s="39">
        <f>IF(ISERROR(B28*3.6/1000000/'E Balans VL '!Z13*100),0,B28*3.6/1000000/'E Balans VL '!Z13*100)</f>
        <v>1.4120696500289711</v>
      </c>
      <c r="D28" s="237" t="s">
        <v>702</v>
      </c>
      <c r="F28" s="6"/>
    </row>
    <row r="29" spans="1:18">
      <c r="A29" s="231" t="s">
        <v>50</v>
      </c>
      <c r="B29" s="33">
        <f>IF(ISERROR(TER_gezond_ele_kWh/1000),0,TER_gezond_ele_kWh/1000)</f>
        <v>7737.3360640994806</v>
      </c>
      <c r="C29" s="39">
        <f>IF(ISERROR(B29*3.6/1000000/'E Balans VL '!Z10*100),0,B29*3.6/1000000/'E Balans VL '!Z10*100)</f>
        <v>0.7650708226524181</v>
      </c>
      <c r="D29" s="237" t="s">
        <v>702</v>
      </c>
      <c r="F29" s="6"/>
    </row>
    <row r="30" spans="1:18">
      <c r="A30" s="231" t="s">
        <v>49</v>
      </c>
      <c r="B30" s="33">
        <f>IF(ISERROR(TER_ander_ele_kWh/1000),0,TER_ander_ele_kWh/1000)</f>
        <v>3880.20876471768</v>
      </c>
      <c r="C30" s="39">
        <f>IF(ISERROR(B30*3.6/1000000/'E Balans VL '!Z14*100),0,B30*3.6/1000000/'E Balans VL '!Z14*100)</f>
        <v>0.15694297776811167</v>
      </c>
      <c r="D30" s="237" t="s">
        <v>702</v>
      </c>
      <c r="F30" s="6"/>
    </row>
    <row r="31" spans="1:18">
      <c r="A31" s="231" t="s">
        <v>54</v>
      </c>
      <c r="B31" s="33">
        <f>IF(ISERROR(TER_onderwijs_ele_kWh/1000),0,TER_onderwijs_ele_kWh/1000)</f>
        <v>2323.7361047619602</v>
      </c>
      <c r="C31" s="39">
        <f>IF(ISERROR(B31*3.6/1000000/'E Balans VL '!Z11*100),0,B31*3.6/1000000/'E Balans VL '!Z11*100)</f>
        <v>0.63843193573090162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59574.046108302355</v>
      </c>
      <c r="C5" s="17">
        <f>IF(ISERROR('Eigen informatie GS &amp; warmtenet'!B61),0,'Eigen informatie GS &amp; warmtenet'!B61)</f>
        <v>0</v>
      </c>
      <c r="D5" s="30">
        <f>SUM(D6:D15)</f>
        <v>34125.014071431724</v>
      </c>
      <c r="E5" s="17">
        <f>SUM(E6:E15)</f>
        <v>134.17971256236839</v>
      </c>
      <c r="F5" s="17">
        <f>SUM(F6:F15)</f>
        <v>17022.553031282383</v>
      </c>
      <c r="G5" s="18"/>
      <c r="H5" s="17"/>
      <c r="I5" s="17"/>
      <c r="J5" s="17">
        <f>SUM(J6:J15)</f>
        <v>1.985570424551566</v>
      </c>
      <c r="K5" s="17"/>
      <c r="L5" s="17"/>
      <c r="M5" s="17"/>
      <c r="N5" s="17">
        <f>SUM(N6:N15)</f>
        <v>1925.1476500594758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2032.1295792237001</v>
      </c>
      <c r="C8" s="33"/>
      <c r="D8" s="37">
        <f>IF( ISERROR(IND_metaal_Gas_kWH/1000),0,IND_metaal_Gas_kWH/1000)*0.903</f>
        <v>1199.472761873041</v>
      </c>
      <c r="E8" s="33">
        <f>C30*'E Balans VL '!I18/100/3.6*1000000</f>
        <v>10.246351903044836</v>
      </c>
      <c r="F8" s="33">
        <f>C30*'E Balans VL '!L18/100/3.6*1000000+C30*'E Balans VL '!N18/100/3.6*1000000</f>
        <v>138.83924540983932</v>
      </c>
      <c r="G8" s="34"/>
      <c r="H8" s="33"/>
      <c r="I8" s="33"/>
      <c r="J8" s="40">
        <f>C30*'E Balans VL '!D18/100/3.6*1000000+C30*'E Balans VL '!E18/100/3.6*1000000</f>
        <v>1.8016562148680038</v>
      </c>
      <c r="K8" s="33"/>
      <c r="L8" s="33"/>
      <c r="M8" s="33"/>
      <c r="N8" s="33">
        <f>C30*'E Balans VL '!Y18/100/3.6*1000000</f>
        <v>27.00701416761142</v>
      </c>
      <c r="O8" s="33"/>
      <c r="P8" s="33"/>
      <c r="R8" s="32"/>
    </row>
    <row r="9" spans="1:18">
      <c r="A9" s="6" t="s">
        <v>32</v>
      </c>
      <c r="B9" s="37">
        <f t="shared" si="0"/>
        <v>26941.9370311807</v>
      </c>
      <c r="C9" s="33"/>
      <c r="D9" s="37">
        <f>IF( ISERROR(IND_andere_gas_kWh/1000),0,IND_andere_gas_kWh/1000)*0.903</f>
        <v>2693.4717540314114</v>
      </c>
      <c r="E9" s="33">
        <f>C31*'E Balans VL '!I19/100/3.6*1000000</f>
        <v>84.927353068736679</v>
      </c>
      <c r="F9" s="33">
        <f>C31*'E Balans VL '!L19/100/3.6*1000000+C31*'E Balans VL '!N19/100/3.6*1000000</f>
        <v>16492.720707334523</v>
      </c>
      <c r="G9" s="34"/>
      <c r="H9" s="33"/>
      <c r="I9" s="33"/>
      <c r="J9" s="40">
        <f>C31*'E Balans VL '!D19/100/3.6*1000000+C31*'E Balans VL '!E19/100/3.6*1000000</f>
        <v>0</v>
      </c>
      <c r="K9" s="33"/>
      <c r="L9" s="33"/>
      <c r="M9" s="33"/>
      <c r="N9" s="33">
        <f>C31*'E Balans VL '!Y19/100/3.6*1000000</f>
        <v>1129.7120020416114</v>
      </c>
      <c r="O9" s="33"/>
      <c r="P9" s="33"/>
      <c r="R9" s="32"/>
    </row>
    <row r="10" spans="1:18">
      <c r="A10" s="6" t="s">
        <v>40</v>
      </c>
      <c r="B10" s="37">
        <f t="shared" si="0"/>
        <v>23808.682388994002</v>
      </c>
      <c r="C10" s="33"/>
      <c r="D10" s="37">
        <f>IF( ISERROR(IND_voed_gas_kWh/1000),0,IND_voed_gas_kWh/1000)*0.903</f>
        <v>12411.941470015667</v>
      </c>
      <c r="E10" s="33">
        <f>C32*'E Balans VL '!I20/100/3.6*1000000</f>
        <v>37.944353221370278</v>
      </c>
      <c r="F10" s="33">
        <f>C32*'E Balans VL '!L20/100/3.6*1000000+C32*'E Balans VL '!N20/100/3.6*1000000</f>
        <v>386.83325097547163</v>
      </c>
      <c r="G10" s="34"/>
      <c r="H10" s="33"/>
      <c r="I10" s="33"/>
      <c r="J10" s="40">
        <f>C32*'E Balans VL '!D20/100/3.6*1000000+C32*'E Balans VL '!E20/100/3.6*1000000</f>
        <v>0</v>
      </c>
      <c r="K10" s="33"/>
      <c r="L10" s="33"/>
      <c r="M10" s="33"/>
      <c r="N10" s="33">
        <f>C32*'E Balans VL '!Y20/100/3.6*1000000</f>
        <v>751.99709925923923</v>
      </c>
      <c r="O10" s="33"/>
      <c r="P10" s="33"/>
      <c r="R10" s="32"/>
    </row>
    <row r="11" spans="1:18">
      <c r="A11" s="6" t="s">
        <v>39</v>
      </c>
      <c r="B11" s="37">
        <f t="shared" si="0"/>
        <v>13.2966414169552</v>
      </c>
      <c r="C11" s="33"/>
      <c r="D11" s="37">
        <f>IF( ISERROR(IND_textiel_gas_kWh/1000),0,IND_textiel_gas_kWh/1000)*0.903</f>
        <v>0</v>
      </c>
      <c r="E11" s="33">
        <f>C33*'E Balans VL '!I21/100/3.6*1000000</f>
        <v>1.9290997018756143E-2</v>
      </c>
      <c r="F11" s="33">
        <f>C33*'E Balans VL '!L21/100/3.6*1000000+C33*'E Balans VL '!N21/100/3.6*1000000</f>
        <v>0.26022381585011639</v>
      </c>
      <c r="G11" s="34"/>
      <c r="H11" s="33"/>
      <c r="I11" s="33"/>
      <c r="J11" s="40">
        <f>C33*'E Balans VL '!D21/100/3.6*1000000+C33*'E Balans VL '!E21/100/3.6*1000000</f>
        <v>0</v>
      </c>
      <c r="K11" s="33"/>
      <c r="L11" s="33"/>
      <c r="M11" s="33"/>
      <c r="N11" s="33">
        <f>C33*'E Balans VL '!Y21/100/3.6*1000000</f>
        <v>0.64778219253391356</v>
      </c>
      <c r="O11" s="33"/>
      <c r="P11" s="33"/>
      <c r="R11" s="32"/>
    </row>
    <row r="12" spans="1:18">
      <c r="A12" s="6" t="s">
        <v>36</v>
      </c>
      <c r="B12" s="37">
        <f t="shared" si="0"/>
        <v>92.526945414978499</v>
      </c>
      <c r="C12" s="33"/>
      <c r="D12" s="37">
        <f>IF( ISERROR(IND_min_gas_kWh/1000),0,IND_min_gas_kWh/1000)*0.903</f>
        <v>0</v>
      </c>
      <c r="E12" s="33">
        <f>C34*'E Balans VL '!I22/100/3.6*1000000</f>
        <v>0.40038914764986805</v>
      </c>
      <c r="F12" s="33">
        <f>C34*'E Balans VL '!L22/100/3.6*1000000+C34*'E Balans VL '!N22/100/3.6*1000000</f>
        <v>3.5327929939206908</v>
      </c>
      <c r="G12" s="34"/>
      <c r="H12" s="33"/>
      <c r="I12" s="33"/>
      <c r="J12" s="40">
        <f>C34*'E Balans VL '!D22/100/3.6*1000000+C34*'E Balans VL '!E22/100/3.6*1000000</f>
        <v>0</v>
      </c>
      <c r="K12" s="33"/>
      <c r="L12" s="33"/>
      <c r="M12" s="33"/>
      <c r="N12" s="33">
        <f>C34*'E Balans VL '!Y22/100/3.6*1000000</f>
        <v>15.783012586405524</v>
      </c>
      <c r="O12" s="33"/>
      <c r="P12" s="33"/>
      <c r="R12" s="32"/>
    </row>
    <row r="13" spans="1:18">
      <c r="A13" s="6" t="s">
        <v>38</v>
      </c>
      <c r="B13" s="37">
        <f t="shared" si="0"/>
        <v>6674.4964523032995</v>
      </c>
      <c r="C13" s="33"/>
      <c r="D13" s="37">
        <f>IF( ISERROR(IND_papier_gas_kWh/1000),0,IND_papier_gas_kWh/1000)*0.903</f>
        <v>17747.161135785682</v>
      </c>
      <c r="E13" s="33">
        <f>C35*'E Balans VL '!I23/100/3.6*1000000</f>
        <v>0</v>
      </c>
      <c r="F13" s="33">
        <f>C35*'E Balans VL '!L23/100/3.6*1000000+C35*'E Balans VL '!N23/100/3.6*1000000</f>
        <v>0.28917022192041009</v>
      </c>
      <c r="G13" s="34"/>
      <c r="H13" s="33"/>
      <c r="I13" s="33"/>
      <c r="J13" s="40">
        <f>C35*'E Balans VL '!D23/100/3.6*1000000+C35*'E Balans VL '!E23/100/3.6*1000000</f>
        <v>0.18391420968356226</v>
      </c>
      <c r="K13" s="33"/>
      <c r="L13" s="33"/>
      <c r="M13" s="33"/>
      <c r="N13" s="33">
        <f>C35*'E Balans VL '!Y23/100/3.6*1000000</f>
        <v>0</v>
      </c>
      <c r="O13" s="33"/>
      <c r="P13" s="33"/>
      <c r="R13" s="32"/>
    </row>
    <row r="14" spans="1:18">
      <c r="A14" s="6" t="s">
        <v>33</v>
      </c>
      <c r="B14" s="37">
        <f t="shared" si="0"/>
        <v>10.9770697687122</v>
      </c>
      <c r="C14" s="33"/>
      <c r="D14" s="37">
        <f>IF( ISERROR(IND_chemie_gas_kWh/1000),0,IND_chemie_gas_kWh/1000)*0.903</f>
        <v>35.630836085533822</v>
      </c>
      <c r="E14" s="33">
        <f>C36*'E Balans VL '!I24/100/3.6*1000000</f>
        <v>0.64197422454799979</v>
      </c>
      <c r="F14" s="33">
        <f>C36*'E Balans VL '!L24/100/3.6*1000000+C36*'E Balans VL '!N24/100/3.6*1000000</f>
        <v>7.7640530856431147E-2</v>
      </c>
      <c r="G14" s="34"/>
      <c r="H14" s="33"/>
      <c r="I14" s="33"/>
      <c r="J14" s="40">
        <f>C36*'E Balans VL '!D24/100/3.6*1000000+C36*'E Balans VL '!E24/100/3.6*1000000</f>
        <v>0</v>
      </c>
      <c r="K14" s="33"/>
      <c r="L14" s="33"/>
      <c r="M14" s="33"/>
      <c r="N14" s="33">
        <f>C36*'E Balans VL '!Y24/100/3.6*1000000</f>
        <v>7.3981207424642754E-4</v>
      </c>
      <c r="O14" s="33"/>
      <c r="P14" s="33"/>
      <c r="R14" s="32"/>
    </row>
    <row r="15" spans="1:18">
      <c r="A15" s="6" t="s">
        <v>269</v>
      </c>
      <c r="B15" s="37">
        <f t="shared" si="0"/>
        <v>0</v>
      </c>
      <c r="C15" s="33"/>
      <c r="D15" s="37">
        <f>IF( ISERROR(IND_rest_gas_kWh/1000),0,IND_rest_gas_kWh/1000)*0.903</f>
        <v>37.336113640390039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energieproductie'!N38+'lokale energieproductie'!N31</f>
        <v>0</v>
      </c>
      <c r="C16" s="247">
        <f>'lokale energieproductie'!O38+'lokale energieproductie'!O31</f>
        <v>0</v>
      </c>
      <c r="D16" s="310">
        <f>('lokale energieproductie'!P31+'lokale energieproductie'!P38)*(-1)</f>
        <v>0</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59574.046108302355</v>
      </c>
      <c r="C18" s="21">
        <f>C5+C16</f>
        <v>0</v>
      </c>
      <c r="D18" s="21">
        <f>MAX((D5+D16),0)</f>
        <v>34125.014071431724</v>
      </c>
      <c r="E18" s="21">
        <f>MAX((E5+E16),0)</f>
        <v>134.17971256236839</v>
      </c>
      <c r="F18" s="21">
        <f>MAX((F5+F16),0)</f>
        <v>17022.553031282383</v>
      </c>
      <c r="G18" s="21"/>
      <c r="H18" s="21"/>
      <c r="I18" s="21"/>
      <c r="J18" s="21">
        <f>MAX((J5+J16),0)</f>
        <v>1.985570424551566</v>
      </c>
      <c r="K18" s="21"/>
      <c r="L18" s="21">
        <f>MAX((L5+L16),0)</f>
        <v>0</v>
      </c>
      <c r="M18" s="21"/>
      <c r="N18" s="21">
        <f>MAX((N5+N16),0)</f>
        <v>1925.1476500594758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0.17503780791273549</v>
      </c>
      <c r="C20" s="25">
        <f ca="1">'EF ele_warmte'!B22</f>
        <v>0.10458823529411765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10427.710439289474</v>
      </c>
      <c r="C22" s="23">
        <f ca="1">C18*C20</f>
        <v>0</v>
      </c>
      <c r="D22" s="23">
        <f>D18*D20</f>
        <v>6893.2528424292086</v>
      </c>
      <c r="E22" s="23">
        <f>E18*E20</f>
        <v>30.458794751657628</v>
      </c>
      <c r="F22" s="23">
        <f>F18*F20</f>
        <v>4545.0216593523965</v>
      </c>
      <c r="G22" s="23"/>
      <c r="H22" s="23"/>
      <c r="I22" s="23"/>
      <c r="J22" s="23">
        <f>J18*J20</f>
        <v>0.7028919302912543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2032.1295792237001</v>
      </c>
      <c r="C30" s="39">
        <f>IF(ISERROR(B30*3.6/1000000/'E Balans VL '!Z18*100),0,B30*3.6/1000000/'E Balans VL '!Z18*100)</f>
        <v>0.10087033240318499</v>
      </c>
      <c r="D30" s="237" t="s">
        <v>702</v>
      </c>
    </row>
    <row r="31" spans="1:18">
      <c r="A31" s="6" t="s">
        <v>32</v>
      </c>
      <c r="B31" s="37">
        <f>IF( ISERROR(IND_ander_ele_kWh/1000),0,IND_ander_ele_kWh/1000)</f>
        <v>26941.9370311807</v>
      </c>
      <c r="C31" s="39">
        <f>IF(ISERROR(B31*3.6/1000000/'E Balans VL '!Z19*100),0,B31*3.6/1000000/'E Balans VL '!Z19*100)</f>
        <v>0.90915231577459577</v>
      </c>
      <c r="D31" s="237" t="s">
        <v>702</v>
      </c>
    </row>
    <row r="32" spans="1:18">
      <c r="A32" s="171" t="s">
        <v>40</v>
      </c>
      <c r="B32" s="37">
        <f>IF( ISERROR(IND_voed_ele_kWh/1000),0,IND_voed_ele_kWh/1000)</f>
        <v>23808.682388994002</v>
      </c>
      <c r="C32" s="39">
        <f>IF(ISERROR(B32*3.6/1000000/'E Balans VL '!Z20*100),0,B32*3.6/1000000/'E Balans VL '!Z20*100)</f>
        <v>0.5591305512522311</v>
      </c>
      <c r="D32" s="237" t="s">
        <v>702</v>
      </c>
    </row>
    <row r="33" spans="1:5">
      <c r="A33" s="171" t="s">
        <v>39</v>
      </c>
      <c r="B33" s="37">
        <f>IF( ISERROR(IND_textiel_ele_kWh/1000),0,IND_textiel_ele_kWh/1000)</f>
        <v>13.2966414169552</v>
      </c>
      <c r="C33" s="39">
        <f>IF(ISERROR(B33*3.6/1000000/'E Balans VL '!Z21*100),0,B33*3.6/1000000/'E Balans VL '!Z21*100)</f>
        <v>1.45928954123812E-3</v>
      </c>
      <c r="D33" s="237" t="s">
        <v>702</v>
      </c>
    </row>
    <row r="34" spans="1:5">
      <c r="A34" s="171" t="s">
        <v>36</v>
      </c>
      <c r="B34" s="37">
        <f>IF( ISERROR(IND_min_ele_kWh/1000),0,IND_min_ele_kWh/1000)</f>
        <v>92.526945414978499</v>
      </c>
      <c r="C34" s="39">
        <f>IF(ISERROR(B34*3.6/1000000/'E Balans VL '!Z22*100),0,B34*3.6/1000000/'E Balans VL '!Z22*100)</f>
        <v>1.3126867932241919E-2</v>
      </c>
      <c r="D34" s="237" t="s">
        <v>702</v>
      </c>
    </row>
    <row r="35" spans="1:5">
      <c r="A35" s="171" t="s">
        <v>38</v>
      </c>
      <c r="B35" s="37">
        <f>IF( ISERROR(IND_papier_ele_kWh/1000),0,IND_papier_ele_kWh/1000)</f>
        <v>6674.4964523032995</v>
      </c>
      <c r="C35" s="39">
        <f>IF(ISERROR(B35*3.6/1000000/'E Balans VL '!Z22*100),0,B35*3.6/1000000/'E Balans VL '!Z22*100)</f>
        <v>0.94691587462066229</v>
      </c>
      <c r="D35" s="237" t="s">
        <v>702</v>
      </c>
    </row>
    <row r="36" spans="1:5">
      <c r="A36" s="171" t="s">
        <v>33</v>
      </c>
      <c r="B36" s="37">
        <f>IF( ISERROR(IND_chemie_ele_kWh/1000),0,IND_chemie_ele_kWh/1000)</f>
        <v>10.9770697687122</v>
      </c>
      <c r="C36" s="39">
        <f>IF(ISERROR(B36*3.6/1000000/'E Balans VL '!Z24*100),0,B36*3.6/1000000/'E Balans VL '!Z24*100)</f>
        <v>1.0023799274697474E-4</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730.63968604816694</v>
      </c>
      <c r="C5" s="17">
        <f>'Eigen informatie GS &amp; warmtenet'!B62</f>
        <v>0</v>
      </c>
      <c r="D5" s="30">
        <f>IF(ISERROR(SUM(LB_lb_gas_kWh,LB_rest_gas_kWh)/1000),0,SUM(LB_lb_gas_kWh,LB_rest_gas_kWh)/1000)*0.903</f>
        <v>5640.4202706879269</v>
      </c>
      <c r="E5" s="17">
        <f>B17*'E Balans VL '!I25/3.6*1000000/100</f>
        <v>27.247788760109753</v>
      </c>
      <c r="F5" s="17">
        <f>B17*('E Balans VL '!L25/3.6*1000000+'E Balans VL '!N25/3.6*1000000)/100</f>
        <v>2370.477471828327</v>
      </c>
      <c r="G5" s="18"/>
      <c r="H5" s="17"/>
      <c r="I5" s="17"/>
      <c r="J5" s="17">
        <f>('E Balans VL '!D25+'E Balans VL '!E25)/3.6*1000000*landbouw!B17/100</f>
        <v>191.79652468792193</v>
      </c>
      <c r="K5" s="17"/>
      <c r="L5" s="17">
        <f>L6*(-1)</f>
        <v>0</v>
      </c>
      <c r="M5" s="17"/>
      <c r="N5" s="17">
        <f>N6*(-1)</f>
        <v>14541.428571428572</v>
      </c>
      <c r="O5" s="17"/>
      <c r="P5" s="17"/>
      <c r="R5" s="32"/>
    </row>
    <row r="6" spans="1:18">
      <c r="A6" s="16" t="s">
        <v>479</v>
      </c>
      <c r="B6" s="17" t="s">
        <v>210</v>
      </c>
      <c r="C6" s="17">
        <f>'lokale energieproductie'!O40+'lokale energieproductie'!O33</f>
        <v>7270.7142857142862</v>
      </c>
      <c r="D6" s="310">
        <f>('lokale energieproductie'!P33+'lokale energieproductie'!P40)*(-1)</f>
        <v>0</v>
      </c>
      <c r="E6" s="248"/>
      <c r="F6" s="310">
        <f>('lokale energieproductie'!S33+'lokale energieproductie'!S40)*(-1)</f>
        <v>0</v>
      </c>
      <c r="G6" s="249"/>
      <c r="H6" s="248"/>
      <c r="I6" s="248"/>
      <c r="J6" s="248"/>
      <c r="K6" s="248"/>
      <c r="L6" s="310">
        <f>('lokale energieproductie'!T33+'lokale energieproductie'!U33+'lokale energieproductie'!T40+'lokale energieproductie'!U40)*(-1)</f>
        <v>0</v>
      </c>
      <c r="M6" s="248"/>
      <c r="N6" s="310">
        <f>('lokale energieproductie'!V33+'lokale energieproductie'!R33+'lokale energieproductie'!Q33+'lokale energieproductie'!Q40+'lokale energieproductie'!R40+'lokale energieproductie'!V40)*(-1)</f>
        <v>-14541.428571428572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730.63968604816694</v>
      </c>
      <c r="C8" s="21">
        <f>C5+C6</f>
        <v>7270.7142857142862</v>
      </c>
      <c r="D8" s="21">
        <f>MAX((D5+D6),0)</f>
        <v>5640.4202706879269</v>
      </c>
      <c r="E8" s="21">
        <f>MAX((E5+E6),0)</f>
        <v>27.247788760109753</v>
      </c>
      <c r="F8" s="21">
        <f>MAX((F5+F6),0)</f>
        <v>2370.477471828327</v>
      </c>
      <c r="G8" s="21"/>
      <c r="H8" s="21"/>
      <c r="I8" s="21"/>
      <c r="J8" s="21">
        <f>MAX((J5+J6),0)</f>
        <v>191.79652468792193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0.17503780791273549</v>
      </c>
      <c r="C10" s="31">
        <f ca="1">'EF ele_warmte'!B22</f>
        <v>0.10458823529411765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127.8895690199204</v>
      </c>
      <c r="C12" s="23">
        <f ca="1">C8*C10</f>
        <v>760.4311764705883</v>
      </c>
      <c r="D12" s="23">
        <f>D8*D10</f>
        <v>1139.3648946789613</v>
      </c>
      <c r="E12" s="23">
        <f>E8*E10</f>
        <v>6.1852480485449144</v>
      </c>
      <c r="F12" s="23">
        <f>F8*F10</f>
        <v>632.91748497816332</v>
      </c>
      <c r="G12" s="23"/>
      <c r="H12" s="23"/>
      <c r="I12" s="23"/>
      <c r="J12" s="23">
        <f>J8*J10</f>
        <v>67.895969739524361</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0.10035145426104475</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95.746552401905049</v>
      </c>
      <c r="C26" s="247">
        <f>B26*'GWP N2O_CH4'!B5</f>
        <v>2010.677600440006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25.133552808923852</v>
      </c>
      <c r="C27" s="247">
        <f>B27*'GWP N2O_CH4'!B5</f>
        <v>527.80460898740091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1.1903134162473428</v>
      </c>
      <c r="C28" s="247">
        <f>B28*'GWP N2O_CH4'!B4</f>
        <v>368.99715903667624</v>
      </c>
      <c r="D28" s="50"/>
    </row>
    <row r="29" spans="1:4">
      <c r="A29" s="41" t="s">
        <v>276</v>
      </c>
      <c r="B29" s="247">
        <f>B34*'ha_N2O bodem landbouw'!B4</f>
        <v>10.565939319924212</v>
      </c>
      <c r="C29" s="247">
        <f>B29*'GWP N2O_CH4'!B4</f>
        <v>3275.4411891765058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2.4080077453457207E-3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1.6155771827041751E-3</v>
      </c>
      <c r="C5" s="440" t="s">
        <v>210</v>
      </c>
      <c r="D5" s="425">
        <f>SUM(D6:D11)</f>
        <v>6.8874649927698362E-3</v>
      </c>
      <c r="E5" s="425">
        <f>SUM(E6:E11)</f>
        <v>3.943463153611616E-3</v>
      </c>
      <c r="F5" s="438" t="s">
        <v>210</v>
      </c>
      <c r="G5" s="425">
        <f>SUM(G6:G11)</f>
        <v>1.6392469075583722</v>
      </c>
      <c r="H5" s="425">
        <f>SUM(H6:H11)</f>
        <v>0.44394965349595256</v>
      </c>
      <c r="I5" s="440" t="s">
        <v>210</v>
      </c>
      <c r="J5" s="440" t="s">
        <v>210</v>
      </c>
      <c r="K5" s="440" t="s">
        <v>210</v>
      </c>
      <c r="L5" s="440" t="s">
        <v>210</v>
      </c>
      <c r="M5" s="425">
        <f>SUM(M6:M11)</f>
        <v>0.12315377894654096</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6.4477963163817075E-4</v>
      </c>
      <c r="C6" s="426"/>
      <c r="D6" s="893">
        <f>vkm_GW_PW*SUMIFS(TableVerdeelsleutelVkm[CNG],TableVerdeelsleutelVkm[Voertuigtype],"Lichte voertuigen")*SUMIFS(TableECFTransport[EnergieConsumptieFactor (PJ per km)],TableECFTransport[Index],CONCATENATE($A6,"_CNG_CNG"))</f>
        <v>2.3287472621581025E-3</v>
      </c>
      <c r="E6" s="893">
        <f>vkm_GW_PW*SUMIFS(TableVerdeelsleutelVkm[LPG],TableVerdeelsleutelVkm[Voertuigtype],"Lichte voertuigen")*SUMIFS(TableECFTransport[EnergieConsumptieFactor (PJ per km)],TableECFTransport[Index],CONCATENATE($A6,"_LPG_LPG"))</f>
        <v>1.2656143611189238E-3</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0.39385139129689772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0.14905693769657447</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3.2536408995846651E-2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0.20413569094906509</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2.1490472749206882E-6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1.149315914611433E-2</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4.1596376614112194E-4</v>
      </c>
      <c r="C8" s="426"/>
      <c r="D8" s="428">
        <f>vkm_NGW_PW*SUMIFS(TableVerdeelsleutelVkm[CNG],TableVerdeelsleutelVkm[Voertuigtype],"Lichte voertuigen")*SUMIFS(TableECFTransport[EnergieConsumptieFactor (PJ per km)],TableECFTransport[Index],CONCATENATE($A8,"_CNG_CNG"))</f>
        <v>2.5465543782159884E-3</v>
      </c>
      <c r="E8" s="428">
        <f>vkm_NGW_PW*SUMIFS(TableVerdeelsleutelVkm[LPG],TableVerdeelsleutelVkm[Voertuigtype],"Lichte voertuigen")*SUMIFS(TableECFTransport[EnergieConsumptieFactor (PJ per km)],TableECFTransport[Index],CONCATENATE($A8,"_LPG_LPG"))</f>
        <v>1.3151573823248085E-3</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0.38086990251509023</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0.16051664680991523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3.260220461457991E-2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9.4403835333442293E-2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1.4435092651834822E-6</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5.3151150580758163E-3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5.5483378492488238E-4</v>
      </c>
      <c r="C10" s="426"/>
      <c r="D10" s="428">
        <f>vkm_SW_PW*SUMIFS(TableVerdeelsleutelVkm[CNG],TableVerdeelsleutelVkm[Voertuigtype],"Lichte voertuigen")*SUMIFS(TableECFTransport[EnergieConsumptieFactor (PJ per km)],TableECFTransport[Index],CONCATENATE($A10,"_CNG_CNG"))</f>
        <v>2.0121633523957458E-3</v>
      </c>
      <c r="E10" s="428">
        <f>vkm_SW_PW*SUMIFS(TableVerdeelsleutelVkm[LPG],TableVerdeelsleutelVkm[Voertuigtype],"Lichte voertuigen")*SUMIFS(TableECFTransport[EnergieConsumptieFactor (PJ per km)],TableECFTransport[Index],CONCATENATE($A10,"_LPG_LPG"))</f>
        <v>1.3626914101678841E-3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0.37683991308131431</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0.13437036766991045</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3.0557657077430935E-2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0.18914617438256259</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2.1087630123069691E-6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1.0649234054493308E-2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448.77143964004864</v>
      </c>
      <c r="C14" s="21"/>
      <c r="D14" s="21">
        <f t="shared" ref="D14:M14" si="0">((D5)*10^9/3600)+D12</f>
        <v>1913.1847202138435</v>
      </c>
      <c r="E14" s="21">
        <f t="shared" si="0"/>
        <v>1095.4064315587821</v>
      </c>
      <c r="F14" s="21"/>
      <c r="G14" s="21">
        <f t="shared" si="0"/>
        <v>455346.36321065895</v>
      </c>
      <c r="H14" s="21">
        <f t="shared" si="0"/>
        <v>123319.34819332015</v>
      </c>
      <c r="I14" s="21"/>
      <c r="J14" s="21"/>
      <c r="K14" s="21"/>
      <c r="L14" s="21"/>
      <c r="M14" s="21">
        <f t="shared" si="0"/>
        <v>34209.383040705827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0.17503780791273549</v>
      </c>
      <c r="C16" s="56">
        <f ca="1">'EF ele_warmte'!B22</f>
        <v>0.10458823529411765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78.551969048436604</v>
      </c>
      <c r="C18" s="23"/>
      <c r="D18" s="23">
        <f t="shared" ref="D18:M18" si="1">D14*D16</f>
        <v>386.46331348319643</v>
      </c>
      <c r="E18" s="23">
        <f t="shared" si="1"/>
        <v>248.65725996384353</v>
      </c>
      <c r="F18" s="23"/>
      <c r="G18" s="23">
        <f t="shared" si="1"/>
        <v>121577.47897724595</v>
      </c>
      <c r="H18" s="23">
        <f t="shared" si="1"/>
        <v>30706.517700136719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1.2958651555819675E-2</v>
      </c>
      <c r="H50" s="321">
        <f t="shared" si="2"/>
        <v>0</v>
      </c>
      <c r="I50" s="321">
        <f t="shared" si="2"/>
        <v>0</v>
      </c>
      <c r="J50" s="321">
        <f t="shared" si="2"/>
        <v>0</v>
      </c>
      <c r="K50" s="321">
        <f t="shared" si="2"/>
        <v>0</v>
      </c>
      <c r="L50" s="321">
        <f t="shared" si="2"/>
        <v>0</v>
      </c>
      <c r="M50" s="321">
        <f t="shared" si="2"/>
        <v>7.0321024056361472E-4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1.2958651555819675E-2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7.0321024056361472E-4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3599.6254321721322</v>
      </c>
      <c r="H54" s="21">
        <f t="shared" si="3"/>
        <v>0</v>
      </c>
      <c r="I54" s="21">
        <f t="shared" si="3"/>
        <v>0</v>
      </c>
      <c r="J54" s="21">
        <f t="shared" si="3"/>
        <v>0</v>
      </c>
      <c r="K54" s="21">
        <f t="shared" si="3"/>
        <v>0</v>
      </c>
      <c r="L54" s="21">
        <f t="shared" si="3"/>
        <v>0</v>
      </c>
      <c r="M54" s="21">
        <f t="shared" si="3"/>
        <v>195.33617793433743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0.17503780791273549</v>
      </c>
      <c r="C56" s="56">
        <f ca="1">'EF ele_warmte'!B22</f>
        <v>0.10458823529411765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961.09999038995932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79528.937563001251</v>
      </c>
      <c r="D10" s="689">
        <f ca="1">tertiair!C16</f>
        <v>5715</v>
      </c>
      <c r="E10" s="689">
        <f ca="1">tertiair!D16</f>
        <v>92558.047392741544</v>
      </c>
      <c r="F10" s="689">
        <f>tertiair!E16</f>
        <v>223.01565829348812</v>
      </c>
      <c r="G10" s="689">
        <f ca="1">tertiair!F16</f>
        <v>8940.3318305938446</v>
      </c>
      <c r="H10" s="689">
        <f>tertiair!G16</f>
        <v>0</v>
      </c>
      <c r="I10" s="689">
        <f>tertiair!H16</f>
        <v>0</v>
      </c>
      <c r="J10" s="689">
        <f>tertiair!I16</f>
        <v>0</v>
      </c>
      <c r="K10" s="689">
        <f>tertiair!J16</f>
        <v>3.8320243738380604E-2</v>
      </c>
      <c r="L10" s="689">
        <f>tertiair!K16</f>
        <v>0</v>
      </c>
      <c r="M10" s="689">
        <f ca="1">tertiair!L16</f>
        <v>0</v>
      </c>
      <c r="N10" s="689">
        <f>tertiair!M16</f>
        <v>0</v>
      </c>
      <c r="O10" s="689">
        <f ca="1">tertiair!N16</f>
        <v>1470.7914926326366</v>
      </c>
      <c r="P10" s="689">
        <f>tertiair!O16</f>
        <v>0</v>
      </c>
      <c r="Q10" s="690">
        <f>tertiair!P16</f>
        <v>157.61741491948504</v>
      </c>
      <c r="R10" s="692">
        <f ca="1">SUM(C10:Q10)</f>
        <v>188593.779672426</v>
      </c>
      <c r="S10" s="67"/>
    </row>
    <row r="11" spans="1:19" s="451" customFormat="1">
      <c r="A11" s="811" t="s">
        <v>224</v>
      </c>
      <c r="B11" s="816"/>
      <c r="C11" s="689">
        <f>huishoudens!B8</f>
        <v>60819.162224796855</v>
      </c>
      <c r="D11" s="689">
        <f>huishoudens!C8</f>
        <v>0</v>
      </c>
      <c r="E11" s="689">
        <f>huishoudens!D8</f>
        <v>166330.31619399905</v>
      </c>
      <c r="F11" s="689">
        <f>huishoudens!E8</f>
        <v>6704.0220622981924</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16278.277807791819</v>
      </c>
      <c r="P11" s="689">
        <f>huishoudens!O8</f>
        <v>341.24081373456949</v>
      </c>
      <c r="Q11" s="690">
        <f>huishoudens!P8</f>
        <v>537.23192469193623</v>
      </c>
      <c r="R11" s="692">
        <f>SUM(C11:Q11)</f>
        <v>251010.25102731245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59574.046108302355</v>
      </c>
      <c r="D13" s="689">
        <f>industrie!C18</f>
        <v>0</v>
      </c>
      <c r="E13" s="689">
        <f>industrie!D18</f>
        <v>34125.014071431724</v>
      </c>
      <c r="F13" s="689">
        <f>industrie!E18</f>
        <v>134.17971256236839</v>
      </c>
      <c r="G13" s="689">
        <f>industrie!F18</f>
        <v>17022.553031282383</v>
      </c>
      <c r="H13" s="689">
        <f>industrie!G18</f>
        <v>0</v>
      </c>
      <c r="I13" s="689">
        <f>industrie!H18</f>
        <v>0</v>
      </c>
      <c r="J13" s="689">
        <f>industrie!I18</f>
        <v>0</v>
      </c>
      <c r="K13" s="689">
        <f>industrie!J18</f>
        <v>1.985570424551566</v>
      </c>
      <c r="L13" s="689">
        <f>industrie!K18</f>
        <v>0</v>
      </c>
      <c r="M13" s="689">
        <f>industrie!L18</f>
        <v>0</v>
      </c>
      <c r="N13" s="689">
        <f>industrie!M18</f>
        <v>0</v>
      </c>
      <c r="O13" s="689">
        <f>industrie!N18</f>
        <v>1925.1476500594758</v>
      </c>
      <c r="P13" s="689">
        <f>industrie!O18</f>
        <v>0</v>
      </c>
      <c r="Q13" s="690">
        <f>industrie!P18</f>
        <v>0</v>
      </c>
      <c r="R13" s="692">
        <f>SUM(C13:Q13)</f>
        <v>112782.92614406286</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199922.14589610044</v>
      </c>
      <c r="D16" s="725">
        <f t="shared" ref="D16:R16" ca="1" si="0">SUM(D9:D15)</f>
        <v>5715</v>
      </c>
      <c r="E16" s="725">
        <f t="shared" ca="1" si="0"/>
        <v>293013.37765817234</v>
      </c>
      <c r="F16" s="725">
        <f t="shared" si="0"/>
        <v>7061.2174331540482</v>
      </c>
      <c r="G16" s="725">
        <f t="shared" ca="1" si="0"/>
        <v>25962.884861876228</v>
      </c>
      <c r="H16" s="725">
        <f t="shared" si="0"/>
        <v>0</v>
      </c>
      <c r="I16" s="725">
        <f t="shared" si="0"/>
        <v>0</v>
      </c>
      <c r="J16" s="725">
        <f t="shared" si="0"/>
        <v>0</v>
      </c>
      <c r="K16" s="725">
        <f t="shared" si="0"/>
        <v>2.0238906682899467</v>
      </c>
      <c r="L16" s="725">
        <f t="shared" si="0"/>
        <v>0</v>
      </c>
      <c r="M16" s="725">
        <f t="shared" ca="1" si="0"/>
        <v>0</v>
      </c>
      <c r="N16" s="725">
        <f t="shared" si="0"/>
        <v>0</v>
      </c>
      <c r="O16" s="725">
        <f t="shared" ca="1" si="0"/>
        <v>19674.216950483933</v>
      </c>
      <c r="P16" s="725">
        <f t="shared" si="0"/>
        <v>341.24081373456949</v>
      </c>
      <c r="Q16" s="725">
        <f t="shared" si="0"/>
        <v>694.84933961142133</v>
      </c>
      <c r="R16" s="725">
        <f t="shared" ca="1" si="0"/>
        <v>552386.95684380131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3599.6254321721322</v>
      </c>
      <c r="I19" s="689">
        <f>transport!H54</f>
        <v>0</v>
      </c>
      <c r="J19" s="689">
        <f>transport!I54</f>
        <v>0</v>
      </c>
      <c r="K19" s="689">
        <f>transport!J54</f>
        <v>0</v>
      </c>
      <c r="L19" s="689">
        <f>transport!K54</f>
        <v>0</v>
      </c>
      <c r="M19" s="689">
        <f>transport!L54</f>
        <v>0</v>
      </c>
      <c r="N19" s="689">
        <f>transport!M54</f>
        <v>195.33617793433743</v>
      </c>
      <c r="O19" s="689">
        <f>transport!N54</f>
        <v>0</v>
      </c>
      <c r="P19" s="689">
        <f>transport!O54</f>
        <v>0</v>
      </c>
      <c r="Q19" s="690">
        <f>transport!P54</f>
        <v>0</v>
      </c>
      <c r="R19" s="692">
        <f>SUM(C19:Q19)</f>
        <v>3794.9616101064694</v>
      </c>
      <c r="S19" s="67"/>
    </row>
    <row r="20" spans="1:19" s="451" customFormat="1">
      <c r="A20" s="811" t="s">
        <v>306</v>
      </c>
      <c r="B20" s="816"/>
      <c r="C20" s="689">
        <f>transport!B14</f>
        <v>448.77143964004864</v>
      </c>
      <c r="D20" s="689">
        <f>transport!C14</f>
        <v>0</v>
      </c>
      <c r="E20" s="689">
        <f>transport!D14</f>
        <v>1913.1847202138435</v>
      </c>
      <c r="F20" s="689">
        <f>transport!E14</f>
        <v>1095.4064315587821</v>
      </c>
      <c r="G20" s="689">
        <f>transport!F14</f>
        <v>0</v>
      </c>
      <c r="H20" s="689">
        <f>transport!G14</f>
        <v>455346.36321065895</v>
      </c>
      <c r="I20" s="689">
        <f>transport!H14</f>
        <v>123319.34819332015</v>
      </c>
      <c r="J20" s="689">
        <f>transport!I14</f>
        <v>0</v>
      </c>
      <c r="K20" s="689">
        <f>transport!J14</f>
        <v>0</v>
      </c>
      <c r="L20" s="689">
        <f>transport!K14</f>
        <v>0</v>
      </c>
      <c r="M20" s="689">
        <f>transport!L14</f>
        <v>0</v>
      </c>
      <c r="N20" s="689">
        <f>transport!M14</f>
        <v>34209.383040705827</v>
      </c>
      <c r="O20" s="689">
        <f>transport!N14</f>
        <v>0</v>
      </c>
      <c r="P20" s="689">
        <f>transport!O14</f>
        <v>0</v>
      </c>
      <c r="Q20" s="690">
        <f>transport!P14</f>
        <v>0</v>
      </c>
      <c r="R20" s="692">
        <f>SUM(C20:Q20)</f>
        <v>616332.45703609765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448.77143964004864</v>
      </c>
      <c r="D22" s="814">
        <f t="shared" ref="D22:R22" si="1">SUM(D18:D21)</f>
        <v>0</v>
      </c>
      <c r="E22" s="814">
        <f t="shared" si="1"/>
        <v>1913.1847202138435</v>
      </c>
      <c r="F22" s="814">
        <f t="shared" si="1"/>
        <v>1095.4064315587821</v>
      </c>
      <c r="G22" s="814">
        <f t="shared" si="1"/>
        <v>0</v>
      </c>
      <c r="H22" s="814">
        <f t="shared" si="1"/>
        <v>458945.9886428311</v>
      </c>
      <c r="I22" s="814">
        <f t="shared" si="1"/>
        <v>123319.34819332015</v>
      </c>
      <c r="J22" s="814">
        <f t="shared" si="1"/>
        <v>0</v>
      </c>
      <c r="K22" s="814">
        <f t="shared" si="1"/>
        <v>0</v>
      </c>
      <c r="L22" s="814">
        <f t="shared" si="1"/>
        <v>0</v>
      </c>
      <c r="M22" s="814">
        <f t="shared" si="1"/>
        <v>0</v>
      </c>
      <c r="N22" s="814">
        <f t="shared" si="1"/>
        <v>34404.719218640166</v>
      </c>
      <c r="O22" s="814">
        <f t="shared" si="1"/>
        <v>0</v>
      </c>
      <c r="P22" s="814">
        <f t="shared" si="1"/>
        <v>0</v>
      </c>
      <c r="Q22" s="814">
        <f t="shared" si="1"/>
        <v>0</v>
      </c>
      <c r="R22" s="814">
        <f t="shared" si="1"/>
        <v>620127.41864620417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730.63968604816694</v>
      </c>
      <c r="D24" s="689">
        <f>+landbouw!C8</f>
        <v>7270.7142857142862</v>
      </c>
      <c r="E24" s="689">
        <f>+landbouw!D8</f>
        <v>5640.4202706879269</v>
      </c>
      <c r="F24" s="689">
        <f>+landbouw!E8</f>
        <v>27.247788760109753</v>
      </c>
      <c r="G24" s="689">
        <f>+landbouw!F8</f>
        <v>2370.477471828327</v>
      </c>
      <c r="H24" s="689">
        <f>+landbouw!G8</f>
        <v>0</v>
      </c>
      <c r="I24" s="689">
        <f>+landbouw!H8</f>
        <v>0</v>
      </c>
      <c r="J24" s="689">
        <f>+landbouw!I8</f>
        <v>0</v>
      </c>
      <c r="K24" s="689">
        <f>+landbouw!J8</f>
        <v>191.79652468792193</v>
      </c>
      <c r="L24" s="689">
        <f>+landbouw!K8</f>
        <v>0</v>
      </c>
      <c r="M24" s="689">
        <f>+landbouw!L8</f>
        <v>0</v>
      </c>
      <c r="N24" s="689">
        <f>+landbouw!M8</f>
        <v>0</v>
      </c>
      <c r="O24" s="689">
        <f>+landbouw!N8</f>
        <v>0</v>
      </c>
      <c r="P24" s="689">
        <f>+landbouw!O8</f>
        <v>0</v>
      </c>
      <c r="Q24" s="690">
        <f>+landbouw!P8</f>
        <v>0</v>
      </c>
      <c r="R24" s="692">
        <f>SUM(C24:Q24)</f>
        <v>16231.296027726738</v>
      </c>
      <c r="S24" s="67"/>
    </row>
    <row r="25" spans="1:19" s="451" customFormat="1" ht="15" thickBot="1">
      <c r="A25" s="833" t="s">
        <v>714</v>
      </c>
      <c r="B25" s="947"/>
      <c r="C25" s="948">
        <f>IF(Onbekend_ele_kWh="---",0,Onbekend_ele_kWh)/1000+IF(REST_rest_ele_kWh="---",0,REST_rest_ele_kWh)/1000</f>
        <v>1925.18603909324</v>
      </c>
      <c r="D25" s="948"/>
      <c r="E25" s="948">
        <f>IF(onbekend_gas_kWh="---",0,onbekend_gas_kWh)/1000+IF(REST_rest_gas_kWh="---",0,REST_rest_gas_kWh)/1000</f>
        <v>5265.6057085739303</v>
      </c>
      <c r="F25" s="948"/>
      <c r="G25" s="948"/>
      <c r="H25" s="948"/>
      <c r="I25" s="948"/>
      <c r="J25" s="948"/>
      <c r="K25" s="948"/>
      <c r="L25" s="948"/>
      <c r="M25" s="948"/>
      <c r="N25" s="948"/>
      <c r="O25" s="948"/>
      <c r="P25" s="948"/>
      <c r="Q25" s="949"/>
      <c r="R25" s="692">
        <f>SUM(C25:Q25)</f>
        <v>7190.7917476671701</v>
      </c>
      <c r="S25" s="67"/>
    </row>
    <row r="26" spans="1:19" s="451" customFormat="1" ht="15.75" thickBot="1">
      <c r="A26" s="697" t="s">
        <v>715</v>
      </c>
      <c r="B26" s="819"/>
      <c r="C26" s="814">
        <f>SUM(C24:C25)</f>
        <v>2655.825725141407</v>
      </c>
      <c r="D26" s="814">
        <f t="shared" ref="D26:R26" si="2">SUM(D24:D25)</f>
        <v>7270.7142857142862</v>
      </c>
      <c r="E26" s="814">
        <f t="shared" si="2"/>
        <v>10906.025979261856</v>
      </c>
      <c r="F26" s="814">
        <f t="shared" si="2"/>
        <v>27.247788760109753</v>
      </c>
      <c r="G26" s="814">
        <f t="shared" si="2"/>
        <v>2370.477471828327</v>
      </c>
      <c r="H26" s="814">
        <f t="shared" si="2"/>
        <v>0</v>
      </c>
      <c r="I26" s="814">
        <f t="shared" si="2"/>
        <v>0</v>
      </c>
      <c r="J26" s="814">
        <f t="shared" si="2"/>
        <v>0</v>
      </c>
      <c r="K26" s="814">
        <f t="shared" si="2"/>
        <v>191.79652468792193</v>
      </c>
      <c r="L26" s="814">
        <f t="shared" si="2"/>
        <v>0</v>
      </c>
      <c r="M26" s="814">
        <f t="shared" si="2"/>
        <v>0</v>
      </c>
      <c r="N26" s="814">
        <f t="shared" si="2"/>
        <v>0</v>
      </c>
      <c r="O26" s="814">
        <f t="shared" si="2"/>
        <v>0</v>
      </c>
      <c r="P26" s="814">
        <f t="shared" si="2"/>
        <v>0</v>
      </c>
      <c r="Q26" s="814">
        <f t="shared" si="2"/>
        <v>0</v>
      </c>
      <c r="R26" s="814">
        <f t="shared" si="2"/>
        <v>23422.087775393906</v>
      </c>
      <c r="S26" s="67"/>
    </row>
    <row r="27" spans="1:19" s="451" customFormat="1" ht="17.25" thickTop="1" thickBot="1">
      <c r="A27" s="698" t="s">
        <v>115</v>
      </c>
      <c r="B27" s="806"/>
      <c r="C27" s="699">
        <f ca="1">C22+C16+C26</f>
        <v>203026.74306088191</v>
      </c>
      <c r="D27" s="699">
        <f t="shared" ref="D27:R27" ca="1" si="3">D22+D16+D26</f>
        <v>12985.714285714286</v>
      </c>
      <c r="E27" s="699">
        <f t="shared" ca="1" si="3"/>
        <v>305832.588357648</v>
      </c>
      <c r="F27" s="699">
        <f t="shared" si="3"/>
        <v>8183.8716534729401</v>
      </c>
      <c r="G27" s="699">
        <f t="shared" ca="1" si="3"/>
        <v>28333.362333704554</v>
      </c>
      <c r="H27" s="699">
        <f t="shared" si="3"/>
        <v>458945.9886428311</v>
      </c>
      <c r="I27" s="699">
        <f t="shared" si="3"/>
        <v>123319.34819332015</v>
      </c>
      <c r="J27" s="699">
        <f t="shared" si="3"/>
        <v>0</v>
      </c>
      <c r="K27" s="699">
        <f t="shared" si="3"/>
        <v>193.82041535621187</v>
      </c>
      <c r="L27" s="699">
        <f t="shared" si="3"/>
        <v>0</v>
      </c>
      <c r="M27" s="699">
        <f t="shared" ca="1" si="3"/>
        <v>0</v>
      </c>
      <c r="N27" s="699">
        <f t="shared" si="3"/>
        <v>34404.719218640166</v>
      </c>
      <c r="O27" s="699">
        <f t="shared" ca="1" si="3"/>
        <v>19674.216950483933</v>
      </c>
      <c r="P27" s="699">
        <f t="shared" si="3"/>
        <v>341.24081373456949</v>
      </c>
      <c r="Q27" s="699">
        <f t="shared" si="3"/>
        <v>694.84933961142133</v>
      </c>
      <c r="R27" s="699">
        <f t="shared" ca="1" si="3"/>
        <v>1195936.4632653994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13920.570896656547</v>
      </c>
      <c r="D40" s="689">
        <f ca="1">tertiair!C20</f>
        <v>597.72176470588238</v>
      </c>
      <c r="E40" s="689">
        <f ca="1">tertiair!D20</f>
        <v>18696.725573333792</v>
      </c>
      <c r="F40" s="689">
        <f>tertiair!E20</f>
        <v>50.624554432621807</v>
      </c>
      <c r="G40" s="689">
        <f ca="1">tertiair!F20</f>
        <v>2387.0685987685565</v>
      </c>
      <c r="H40" s="689">
        <f>tertiair!G20</f>
        <v>0</v>
      </c>
      <c r="I40" s="689">
        <f>tertiair!H20</f>
        <v>0</v>
      </c>
      <c r="J40" s="689">
        <f>tertiair!I20</f>
        <v>0</v>
      </c>
      <c r="K40" s="689">
        <f>tertiair!J20</f>
        <v>1.3565366283386733E-2</v>
      </c>
      <c r="L40" s="689">
        <f>tertiair!K20</f>
        <v>0</v>
      </c>
      <c r="M40" s="689">
        <f ca="1">tertiair!L20</f>
        <v>0</v>
      </c>
      <c r="N40" s="689">
        <f>tertiair!M20</f>
        <v>0</v>
      </c>
      <c r="O40" s="689">
        <f ca="1">tertiair!N20</f>
        <v>0</v>
      </c>
      <c r="P40" s="689">
        <f>tertiair!O20</f>
        <v>0</v>
      </c>
      <c r="Q40" s="772">
        <f>tertiair!P20</f>
        <v>0</v>
      </c>
      <c r="R40" s="852">
        <f t="shared" ca="1" si="4"/>
        <v>35652.724953263685</v>
      </c>
    </row>
    <row r="41" spans="1:18">
      <c r="A41" s="824" t="s">
        <v>224</v>
      </c>
      <c r="B41" s="831"/>
      <c r="C41" s="689">
        <f ca="1">huishoudens!B12</f>
        <v>10645.65283491749</v>
      </c>
      <c r="D41" s="689">
        <f ca="1">huishoudens!C12</f>
        <v>0</v>
      </c>
      <c r="E41" s="689">
        <f>huishoudens!D12</f>
        <v>33598.723871187809</v>
      </c>
      <c r="F41" s="689">
        <f>huishoudens!E12</f>
        <v>1521.8130081416898</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45766.18971424699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10427.710439289474</v>
      </c>
      <c r="D43" s="689">
        <f ca="1">industrie!C22</f>
        <v>0</v>
      </c>
      <c r="E43" s="689">
        <f>industrie!D22</f>
        <v>6893.2528424292086</v>
      </c>
      <c r="F43" s="689">
        <f>industrie!E22</f>
        <v>30.458794751657628</v>
      </c>
      <c r="G43" s="689">
        <f>industrie!F22</f>
        <v>4545.0216593523965</v>
      </c>
      <c r="H43" s="689">
        <f>industrie!G22</f>
        <v>0</v>
      </c>
      <c r="I43" s="689">
        <f>industrie!H22</f>
        <v>0</v>
      </c>
      <c r="J43" s="689">
        <f>industrie!I22</f>
        <v>0</v>
      </c>
      <c r="K43" s="689">
        <f>industrie!J22</f>
        <v>0.7028919302912543</v>
      </c>
      <c r="L43" s="689">
        <f>industrie!K22</f>
        <v>0</v>
      </c>
      <c r="M43" s="689">
        <f>industrie!L22</f>
        <v>0</v>
      </c>
      <c r="N43" s="689">
        <f>industrie!M22</f>
        <v>0</v>
      </c>
      <c r="O43" s="689">
        <f>industrie!N22</f>
        <v>0</v>
      </c>
      <c r="P43" s="689">
        <f>industrie!O22</f>
        <v>0</v>
      </c>
      <c r="Q43" s="772">
        <f>industrie!P22</f>
        <v>0</v>
      </c>
      <c r="R43" s="851">
        <f t="shared" ca="1" si="4"/>
        <v>21897.146627753027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34993.934170863511</v>
      </c>
      <c r="D46" s="725">
        <f t="shared" ref="D46:Q46" ca="1" si="5">SUM(D39:D45)</f>
        <v>597.72176470588238</v>
      </c>
      <c r="E46" s="725">
        <f t="shared" ca="1" si="5"/>
        <v>59188.702286950807</v>
      </c>
      <c r="F46" s="725">
        <f t="shared" si="5"/>
        <v>1602.8963573259693</v>
      </c>
      <c r="G46" s="725">
        <f t="shared" ca="1" si="5"/>
        <v>6932.090258120953</v>
      </c>
      <c r="H46" s="725">
        <f t="shared" si="5"/>
        <v>0</v>
      </c>
      <c r="I46" s="725">
        <f t="shared" si="5"/>
        <v>0</v>
      </c>
      <c r="J46" s="725">
        <f t="shared" si="5"/>
        <v>0</v>
      </c>
      <c r="K46" s="725">
        <f t="shared" si="5"/>
        <v>0.71645729657464108</v>
      </c>
      <c r="L46" s="725">
        <f t="shared" si="5"/>
        <v>0</v>
      </c>
      <c r="M46" s="725">
        <f t="shared" ca="1" si="5"/>
        <v>0</v>
      </c>
      <c r="N46" s="725">
        <f t="shared" si="5"/>
        <v>0</v>
      </c>
      <c r="O46" s="725">
        <f t="shared" ca="1" si="5"/>
        <v>0</v>
      </c>
      <c r="P46" s="725">
        <f t="shared" si="5"/>
        <v>0</v>
      </c>
      <c r="Q46" s="725">
        <f t="shared" si="5"/>
        <v>0</v>
      </c>
      <c r="R46" s="725">
        <f ca="1">SUM(R39:R45)</f>
        <v>103316.0612952637</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961.09999038995932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961.09999038995932</v>
      </c>
    </row>
    <row r="50" spans="1:18">
      <c r="A50" s="827" t="s">
        <v>306</v>
      </c>
      <c r="B50" s="837"/>
      <c r="C50" s="695">
        <f ca="1">transport!B18</f>
        <v>78.551969048436604</v>
      </c>
      <c r="D50" s="695">
        <f>transport!C18</f>
        <v>0</v>
      </c>
      <c r="E50" s="695">
        <f>transport!D18</f>
        <v>386.46331348319643</v>
      </c>
      <c r="F50" s="695">
        <f>transport!E18</f>
        <v>248.65725996384353</v>
      </c>
      <c r="G50" s="695">
        <f>transport!F18</f>
        <v>0</v>
      </c>
      <c r="H50" s="695">
        <f>transport!G18</f>
        <v>121577.47897724595</v>
      </c>
      <c r="I50" s="695">
        <f>transport!H18</f>
        <v>30706.517700136719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152997.66921987815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78.551969048436604</v>
      </c>
      <c r="D52" s="725">
        <f t="shared" ref="D52:Q52" ca="1" si="6">SUM(D48:D51)</f>
        <v>0</v>
      </c>
      <c r="E52" s="725">
        <f t="shared" si="6"/>
        <v>386.46331348319643</v>
      </c>
      <c r="F52" s="725">
        <f t="shared" si="6"/>
        <v>248.65725996384353</v>
      </c>
      <c r="G52" s="725">
        <f t="shared" si="6"/>
        <v>0</v>
      </c>
      <c r="H52" s="725">
        <f t="shared" si="6"/>
        <v>122538.57896763591</v>
      </c>
      <c r="I52" s="725">
        <f t="shared" si="6"/>
        <v>30706.517700136719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153958.7692102681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127.8895690199204</v>
      </c>
      <c r="D54" s="695">
        <f ca="1">+landbouw!C12</f>
        <v>760.4311764705883</v>
      </c>
      <c r="E54" s="695">
        <f>+landbouw!D12</f>
        <v>1139.3648946789613</v>
      </c>
      <c r="F54" s="695">
        <f>+landbouw!E12</f>
        <v>6.1852480485449144</v>
      </c>
      <c r="G54" s="695">
        <f>+landbouw!F12</f>
        <v>632.91748497816332</v>
      </c>
      <c r="H54" s="695">
        <f>+landbouw!G12</f>
        <v>0</v>
      </c>
      <c r="I54" s="695">
        <f>+landbouw!H12</f>
        <v>0</v>
      </c>
      <c r="J54" s="695">
        <f>+landbouw!I12</f>
        <v>0</v>
      </c>
      <c r="K54" s="695">
        <f>+landbouw!J12</f>
        <v>67.895969739524361</v>
      </c>
      <c r="L54" s="695">
        <f>+landbouw!K12</f>
        <v>0</v>
      </c>
      <c r="M54" s="695">
        <f>+landbouw!L12</f>
        <v>0</v>
      </c>
      <c r="N54" s="695">
        <f>+landbouw!M12</f>
        <v>0</v>
      </c>
      <c r="O54" s="695">
        <f>+landbouw!N12</f>
        <v>0</v>
      </c>
      <c r="P54" s="695">
        <f>+landbouw!O12</f>
        <v>0</v>
      </c>
      <c r="Q54" s="696">
        <f>+landbouw!P12</f>
        <v>0</v>
      </c>
      <c r="R54" s="724">
        <f ca="1">SUM(C54:Q54)</f>
        <v>2734.6843429357027</v>
      </c>
    </row>
    <row r="55" spans="1:18" ht="15" thickBot="1">
      <c r="A55" s="827" t="s">
        <v>714</v>
      </c>
      <c r="B55" s="837"/>
      <c r="C55" s="695">
        <f ca="1">C25*'EF ele_warmte'!B12</f>
        <v>336.9803441070826</v>
      </c>
      <c r="D55" s="695"/>
      <c r="E55" s="695">
        <f>E25*EF_CO2_aardgas</f>
        <v>1063.652353131934</v>
      </c>
      <c r="F55" s="695"/>
      <c r="G55" s="695"/>
      <c r="H55" s="695"/>
      <c r="I55" s="695"/>
      <c r="J55" s="695"/>
      <c r="K55" s="695"/>
      <c r="L55" s="695"/>
      <c r="M55" s="695"/>
      <c r="N55" s="695"/>
      <c r="O55" s="695"/>
      <c r="P55" s="695"/>
      <c r="Q55" s="696"/>
      <c r="R55" s="724">
        <f ca="1">SUM(C55:Q55)</f>
        <v>1400.6326972390166</v>
      </c>
    </row>
    <row r="56" spans="1:18" ht="15.75" thickBot="1">
      <c r="A56" s="825" t="s">
        <v>715</v>
      </c>
      <c r="B56" s="838"/>
      <c r="C56" s="725">
        <f ca="1">SUM(C54:C55)</f>
        <v>464.86991312700297</v>
      </c>
      <c r="D56" s="725">
        <f t="shared" ref="D56:Q56" ca="1" si="7">SUM(D54:D55)</f>
        <v>760.4311764705883</v>
      </c>
      <c r="E56" s="725">
        <f t="shared" si="7"/>
        <v>2203.0172478108952</v>
      </c>
      <c r="F56" s="725">
        <f t="shared" si="7"/>
        <v>6.1852480485449144</v>
      </c>
      <c r="G56" s="725">
        <f t="shared" si="7"/>
        <v>632.91748497816332</v>
      </c>
      <c r="H56" s="725">
        <f t="shared" si="7"/>
        <v>0</v>
      </c>
      <c r="I56" s="725">
        <f t="shared" si="7"/>
        <v>0</v>
      </c>
      <c r="J56" s="725">
        <f t="shared" si="7"/>
        <v>0</v>
      </c>
      <c r="K56" s="725">
        <f t="shared" si="7"/>
        <v>67.895969739524361</v>
      </c>
      <c r="L56" s="725">
        <f t="shared" si="7"/>
        <v>0</v>
      </c>
      <c r="M56" s="725">
        <f t="shared" si="7"/>
        <v>0</v>
      </c>
      <c r="N56" s="725">
        <f t="shared" si="7"/>
        <v>0</v>
      </c>
      <c r="O56" s="725">
        <f t="shared" si="7"/>
        <v>0</v>
      </c>
      <c r="P56" s="725">
        <f t="shared" si="7"/>
        <v>0</v>
      </c>
      <c r="Q56" s="726">
        <f t="shared" si="7"/>
        <v>0</v>
      </c>
      <c r="R56" s="727">
        <f ca="1">SUM(R54:R55)</f>
        <v>4135.3170401747193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35537.356053038951</v>
      </c>
      <c r="D61" s="733">
        <f t="shared" ref="D61:Q61" ca="1" si="8">D46+D52+D56</f>
        <v>1358.1529411764707</v>
      </c>
      <c r="E61" s="733">
        <f t="shared" ca="1" si="8"/>
        <v>61778.182848244898</v>
      </c>
      <c r="F61" s="733">
        <f t="shared" si="8"/>
        <v>1857.7388653383578</v>
      </c>
      <c r="G61" s="733">
        <f t="shared" ca="1" si="8"/>
        <v>7565.0077430991159</v>
      </c>
      <c r="H61" s="733">
        <f t="shared" si="8"/>
        <v>122538.57896763591</v>
      </c>
      <c r="I61" s="733">
        <f t="shared" si="8"/>
        <v>30706.517700136719</v>
      </c>
      <c r="J61" s="733">
        <f t="shared" si="8"/>
        <v>0</v>
      </c>
      <c r="K61" s="733">
        <f t="shared" si="8"/>
        <v>68.612427036099007</v>
      </c>
      <c r="L61" s="733">
        <f t="shared" si="8"/>
        <v>0</v>
      </c>
      <c r="M61" s="733">
        <f t="shared" ca="1" si="8"/>
        <v>0</v>
      </c>
      <c r="N61" s="733">
        <f t="shared" si="8"/>
        <v>0</v>
      </c>
      <c r="O61" s="733">
        <f t="shared" ca="1" si="8"/>
        <v>0</v>
      </c>
      <c r="P61" s="733">
        <f t="shared" si="8"/>
        <v>0</v>
      </c>
      <c r="Q61" s="733">
        <f t="shared" si="8"/>
        <v>0</v>
      </c>
      <c r="R61" s="733">
        <f ca="1">R46+R52+R56</f>
        <v>261410.14754570654</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0.17503780791273549</v>
      </c>
      <c r="D63" s="779">
        <f t="shared" ca="1" si="9"/>
        <v>0.10458823529411765</v>
      </c>
      <c r="E63" s="973">
        <f t="shared" ca="1" si="9"/>
        <v>0.20200000000000001</v>
      </c>
      <c r="F63" s="779">
        <f t="shared" si="9"/>
        <v>0.22700000000000004</v>
      </c>
      <c r="G63" s="779">
        <f t="shared" ca="1" si="9"/>
        <v>0.26700000000000002</v>
      </c>
      <c r="H63" s="779">
        <f t="shared" si="9"/>
        <v>0.26700000000000002</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30158.224154313477</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7277.8447245981952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5089.5000000000009</v>
      </c>
      <c r="C76" s="746">
        <f>'lokale energieproductie'!B8*IFERROR(SUM(D76:H76)/SUM(D76:O76),0)</f>
        <v>4000.4999999999995</v>
      </c>
      <c r="D76" s="956">
        <f>'lokale energieproductie'!C8</f>
        <v>4706.4705882352937</v>
      </c>
      <c r="E76" s="957">
        <f>'lokale energieproductie'!D8</f>
        <v>0</v>
      </c>
      <c r="F76" s="957">
        <f>'lokale energieproductie'!E8</f>
        <v>0</v>
      </c>
      <c r="G76" s="957">
        <f>'lokale energieproductie'!F8</f>
        <v>0</v>
      </c>
      <c r="H76" s="957">
        <f>'lokale energieproductie'!G8</f>
        <v>0</v>
      </c>
      <c r="I76" s="957">
        <f>'lokale energieproductie'!I8</f>
        <v>0</v>
      </c>
      <c r="J76" s="957">
        <f>'lokale energieproductie'!J8</f>
        <v>5987.6470588235297</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950.70705882352934</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42525.568878911668</v>
      </c>
      <c r="C78" s="751">
        <f>SUM(C72:C77)</f>
        <v>4000.4999999999995</v>
      </c>
      <c r="D78" s="752">
        <f t="shared" ref="D78:H78" si="10">SUM(D76:D77)</f>
        <v>4706.4705882352937</v>
      </c>
      <c r="E78" s="752">
        <f t="shared" si="10"/>
        <v>0</v>
      </c>
      <c r="F78" s="752">
        <f t="shared" si="10"/>
        <v>0</v>
      </c>
      <c r="G78" s="752">
        <f t="shared" si="10"/>
        <v>0</v>
      </c>
      <c r="H78" s="752">
        <f t="shared" si="10"/>
        <v>0</v>
      </c>
      <c r="I78" s="752">
        <f>SUM(I76:I77)</f>
        <v>0</v>
      </c>
      <c r="J78" s="752">
        <f>SUM(J76:J77)</f>
        <v>5987.6470588235297</v>
      </c>
      <c r="K78" s="752">
        <f t="shared" ref="K78:L78" si="11">SUM(K76:K77)</f>
        <v>0</v>
      </c>
      <c r="L78" s="752">
        <f t="shared" si="11"/>
        <v>0</v>
      </c>
      <c r="M78" s="752">
        <f>SUM(M76:M77)</f>
        <v>0</v>
      </c>
      <c r="N78" s="752">
        <f>SUM(N76:N77)</f>
        <v>0</v>
      </c>
      <c r="O78" s="862">
        <f>SUM(O76:O77)</f>
        <v>0</v>
      </c>
      <c r="P78" s="753">
        <v>0</v>
      </c>
      <c r="Q78" s="753">
        <f>SUM(Q76:Q77)</f>
        <v>950.70705882352934</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7270.7142857142871</v>
      </c>
      <c r="C87" s="764">
        <f>'lokale energieproductie'!B17*IFERROR(SUM(D87:H87)/SUM(D87:O87),0)</f>
        <v>5715</v>
      </c>
      <c r="D87" s="775">
        <f>'lokale energieproductie'!C17</f>
        <v>6723.5294117647063</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8553.7815126050427</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1358.1529411764707</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7270.7142857142871</v>
      </c>
      <c r="C90" s="751">
        <f>SUM(C87:C89)</f>
        <v>5715</v>
      </c>
      <c r="D90" s="751">
        <f t="shared" ref="D90:H90" si="12">SUM(D87:D89)</f>
        <v>6723.5294117647063</v>
      </c>
      <c r="E90" s="751">
        <f t="shared" si="12"/>
        <v>0</v>
      </c>
      <c r="F90" s="751">
        <f t="shared" si="12"/>
        <v>0</v>
      </c>
      <c r="G90" s="751">
        <f t="shared" si="12"/>
        <v>0</v>
      </c>
      <c r="H90" s="751">
        <f t="shared" si="12"/>
        <v>0</v>
      </c>
      <c r="I90" s="751">
        <f>SUM(I87:I89)</f>
        <v>0</v>
      </c>
      <c r="J90" s="751">
        <f>SUM(J87:J89)</f>
        <v>8553.7815126050427</v>
      </c>
      <c r="K90" s="751">
        <f t="shared" ref="K90:L90" si="13">SUM(K87:K89)</f>
        <v>0</v>
      </c>
      <c r="L90" s="751">
        <f t="shared" si="13"/>
        <v>0</v>
      </c>
      <c r="M90" s="751">
        <f>SUM(M87:M89)</f>
        <v>0</v>
      </c>
      <c r="N90" s="751">
        <f>SUM(N87:N89)</f>
        <v>0</v>
      </c>
      <c r="O90" s="751">
        <f>SUM(O87:O89)</f>
        <v>0</v>
      </c>
      <c r="P90" s="751">
        <v>0</v>
      </c>
      <c r="Q90" s="751">
        <f>SUM(Q87:Q89)</f>
        <v>1358.1529411764707</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30158.224154313477</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7277.8447245981952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9090</v>
      </c>
      <c r="C8" s="551">
        <f>B49</f>
        <v>4706.4705882352937</v>
      </c>
      <c r="D8" s="552"/>
      <c r="E8" s="552">
        <f>E49</f>
        <v>0</v>
      </c>
      <c r="F8" s="553"/>
      <c r="G8" s="554"/>
      <c r="H8" s="552">
        <f>I49</f>
        <v>0</v>
      </c>
      <c r="I8" s="552">
        <f>G49+F49</f>
        <v>0</v>
      </c>
      <c r="J8" s="552">
        <f>H49+D49+C49</f>
        <v>5987.6470588235297</v>
      </c>
      <c r="K8" s="552"/>
      <c r="L8" s="552"/>
      <c r="M8" s="552"/>
      <c r="N8" s="555"/>
      <c r="O8" s="556">
        <f>C8*$C$12+D8*$D$12+E8*$E$12+F8*$F$12+G8*$G$12+H8*$H$12+I8*$I$12+J8*$J$12</f>
        <v>950.70705882352934</v>
      </c>
      <c r="P8" s="1256"/>
      <c r="Q8" s="1257"/>
      <c r="S8" s="546"/>
      <c r="T8" s="1244"/>
      <c r="U8" s="1244"/>
    </row>
    <row r="9" spans="1:21" s="537" customFormat="1" ht="17.45" customHeight="1" thickBot="1">
      <c r="A9" s="557" t="s">
        <v>247</v>
      </c>
      <c r="B9" s="558">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46526.068878911668</v>
      </c>
      <c r="C10" s="566">
        <f t="shared" ref="C10:L10" si="0">SUM(C8:C9)</f>
        <v>4706.4705882352937</v>
      </c>
      <c r="D10" s="566">
        <f t="shared" si="0"/>
        <v>0</v>
      </c>
      <c r="E10" s="566">
        <f t="shared" si="0"/>
        <v>0</v>
      </c>
      <c r="F10" s="566">
        <f t="shared" si="0"/>
        <v>0</v>
      </c>
      <c r="G10" s="566">
        <f t="shared" si="0"/>
        <v>0</v>
      </c>
      <c r="H10" s="566">
        <f t="shared" si="0"/>
        <v>0</v>
      </c>
      <c r="I10" s="566">
        <f t="shared" si="0"/>
        <v>0</v>
      </c>
      <c r="J10" s="566">
        <f t="shared" si="0"/>
        <v>5987.6470588235297</v>
      </c>
      <c r="K10" s="566">
        <f t="shared" si="0"/>
        <v>0</v>
      </c>
      <c r="L10" s="566">
        <f t="shared" si="0"/>
        <v>0</v>
      </c>
      <c r="M10" s="969"/>
      <c r="N10" s="969"/>
      <c r="O10" s="567">
        <f>SUM(O4:O9)</f>
        <v>950.70705882352934</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12985.714285714286</v>
      </c>
      <c r="C17" s="582">
        <f>B50</f>
        <v>6723.5294117647063</v>
      </c>
      <c r="D17" s="583"/>
      <c r="E17" s="583">
        <f>E50</f>
        <v>0</v>
      </c>
      <c r="F17" s="584"/>
      <c r="G17" s="585"/>
      <c r="H17" s="582">
        <f>I50</f>
        <v>0</v>
      </c>
      <c r="I17" s="583">
        <f>G50+F50</f>
        <v>0</v>
      </c>
      <c r="J17" s="583">
        <f>H50+D50+C50</f>
        <v>8553.7815126050427</v>
      </c>
      <c r="K17" s="583"/>
      <c r="L17" s="583"/>
      <c r="M17" s="583"/>
      <c r="N17" s="970"/>
      <c r="O17" s="586">
        <f>C17*$C$22+E17*$E$22+H17*$H$22+I17*$I$22+J17*$J$22+D17*$D$22+F17*$F$22+G17*$G$22+K17*$K$22+L17*$L$22</f>
        <v>1358.1529411764707</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12985.714285714286</v>
      </c>
      <c r="C20" s="565">
        <f>SUM(C17:C19)</f>
        <v>6723.5294117647063</v>
      </c>
      <c r="D20" s="565">
        <f t="shared" ref="D20:L20" si="1">SUM(D17:D19)</f>
        <v>0</v>
      </c>
      <c r="E20" s="565">
        <f t="shared" si="1"/>
        <v>0</v>
      </c>
      <c r="F20" s="565">
        <f t="shared" si="1"/>
        <v>0</v>
      </c>
      <c r="G20" s="565">
        <f t="shared" si="1"/>
        <v>0</v>
      </c>
      <c r="H20" s="565">
        <f t="shared" si="1"/>
        <v>0</v>
      </c>
      <c r="I20" s="565">
        <f t="shared" si="1"/>
        <v>0</v>
      </c>
      <c r="J20" s="565">
        <f t="shared" si="1"/>
        <v>8553.7815126050427</v>
      </c>
      <c r="K20" s="565">
        <f t="shared" si="1"/>
        <v>0</v>
      </c>
      <c r="L20" s="565">
        <f t="shared" si="1"/>
        <v>0</v>
      </c>
      <c r="M20" s="565"/>
      <c r="N20" s="565"/>
      <c r="O20" s="591">
        <f>SUM(O17:O19)</f>
        <v>1358.1529411764707</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23027</v>
      </c>
      <c r="C28" s="794">
        <v>1500</v>
      </c>
      <c r="D28" s="643" t="s">
        <v>865</v>
      </c>
      <c r="E28" s="642" t="s">
        <v>866</v>
      </c>
      <c r="F28" s="642" t="s">
        <v>867</v>
      </c>
      <c r="G28" s="642" t="s">
        <v>868</v>
      </c>
      <c r="H28" s="642" t="s">
        <v>869</v>
      </c>
      <c r="I28" s="642" t="s">
        <v>866</v>
      </c>
      <c r="J28" s="793">
        <v>40101</v>
      </c>
      <c r="K28" s="793">
        <v>40101</v>
      </c>
      <c r="L28" s="642" t="s">
        <v>870</v>
      </c>
      <c r="M28" s="642">
        <v>1131</v>
      </c>
      <c r="N28" s="642">
        <v>5089.5</v>
      </c>
      <c r="O28" s="642">
        <v>7270.7142857142862</v>
      </c>
      <c r="P28" s="642">
        <v>0</v>
      </c>
      <c r="Q28" s="642">
        <v>14541.428571428572</v>
      </c>
      <c r="R28" s="642">
        <v>0</v>
      </c>
      <c r="S28" s="642">
        <v>0</v>
      </c>
      <c r="T28" s="642">
        <v>0</v>
      </c>
      <c r="U28" s="642">
        <v>0</v>
      </c>
      <c r="V28" s="642">
        <v>0</v>
      </c>
      <c r="W28" s="642">
        <v>0</v>
      </c>
      <c r="X28" s="642">
        <v>10</v>
      </c>
      <c r="Y28" s="642" t="s">
        <v>111</v>
      </c>
      <c r="Z28" s="644" t="s">
        <v>111</v>
      </c>
    </row>
    <row r="29" spans="1:26" s="596" customFormat="1" ht="25.5">
      <c r="A29" s="595"/>
      <c r="B29" s="794">
        <v>23027</v>
      </c>
      <c r="C29" s="794">
        <v>1500</v>
      </c>
      <c r="D29" s="643"/>
      <c r="E29" s="642"/>
      <c r="F29" s="642" t="s">
        <v>871</v>
      </c>
      <c r="G29" s="642" t="s">
        <v>868</v>
      </c>
      <c r="H29" s="642" t="s">
        <v>869</v>
      </c>
      <c r="I29" s="642" t="s">
        <v>872</v>
      </c>
      <c r="J29" s="793">
        <v>42234</v>
      </c>
      <c r="K29" s="793">
        <v>42257</v>
      </c>
      <c r="L29" s="642" t="s">
        <v>870</v>
      </c>
      <c r="M29" s="642">
        <v>889</v>
      </c>
      <c r="N29" s="642">
        <v>4000.5</v>
      </c>
      <c r="O29" s="642">
        <v>5715</v>
      </c>
      <c r="P29" s="642">
        <v>11430</v>
      </c>
      <c r="Q29" s="642">
        <v>0</v>
      </c>
      <c r="R29" s="642">
        <v>0</v>
      </c>
      <c r="S29" s="642">
        <v>0</v>
      </c>
      <c r="T29" s="642">
        <v>0</v>
      </c>
      <c r="U29" s="642">
        <v>0</v>
      </c>
      <c r="V29" s="642">
        <v>0</v>
      </c>
      <c r="W29" s="642">
        <v>0</v>
      </c>
      <c r="X29" s="642">
        <v>1100</v>
      </c>
      <c r="Y29" s="642" t="s">
        <v>51</v>
      </c>
      <c r="Z29" s="644" t="s">
        <v>155</v>
      </c>
    </row>
    <row r="30" spans="1:26" s="576" customFormat="1">
      <c r="A30" s="598" t="s">
        <v>279</v>
      </c>
      <c r="B30" s="599"/>
      <c r="C30" s="599"/>
      <c r="D30" s="599"/>
      <c r="E30" s="599"/>
      <c r="F30" s="599"/>
      <c r="G30" s="599"/>
      <c r="H30" s="599"/>
      <c r="I30" s="599"/>
      <c r="J30" s="599"/>
      <c r="K30" s="599"/>
      <c r="L30" s="600"/>
      <c r="M30" s="600">
        <f>SUM(M28:M29)</f>
        <v>2020</v>
      </c>
      <c r="N30" s="600">
        <f>SUM(N28:N29)</f>
        <v>9090</v>
      </c>
      <c r="O30" s="600">
        <f>SUM(O28:O29)</f>
        <v>12985.714285714286</v>
      </c>
      <c r="P30" s="600">
        <f>SUM(P28:P29)</f>
        <v>11430</v>
      </c>
      <c r="Q30" s="600">
        <f>SUM(Q28:Q29)</f>
        <v>14541.428571428572</v>
      </c>
      <c r="R30" s="600">
        <f>SUM(R28:R29)</f>
        <v>0</v>
      </c>
      <c r="S30" s="600">
        <f>SUM(S28:S29)</f>
        <v>0</v>
      </c>
      <c r="T30" s="600">
        <f>SUM(T28:T29)</f>
        <v>0</v>
      </c>
      <c r="U30" s="600">
        <f>SUM(U28:U29)</f>
        <v>0</v>
      </c>
      <c r="V30" s="600">
        <f>SUM(V28:V29)</f>
        <v>0</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0</v>
      </c>
      <c r="N31" s="600">
        <f>SUMIF($Z$28:$Z$29,"industrie",N28:N29)</f>
        <v>0</v>
      </c>
      <c r="O31" s="600">
        <f>SUMIF($Z$28:$Z$29,"industrie",O28:O29)</f>
        <v>0</v>
      </c>
      <c r="P31" s="600">
        <f>SUMIF($Z$28:$Z$29,"industrie",P28:P29)</f>
        <v>0</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889</v>
      </c>
      <c r="N32" s="600">
        <f ca="1">SUMIF($Z$28:AD29,"tertiair",N28:N29)</f>
        <v>4000.5</v>
      </c>
      <c r="O32" s="600">
        <f ca="1">SUMIF($Z$28:AE29,"tertiair",O28:O29)</f>
        <v>5715</v>
      </c>
      <c r="P32" s="600">
        <f ca="1">SUMIF($Z$28:AF29,"tertiair",P28:P29)</f>
        <v>11430</v>
      </c>
      <c r="Q32" s="600">
        <f ca="1">SUMIF($Z$28:AG29,"tertiair",Q28:Q29)</f>
        <v>0</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1131</v>
      </c>
      <c r="N33" s="605">
        <f>SUMIF($Z$28:$Z$29,"landbouw",N28:N29)</f>
        <v>5089.5</v>
      </c>
      <c r="O33" s="605">
        <f>SUMIF($Z$28:$Z$29,"landbouw",O28:O29)</f>
        <v>7270.7142857142862</v>
      </c>
      <c r="P33" s="605">
        <f>SUMIF($Z$28:$Z$29,"landbouw",P28:P29)</f>
        <v>0</v>
      </c>
      <c r="Q33" s="605">
        <f>SUMIF($Z$28:$Z$29,"landbouw",Q28:Q29)</f>
        <v>14541.428571428572</v>
      </c>
      <c r="R33" s="605">
        <f>SUMIF($Z$28:$Z$29,"landbouw",R28:R29)</f>
        <v>0</v>
      </c>
      <c r="S33" s="605">
        <f>SUMIF($Z$28:$Z$29,"landbouw",S28:S29)</f>
        <v>0</v>
      </c>
      <c r="T33" s="605">
        <f>SUMIF($Z$28:$Z$29,"landbouw",T28:T29)</f>
        <v>0</v>
      </c>
      <c r="U33" s="605">
        <f>SUMIF($Z$28:$Z$29,"landbouw",U28:U29)</f>
        <v>0</v>
      </c>
      <c r="V33" s="605">
        <f>SUMIF($Z$28:$Z$29,"landbouw",V28:V29)</f>
        <v>0</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12.75">
      <c r="A36" s="597"/>
      <c r="B36" s="794"/>
      <c r="C36" s="794"/>
      <c r="D36" s="645"/>
      <c r="E36" s="645"/>
      <c r="F36" s="645"/>
      <c r="G36" s="645"/>
      <c r="H36" s="645"/>
      <c r="I36" s="645"/>
      <c r="J36" s="793"/>
      <c r="K36" s="793"/>
      <c r="L36" s="645"/>
      <c r="M36" s="645"/>
      <c r="N36" s="645"/>
      <c r="O36" s="645"/>
      <c r="P36" s="645"/>
      <c r="Q36" s="645"/>
      <c r="R36" s="645"/>
      <c r="S36" s="645"/>
      <c r="T36" s="645"/>
      <c r="U36" s="645"/>
      <c r="V36" s="645"/>
      <c r="W36" s="645"/>
      <c r="X36" s="645"/>
      <c r="Y36" s="645"/>
      <c r="Z36" s="646"/>
    </row>
    <row r="37" spans="1:27" s="576" customFormat="1">
      <c r="A37" s="598" t="s">
        <v>279</v>
      </c>
      <c r="B37" s="599"/>
      <c r="C37" s="599"/>
      <c r="D37" s="599"/>
      <c r="E37" s="599"/>
      <c r="F37" s="599"/>
      <c r="G37" s="599"/>
      <c r="H37" s="599"/>
      <c r="I37" s="599"/>
      <c r="J37" s="599"/>
      <c r="K37" s="599"/>
      <c r="L37" s="600"/>
      <c r="M37" s="600">
        <f>SUM(M36:M36)</f>
        <v>0</v>
      </c>
      <c r="N37" s="600">
        <f>SUM(N36:N36)</f>
        <v>0</v>
      </c>
      <c r="O37" s="600">
        <f>SUM(O36:O36)</f>
        <v>0</v>
      </c>
      <c r="P37" s="600">
        <f>SUM(P36:P36)</f>
        <v>0</v>
      </c>
      <c r="Q37" s="600">
        <f>SUM(Q36:Q36)</f>
        <v>0</v>
      </c>
      <c r="R37" s="600">
        <f>SUM(R36:R36)</f>
        <v>0</v>
      </c>
      <c r="S37" s="600">
        <f>SUM(S36:S36)</f>
        <v>0</v>
      </c>
      <c r="T37" s="600">
        <f>SUM(T36:T36)</f>
        <v>0</v>
      </c>
      <c r="U37" s="600">
        <f>SUM(U36:U36)</f>
        <v>0</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0</v>
      </c>
      <c r="N39" s="600">
        <f>SUMIF($Z$36:$Z$37,"tertiair",N36:N37)</f>
        <v>0</v>
      </c>
      <c r="O39" s="600">
        <f>SUMIF($Z$36:$Z$37,"tertiair",O36:O37)</f>
        <v>0</v>
      </c>
      <c r="P39" s="600">
        <f>SUMIF($Z$36:$Z$37,"tertiair",P36:P37)</f>
        <v>0</v>
      </c>
      <c r="Q39" s="600">
        <f>SUMIF($Z$36:$Z$37,"tertiair",Q36:Q37)</f>
        <v>0</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0</v>
      </c>
      <c r="N40" s="605">
        <f>SUMIF($Z$36:$Z$38,"landbouw",N36:N38)</f>
        <v>0</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0.58823529411764708</v>
      </c>
      <c r="C46" s="625">
        <f>IF(ISERROR(N30/(O30+N30)),0,N30/(N30+O30))</f>
        <v>0.41176470588235292</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4706.4705882352937</v>
      </c>
      <c r="C49" s="634">
        <f t="shared" si="2"/>
        <v>5987.6470588235297</v>
      </c>
      <c r="D49" s="634">
        <f t="shared" si="2"/>
        <v>0</v>
      </c>
      <c r="E49" s="634">
        <f t="shared" si="2"/>
        <v>0</v>
      </c>
      <c r="F49" s="634">
        <f t="shared" si="2"/>
        <v>0</v>
      </c>
      <c r="G49" s="634">
        <f t="shared" si="2"/>
        <v>0</v>
      </c>
      <c r="H49" s="634">
        <f t="shared" si="2"/>
        <v>0</v>
      </c>
      <c r="I49" s="635">
        <f t="shared" si="2"/>
        <v>0</v>
      </c>
      <c r="J49" s="592"/>
      <c r="K49" s="592"/>
      <c r="L49" s="630"/>
      <c r="M49" s="630"/>
      <c r="N49" s="630"/>
      <c r="O49" s="617"/>
      <c r="P49" s="617"/>
    </row>
    <row r="50" spans="1:16" ht="15.75" thickBot="1">
      <c r="A50" s="636" t="s">
        <v>285</v>
      </c>
      <c r="B50" s="637">
        <f t="shared" ref="B50:I50" si="3">$B$46*P30</f>
        <v>6723.5294117647063</v>
      </c>
      <c r="C50" s="637">
        <f t="shared" si="3"/>
        <v>8553.7815126050427</v>
      </c>
      <c r="D50" s="637">
        <f t="shared" si="3"/>
        <v>0</v>
      </c>
      <c r="E50" s="637">
        <f t="shared" si="3"/>
        <v>0</v>
      </c>
      <c r="F50" s="637">
        <f t="shared" si="3"/>
        <v>0</v>
      </c>
      <c r="G50" s="637">
        <f t="shared" si="3"/>
        <v>0</v>
      </c>
      <c r="H50" s="637">
        <f t="shared" si="3"/>
        <v>0</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60819.162224796855</v>
      </c>
      <c r="C4" s="455">
        <f>huishoudens!C8</f>
        <v>0</v>
      </c>
      <c r="D4" s="455">
        <f>huishoudens!D8</f>
        <v>166330.31619399905</v>
      </c>
      <c r="E4" s="455">
        <f>huishoudens!E8</f>
        <v>6704.0220622981924</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16278.277807791819</v>
      </c>
      <c r="O4" s="455">
        <f>huishoudens!O8</f>
        <v>341.24081373456949</v>
      </c>
      <c r="P4" s="456">
        <f>huishoudens!P8</f>
        <v>537.23192469193623</v>
      </c>
      <c r="Q4" s="457">
        <f>SUM(B4:P4)</f>
        <v>251010.25102731245</v>
      </c>
    </row>
    <row r="5" spans="1:17">
      <c r="A5" s="454" t="s">
        <v>155</v>
      </c>
      <c r="B5" s="455">
        <f ca="1">tertiair!B16</f>
        <v>77293.193563001245</v>
      </c>
      <c r="C5" s="455">
        <f ca="1">tertiair!C16</f>
        <v>5715</v>
      </c>
      <c r="D5" s="455">
        <f ca="1">tertiair!D16</f>
        <v>92558.047392741544</v>
      </c>
      <c r="E5" s="455">
        <f>tertiair!E16</f>
        <v>223.01565829348812</v>
      </c>
      <c r="F5" s="455">
        <f ca="1">tertiair!F16</f>
        <v>8940.3318305938446</v>
      </c>
      <c r="G5" s="455">
        <f>tertiair!G16</f>
        <v>0</v>
      </c>
      <c r="H5" s="455">
        <f>tertiair!H16</f>
        <v>0</v>
      </c>
      <c r="I5" s="455">
        <f>tertiair!I16</f>
        <v>0</v>
      </c>
      <c r="J5" s="455">
        <f>tertiair!J16</f>
        <v>3.8320243738380604E-2</v>
      </c>
      <c r="K5" s="455">
        <f>tertiair!K16</f>
        <v>0</v>
      </c>
      <c r="L5" s="455">
        <f ca="1">tertiair!L16</f>
        <v>0</v>
      </c>
      <c r="M5" s="455">
        <f>tertiair!M16</f>
        <v>0</v>
      </c>
      <c r="N5" s="455">
        <f ca="1">tertiair!N16</f>
        <v>1470.7914926326366</v>
      </c>
      <c r="O5" s="455">
        <f>tertiair!O16</f>
        <v>0</v>
      </c>
      <c r="P5" s="456">
        <f>tertiair!P16</f>
        <v>157.61741491948504</v>
      </c>
      <c r="Q5" s="454">
        <f t="shared" ref="Q5:Q14" ca="1" si="0">SUM(B5:P5)</f>
        <v>186358.03567242599</v>
      </c>
    </row>
    <row r="6" spans="1:17">
      <c r="A6" s="454" t="s">
        <v>193</v>
      </c>
      <c r="B6" s="455">
        <f>'openbare verlichting'!B8</f>
        <v>2235.7440000000001</v>
      </c>
      <c r="C6" s="455"/>
      <c r="D6" s="455"/>
      <c r="E6" s="455"/>
      <c r="F6" s="455"/>
      <c r="G6" s="455"/>
      <c r="H6" s="455"/>
      <c r="I6" s="455"/>
      <c r="J6" s="455"/>
      <c r="K6" s="455"/>
      <c r="L6" s="455"/>
      <c r="M6" s="455"/>
      <c r="N6" s="455"/>
      <c r="O6" s="455"/>
      <c r="P6" s="456"/>
      <c r="Q6" s="454">
        <f t="shared" si="0"/>
        <v>2235.7440000000001</v>
      </c>
    </row>
    <row r="7" spans="1:17">
      <c r="A7" s="454" t="s">
        <v>111</v>
      </c>
      <c r="B7" s="455">
        <f>landbouw!B8</f>
        <v>730.63968604816694</v>
      </c>
      <c r="C7" s="455">
        <f>landbouw!C8</f>
        <v>7270.7142857142862</v>
      </c>
      <c r="D7" s="455">
        <f>landbouw!D8</f>
        <v>5640.4202706879269</v>
      </c>
      <c r="E7" s="455">
        <f>landbouw!E8</f>
        <v>27.247788760109753</v>
      </c>
      <c r="F7" s="455">
        <f>landbouw!F8</f>
        <v>2370.477471828327</v>
      </c>
      <c r="G7" s="455">
        <f>landbouw!G8</f>
        <v>0</v>
      </c>
      <c r="H7" s="455">
        <f>landbouw!H8</f>
        <v>0</v>
      </c>
      <c r="I7" s="455">
        <f>landbouw!I8</f>
        <v>0</v>
      </c>
      <c r="J7" s="455">
        <f>landbouw!J8</f>
        <v>191.79652468792193</v>
      </c>
      <c r="K7" s="455">
        <f>landbouw!K8</f>
        <v>0</v>
      </c>
      <c r="L7" s="455">
        <f>landbouw!L8</f>
        <v>0</v>
      </c>
      <c r="M7" s="455">
        <f>landbouw!M8</f>
        <v>0</v>
      </c>
      <c r="N7" s="455">
        <f>landbouw!N8</f>
        <v>0</v>
      </c>
      <c r="O7" s="455">
        <f>landbouw!O8</f>
        <v>0</v>
      </c>
      <c r="P7" s="456">
        <f>landbouw!P8</f>
        <v>0</v>
      </c>
      <c r="Q7" s="454">
        <f t="shared" si="0"/>
        <v>16231.296027726738</v>
      </c>
    </row>
    <row r="8" spans="1:17">
      <c r="A8" s="454" t="s">
        <v>626</v>
      </c>
      <c r="B8" s="455">
        <f>industrie!B18</f>
        <v>59574.046108302355</v>
      </c>
      <c r="C8" s="455">
        <f>industrie!C18</f>
        <v>0</v>
      </c>
      <c r="D8" s="455">
        <f>industrie!D18</f>
        <v>34125.014071431724</v>
      </c>
      <c r="E8" s="455">
        <f>industrie!E18</f>
        <v>134.17971256236839</v>
      </c>
      <c r="F8" s="455">
        <f>industrie!F18</f>
        <v>17022.553031282383</v>
      </c>
      <c r="G8" s="455">
        <f>industrie!G18</f>
        <v>0</v>
      </c>
      <c r="H8" s="455">
        <f>industrie!H18</f>
        <v>0</v>
      </c>
      <c r="I8" s="455">
        <f>industrie!I18</f>
        <v>0</v>
      </c>
      <c r="J8" s="455">
        <f>industrie!J18</f>
        <v>1.985570424551566</v>
      </c>
      <c r="K8" s="455">
        <f>industrie!K18</f>
        <v>0</v>
      </c>
      <c r="L8" s="455">
        <f>industrie!L18</f>
        <v>0</v>
      </c>
      <c r="M8" s="455">
        <f>industrie!M18</f>
        <v>0</v>
      </c>
      <c r="N8" s="455">
        <f>industrie!N18</f>
        <v>1925.1476500594758</v>
      </c>
      <c r="O8" s="455">
        <f>industrie!O18</f>
        <v>0</v>
      </c>
      <c r="P8" s="456">
        <f>industrie!P18</f>
        <v>0</v>
      </c>
      <c r="Q8" s="454">
        <f t="shared" si="0"/>
        <v>112782.92614406286</v>
      </c>
    </row>
    <row r="9" spans="1:17" s="460" customFormat="1">
      <c r="A9" s="458" t="s">
        <v>552</v>
      </c>
      <c r="B9" s="459">
        <f>transport!B14</f>
        <v>448.77143964004864</v>
      </c>
      <c r="C9" s="459">
        <f>transport!C14</f>
        <v>0</v>
      </c>
      <c r="D9" s="459">
        <f>transport!D14</f>
        <v>1913.1847202138435</v>
      </c>
      <c r="E9" s="459">
        <f>transport!E14</f>
        <v>1095.4064315587821</v>
      </c>
      <c r="F9" s="459">
        <f>transport!F14</f>
        <v>0</v>
      </c>
      <c r="G9" s="459">
        <f>transport!G14</f>
        <v>455346.36321065895</v>
      </c>
      <c r="H9" s="459">
        <f>transport!H14</f>
        <v>123319.34819332015</v>
      </c>
      <c r="I9" s="459">
        <f>transport!I14</f>
        <v>0</v>
      </c>
      <c r="J9" s="459">
        <f>transport!J14</f>
        <v>0</v>
      </c>
      <c r="K9" s="459">
        <f>transport!K14</f>
        <v>0</v>
      </c>
      <c r="L9" s="459">
        <f>transport!L14</f>
        <v>0</v>
      </c>
      <c r="M9" s="459">
        <f>transport!M14</f>
        <v>34209.383040705827</v>
      </c>
      <c r="N9" s="459">
        <f>transport!N14</f>
        <v>0</v>
      </c>
      <c r="O9" s="459">
        <f>transport!O14</f>
        <v>0</v>
      </c>
      <c r="P9" s="459">
        <f>transport!P14</f>
        <v>0</v>
      </c>
      <c r="Q9" s="458">
        <f>SUM(B9:P9)</f>
        <v>616332.45703609765</v>
      </c>
    </row>
    <row r="10" spans="1:17">
      <c r="A10" s="454" t="s">
        <v>542</v>
      </c>
      <c r="B10" s="455">
        <f>transport!B54</f>
        <v>0</v>
      </c>
      <c r="C10" s="455">
        <f>transport!C54</f>
        <v>0</v>
      </c>
      <c r="D10" s="455">
        <f>transport!D54</f>
        <v>0</v>
      </c>
      <c r="E10" s="455">
        <f>transport!E54</f>
        <v>0</v>
      </c>
      <c r="F10" s="455">
        <f>transport!F54</f>
        <v>0</v>
      </c>
      <c r="G10" s="455">
        <f>transport!G54</f>
        <v>3599.6254321721322</v>
      </c>
      <c r="H10" s="455">
        <f>transport!H54</f>
        <v>0</v>
      </c>
      <c r="I10" s="455">
        <f>transport!I54</f>
        <v>0</v>
      </c>
      <c r="J10" s="455">
        <f>transport!J54</f>
        <v>0</v>
      </c>
      <c r="K10" s="455">
        <f>transport!K54</f>
        <v>0</v>
      </c>
      <c r="L10" s="455">
        <f>transport!L54</f>
        <v>0</v>
      </c>
      <c r="M10" s="455">
        <f>transport!M54</f>
        <v>195.33617793433743</v>
      </c>
      <c r="N10" s="455">
        <f>transport!N54</f>
        <v>0</v>
      </c>
      <c r="O10" s="455">
        <f>transport!O54</f>
        <v>0</v>
      </c>
      <c r="P10" s="456">
        <f>transport!P54</f>
        <v>0</v>
      </c>
      <c r="Q10" s="454">
        <f t="shared" si="0"/>
        <v>3794.9616101064694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1925.18603909324</v>
      </c>
      <c r="C14" s="462"/>
      <c r="D14" s="462">
        <f>'SEAP template'!E25</f>
        <v>5265.6057085739303</v>
      </c>
      <c r="E14" s="462"/>
      <c r="F14" s="462"/>
      <c r="G14" s="462"/>
      <c r="H14" s="462"/>
      <c r="I14" s="462"/>
      <c r="J14" s="462"/>
      <c r="K14" s="462"/>
      <c r="L14" s="462"/>
      <c r="M14" s="462"/>
      <c r="N14" s="462"/>
      <c r="O14" s="462"/>
      <c r="P14" s="463"/>
      <c r="Q14" s="454">
        <f t="shared" si="0"/>
        <v>7190.7917476671701</v>
      </c>
    </row>
    <row r="15" spans="1:17" s="466" customFormat="1">
      <c r="A15" s="464" t="s">
        <v>546</v>
      </c>
      <c r="B15" s="465">
        <f ca="1">SUM(B4:B14)</f>
        <v>203026.74306088194</v>
      </c>
      <c r="C15" s="465">
        <f t="shared" ref="C15:Q15" ca="1" si="1">SUM(C4:C14)</f>
        <v>12985.714285714286</v>
      </c>
      <c r="D15" s="465">
        <f t="shared" ca="1" si="1"/>
        <v>305832.588357648</v>
      </c>
      <c r="E15" s="465">
        <f t="shared" si="1"/>
        <v>8183.8716534729401</v>
      </c>
      <c r="F15" s="465">
        <f t="shared" ca="1" si="1"/>
        <v>28333.362333704554</v>
      </c>
      <c r="G15" s="465">
        <f t="shared" si="1"/>
        <v>458945.9886428311</v>
      </c>
      <c r="H15" s="465">
        <f t="shared" si="1"/>
        <v>123319.34819332015</v>
      </c>
      <c r="I15" s="465">
        <f t="shared" si="1"/>
        <v>0</v>
      </c>
      <c r="J15" s="465">
        <f t="shared" si="1"/>
        <v>193.82041535621187</v>
      </c>
      <c r="K15" s="465">
        <f t="shared" si="1"/>
        <v>0</v>
      </c>
      <c r="L15" s="465">
        <f t="shared" ca="1" si="1"/>
        <v>0</v>
      </c>
      <c r="M15" s="465">
        <f t="shared" si="1"/>
        <v>34404.719218640166</v>
      </c>
      <c r="N15" s="465">
        <f t="shared" ca="1" si="1"/>
        <v>19674.216950483933</v>
      </c>
      <c r="O15" s="465">
        <f t="shared" si="1"/>
        <v>341.24081373456949</v>
      </c>
      <c r="P15" s="465">
        <f t="shared" si="1"/>
        <v>694.84933961142133</v>
      </c>
      <c r="Q15" s="465">
        <f t="shared" ca="1" si="1"/>
        <v>1195936.4632653994</v>
      </c>
    </row>
    <row r="17" spans="1:17">
      <c r="A17" s="467" t="s">
        <v>547</v>
      </c>
      <c r="B17" s="784">
        <f ca="1">huishoudens!B10</f>
        <v>0.17503780791273549</v>
      </c>
      <c r="C17" s="784">
        <f ca="1">huishoudens!C10</f>
        <v>0.10458823529411765</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10645.65283491749</v>
      </c>
      <c r="C22" s="455">
        <f t="shared" ref="C22:C32" ca="1" si="3">C4*$C$17</f>
        <v>0</v>
      </c>
      <c r="D22" s="455">
        <f t="shared" ref="D22:D32" si="4">D4*$D$17</f>
        <v>33598.723871187809</v>
      </c>
      <c r="E22" s="455">
        <f t="shared" ref="E22:E32" si="5">E4*$E$17</f>
        <v>1521.8130081416898</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45766.18971424699</v>
      </c>
    </row>
    <row r="23" spans="1:17">
      <c r="A23" s="454" t="s">
        <v>155</v>
      </c>
      <c r="B23" s="455">
        <f t="shared" ca="1" si="2"/>
        <v>13529.231167842496</v>
      </c>
      <c r="C23" s="455">
        <f t="shared" ca="1" si="3"/>
        <v>597.72176470588238</v>
      </c>
      <c r="D23" s="455">
        <f t="shared" ca="1" si="4"/>
        <v>18696.725573333792</v>
      </c>
      <c r="E23" s="455">
        <f t="shared" si="5"/>
        <v>50.624554432621807</v>
      </c>
      <c r="F23" s="455">
        <f t="shared" ca="1" si="6"/>
        <v>2387.0685987685565</v>
      </c>
      <c r="G23" s="455">
        <f t="shared" si="7"/>
        <v>0</v>
      </c>
      <c r="H23" s="455">
        <f t="shared" si="8"/>
        <v>0</v>
      </c>
      <c r="I23" s="455">
        <f t="shared" si="9"/>
        <v>0</v>
      </c>
      <c r="J23" s="455">
        <f t="shared" si="10"/>
        <v>1.3565366283386733E-2</v>
      </c>
      <c r="K23" s="455">
        <f t="shared" si="11"/>
        <v>0</v>
      </c>
      <c r="L23" s="455">
        <f t="shared" ca="1" si="12"/>
        <v>0</v>
      </c>
      <c r="M23" s="455">
        <f t="shared" si="13"/>
        <v>0</v>
      </c>
      <c r="N23" s="455">
        <f t="shared" ca="1" si="14"/>
        <v>0</v>
      </c>
      <c r="O23" s="455">
        <f t="shared" si="15"/>
        <v>0</v>
      </c>
      <c r="P23" s="456">
        <f t="shared" si="16"/>
        <v>0</v>
      </c>
      <c r="Q23" s="454">
        <f t="shared" ref="Q23:Q31" ca="1" si="17">SUM(B23:P23)</f>
        <v>35261.38522444963</v>
      </c>
    </row>
    <row r="24" spans="1:17">
      <c r="A24" s="454" t="s">
        <v>193</v>
      </c>
      <c r="B24" s="455">
        <f t="shared" ca="1" si="2"/>
        <v>391.33972881405094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391.33972881405094</v>
      </c>
    </row>
    <row r="25" spans="1:17">
      <c r="A25" s="454" t="s">
        <v>111</v>
      </c>
      <c r="B25" s="455">
        <f t="shared" ca="1" si="2"/>
        <v>127.8895690199204</v>
      </c>
      <c r="C25" s="455">
        <f t="shared" ca="1" si="3"/>
        <v>760.4311764705883</v>
      </c>
      <c r="D25" s="455">
        <f t="shared" si="4"/>
        <v>1139.3648946789613</v>
      </c>
      <c r="E25" s="455">
        <f t="shared" si="5"/>
        <v>6.1852480485449144</v>
      </c>
      <c r="F25" s="455">
        <f t="shared" si="6"/>
        <v>632.91748497816332</v>
      </c>
      <c r="G25" s="455">
        <f t="shared" si="7"/>
        <v>0</v>
      </c>
      <c r="H25" s="455">
        <f t="shared" si="8"/>
        <v>0</v>
      </c>
      <c r="I25" s="455">
        <f t="shared" si="9"/>
        <v>0</v>
      </c>
      <c r="J25" s="455">
        <f t="shared" si="10"/>
        <v>67.895969739524361</v>
      </c>
      <c r="K25" s="455">
        <f t="shared" si="11"/>
        <v>0</v>
      </c>
      <c r="L25" s="455">
        <f t="shared" si="12"/>
        <v>0</v>
      </c>
      <c r="M25" s="455">
        <f t="shared" si="13"/>
        <v>0</v>
      </c>
      <c r="N25" s="455">
        <f t="shared" si="14"/>
        <v>0</v>
      </c>
      <c r="O25" s="455">
        <f t="shared" si="15"/>
        <v>0</v>
      </c>
      <c r="P25" s="456">
        <f t="shared" si="16"/>
        <v>0</v>
      </c>
      <c r="Q25" s="454">
        <f t="shared" ca="1" si="17"/>
        <v>2734.6843429357027</v>
      </c>
    </row>
    <row r="26" spans="1:17">
      <c r="A26" s="454" t="s">
        <v>626</v>
      </c>
      <c r="B26" s="455">
        <f t="shared" ca="1" si="2"/>
        <v>10427.710439289474</v>
      </c>
      <c r="C26" s="455">
        <f t="shared" ca="1" si="3"/>
        <v>0</v>
      </c>
      <c r="D26" s="455">
        <f t="shared" si="4"/>
        <v>6893.2528424292086</v>
      </c>
      <c r="E26" s="455">
        <f t="shared" si="5"/>
        <v>30.458794751657628</v>
      </c>
      <c r="F26" s="455">
        <f t="shared" si="6"/>
        <v>4545.0216593523965</v>
      </c>
      <c r="G26" s="455">
        <f t="shared" si="7"/>
        <v>0</v>
      </c>
      <c r="H26" s="455">
        <f t="shared" si="8"/>
        <v>0</v>
      </c>
      <c r="I26" s="455">
        <f t="shared" si="9"/>
        <v>0</v>
      </c>
      <c r="J26" s="455">
        <f t="shared" si="10"/>
        <v>0.7028919302912543</v>
      </c>
      <c r="K26" s="455">
        <f t="shared" si="11"/>
        <v>0</v>
      </c>
      <c r="L26" s="455">
        <f t="shared" si="12"/>
        <v>0</v>
      </c>
      <c r="M26" s="455">
        <f t="shared" si="13"/>
        <v>0</v>
      </c>
      <c r="N26" s="455">
        <f t="shared" si="14"/>
        <v>0</v>
      </c>
      <c r="O26" s="455">
        <f t="shared" si="15"/>
        <v>0</v>
      </c>
      <c r="P26" s="456">
        <f t="shared" si="16"/>
        <v>0</v>
      </c>
      <c r="Q26" s="454">
        <f t="shared" ca="1" si="17"/>
        <v>21897.146627753027</v>
      </c>
    </row>
    <row r="27" spans="1:17" s="460" customFormat="1">
      <c r="A27" s="458" t="s">
        <v>552</v>
      </c>
      <c r="B27" s="778">
        <f t="shared" ca="1" si="2"/>
        <v>78.551969048436604</v>
      </c>
      <c r="C27" s="459">
        <f t="shared" ca="1" si="3"/>
        <v>0</v>
      </c>
      <c r="D27" s="459">
        <f t="shared" si="4"/>
        <v>386.46331348319643</v>
      </c>
      <c r="E27" s="459">
        <f t="shared" si="5"/>
        <v>248.65725996384353</v>
      </c>
      <c r="F27" s="459">
        <f t="shared" si="6"/>
        <v>0</v>
      </c>
      <c r="G27" s="459">
        <f t="shared" si="7"/>
        <v>121577.47897724595</v>
      </c>
      <c r="H27" s="459">
        <f t="shared" si="8"/>
        <v>30706.517700136719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152997.66921987815</v>
      </c>
    </row>
    <row r="28" spans="1:17" ht="16.5" customHeight="1">
      <c r="A28" s="454" t="s">
        <v>542</v>
      </c>
      <c r="B28" s="455">
        <f t="shared" ca="1" si="2"/>
        <v>0</v>
      </c>
      <c r="C28" s="455">
        <f t="shared" ca="1" si="3"/>
        <v>0</v>
      </c>
      <c r="D28" s="455">
        <f t="shared" si="4"/>
        <v>0</v>
      </c>
      <c r="E28" s="455">
        <f t="shared" si="5"/>
        <v>0</v>
      </c>
      <c r="F28" s="455">
        <f t="shared" si="6"/>
        <v>0</v>
      </c>
      <c r="G28" s="455">
        <f t="shared" si="7"/>
        <v>961.09999038995932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961.09999038995932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336.9803441070826</v>
      </c>
      <c r="C32" s="455">
        <f t="shared" ca="1" si="3"/>
        <v>0</v>
      </c>
      <c r="D32" s="455">
        <f t="shared" si="4"/>
        <v>1063.652353131934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1400.6326972390166</v>
      </c>
    </row>
    <row r="33" spans="1:17" s="466" customFormat="1">
      <c r="A33" s="464" t="s">
        <v>546</v>
      </c>
      <c r="B33" s="465">
        <f ca="1">SUM(B22:B32)</f>
        <v>35537.356053038951</v>
      </c>
      <c r="C33" s="465">
        <f t="shared" ref="C33:Q33" ca="1" si="19">SUM(C22:C32)</f>
        <v>1358.1529411764707</v>
      </c>
      <c r="D33" s="465">
        <f t="shared" ca="1" si="19"/>
        <v>61778.182848244898</v>
      </c>
      <c r="E33" s="465">
        <f t="shared" si="19"/>
        <v>1857.7388653383578</v>
      </c>
      <c r="F33" s="465">
        <f t="shared" ca="1" si="19"/>
        <v>7565.0077430991169</v>
      </c>
      <c r="G33" s="465">
        <f t="shared" si="19"/>
        <v>122538.57896763591</v>
      </c>
      <c r="H33" s="465">
        <f t="shared" si="19"/>
        <v>30706.517700136719</v>
      </c>
      <c r="I33" s="465">
        <f t="shared" si="19"/>
        <v>0</v>
      </c>
      <c r="J33" s="465">
        <f t="shared" si="19"/>
        <v>68.612427036099007</v>
      </c>
      <c r="K33" s="465">
        <f t="shared" si="19"/>
        <v>0</v>
      </c>
      <c r="L33" s="465">
        <f t="shared" ca="1" si="19"/>
        <v>0</v>
      </c>
      <c r="M33" s="465">
        <f t="shared" si="19"/>
        <v>0</v>
      </c>
      <c r="N33" s="465">
        <f t="shared" ca="1" si="19"/>
        <v>0</v>
      </c>
      <c r="O33" s="465">
        <f t="shared" si="19"/>
        <v>0</v>
      </c>
      <c r="P33" s="465">
        <f t="shared" si="19"/>
        <v>0</v>
      </c>
      <c r="Q33" s="465">
        <f t="shared" ca="1" si="19"/>
        <v>261410.14754570651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30158.224154313477</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7277.8447245981952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5089.5000000000009</v>
      </c>
      <c r="C8" s="1026">
        <f>'SEAP template'!C76</f>
        <v>4000.4999999999995</v>
      </c>
      <c r="D8" s="1026">
        <f>'SEAP template'!D76</f>
        <v>4706.4705882352937</v>
      </c>
      <c r="E8" s="1026">
        <f>'SEAP template'!E76</f>
        <v>0</v>
      </c>
      <c r="F8" s="1026">
        <f>'SEAP template'!F76</f>
        <v>0</v>
      </c>
      <c r="G8" s="1026">
        <f>'SEAP template'!G76</f>
        <v>0</v>
      </c>
      <c r="H8" s="1026">
        <f>'SEAP template'!H76</f>
        <v>0</v>
      </c>
      <c r="I8" s="1026">
        <f>'SEAP template'!I76</f>
        <v>0</v>
      </c>
      <c r="J8" s="1026">
        <f>'SEAP template'!J76</f>
        <v>5987.6470588235297</v>
      </c>
      <c r="K8" s="1026">
        <f>'SEAP template'!K76</f>
        <v>0</v>
      </c>
      <c r="L8" s="1026">
        <f>'SEAP template'!L76</f>
        <v>0</v>
      </c>
      <c r="M8" s="1026">
        <f>'SEAP template'!M76</f>
        <v>0</v>
      </c>
      <c r="N8" s="1026">
        <f>'SEAP template'!N76</f>
        <v>0</v>
      </c>
      <c r="O8" s="1026">
        <f>'SEAP template'!O76</f>
        <v>0</v>
      </c>
      <c r="P8" s="1027">
        <f>'SEAP template'!Q76</f>
        <v>950.70705882352934</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42525.568878911668</v>
      </c>
      <c r="C10" s="1028">
        <f>SUM(C4:C9)</f>
        <v>4000.4999999999995</v>
      </c>
      <c r="D10" s="1028">
        <f t="shared" ref="D10:H10" si="0">SUM(D8:D9)</f>
        <v>4706.4705882352937</v>
      </c>
      <c r="E10" s="1028">
        <f t="shared" si="0"/>
        <v>0</v>
      </c>
      <c r="F10" s="1028">
        <f t="shared" si="0"/>
        <v>0</v>
      </c>
      <c r="G10" s="1028">
        <f t="shared" si="0"/>
        <v>0</v>
      </c>
      <c r="H10" s="1028">
        <f t="shared" si="0"/>
        <v>0</v>
      </c>
      <c r="I10" s="1028">
        <f>SUM(I8:I9)</f>
        <v>0</v>
      </c>
      <c r="J10" s="1028">
        <f>SUM(J8:J9)</f>
        <v>5987.6470588235297</v>
      </c>
      <c r="K10" s="1028">
        <f t="shared" ref="K10:L10" si="1">SUM(K8:K9)</f>
        <v>0</v>
      </c>
      <c r="L10" s="1028">
        <f t="shared" si="1"/>
        <v>0</v>
      </c>
      <c r="M10" s="1028">
        <f>SUM(M8:M9)</f>
        <v>0</v>
      </c>
      <c r="N10" s="1028">
        <f>SUM(N8:N9)</f>
        <v>0</v>
      </c>
      <c r="O10" s="1028">
        <f>SUM(O8:O9)</f>
        <v>0</v>
      </c>
      <c r="P10" s="1028">
        <f>SUM(P8:P9)</f>
        <v>950.70705882352934</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0.17503780791273549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7270.7142857142871</v>
      </c>
      <c r="C17" s="1029">
        <f>'SEAP template'!C87</f>
        <v>5715</v>
      </c>
      <c r="D17" s="1027">
        <f>'SEAP template'!D87</f>
        <v>6723.5294117647063</v>
      </c>
      <c r="E17" s="1027">
        <f>'SEAP template'!E87</f>
        <v>0</v>
      </c>
      <c r="F17" s="1027">
        <f>'SEAP template'!F87</f>
        <v>0</v>
      </c>
      <c r="G17" s="1027">
        <f>'SEAP template'!G87</f>
        <v>0</v>
      </c>
      <c r="H17" s="1027">
        <f>'SEAP template'!H87</f>
        <v>0</v>
      </c>
      <c r="I17" s="1027">
        <f>'SEAP template'!I87</f>
        <v>0</v>
      </c>
      <c r="J17" s="1027">
        <f>'SEAP template'!J87</f>
        <v>8553.7815126050427</v>
      </c>
      <c r="K17" s="1027">
        <f>'SEAP template'!K87</f>
        <v>0</v>
      </c>
      <c r="L17" s="1027">
        <f>'SEAP template'!L87</f>
        <v>0</v>
      </c>
      <c r="M17" s="1027">
        <f>'SEAP template'!M87</f>
        <v>0</v>
      </c>
      <c r="N17" s="1027">
        <f>'SEAP template'!N87</f>
        <v>0</v>
      </c>
      <c r="O17" s="1027">
        <f>'SEAP template'!O87</f>
        <v>0</v>
      </c>
      <c r="P17" s="1027">
        <f>'SEAP template'!Q87</f>
        <v>1358.1529411764707</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7270.7142857142871</v>
      </c>
      <c r="C20" s="1028">
        <f>SUM(C17:C19)</f>
        <v>5715</v>
      </c>
      <c r="D20" s="1028">
        <f t="shared" ref="D20:H20" si="2">SUM(D17:D19)</f>
        <v>6723.5294117647063</v>
      </c>
      <c r="E20" s="1028">
        <f t="shared" si="2"/>
        <v>0</v>
      </c>
      <c r="F20" s="1028">
        <f t="shared" si="2"/>
        <v>0</v>
      </c>
      <c r="G20" s="1028">
        <f t="shared" si="2"/>
        <v>0</v>
      </c>
      <c r="H20" s="1028">
        <f t="shared" si="2"/>
        <v>0</v>
      </c>
      <c r="I20" s="1028">
        <f>SUM(I17:I19)</f>
        <v>0</v>
      </c>
      <c r="J20" s="1028">
        <f>SUM(J17:J19)</f>
        <v>8553.7815126050427</v>
      </c>
      <c r="K20" s="1028">
        <f t="shared" ref="K20:L20" si="3">SUM(K17:K19)</f>
        <v>0</v>
      </c>
      <c r="L20" s="1028">
        <f t="shared" si="3"/>
        <v>0</v>
      </c>
      <c r="M20" s="1028">
        <f>SUM(M17:M19)</f>
        <v>0</v>
      </c>
      <c r="N20" s="1028">
        <f>SUM(N17:N19)</f>
        <v>0</v>
      </c>
      <c r="O20" s="1028">
        <f>SUM(O17:O19)</f>
        <v>0</v>
      </c>
      <c r="P20" s="1028">
        <f>SUM(P17:P19)</f>
        <v>1358.1529411764707</v>
      </c>
    </row>
    <row r="21" spans="1:16">
      <c r="B21" s="890"/>
    </row>
    <row r="22" spans="1:16">
      <c r="A22" s="467" t="s">
        <v>773</v>
      </c>
      <c r="B22" s="784" t="s">
        <v>771</v>
      </c>
      <c r="C22" s="784">
        <f ca="1">'EF ele_warmte'!B22</f>
        <v>0.10458823529411765</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0.17503780791273549</v>
      </c>
      <c r="C17" s="504">
        <f ca="1">'EF ele_warmte'!B22</f>
        <v>0.10458823529411765</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2020-06-20T15:19:19Z</dcterms:modified>
</cp:coreProperties>
</file>