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<sst xmlns="http://schemas.openxmlformats.org/spreadsheetml/2006/main" count="2366" uniqueCount="865">
  <si>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</si>
  <si>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</si>
  <si>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</si>
  <si>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</si>
  <si>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</si>
  <si>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</si>
  <si>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</si>
  <si>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</si>
  <si>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</si>
  <si>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</si>
  <si>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</si>
  <si>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</si>
  <si>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</si>
  <si>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</si>
  <si>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</si>
  <si>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</si>
  <si>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</si>
  <si>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</si>
  <si>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</si>
  <si>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</si>
  <si>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</si>
  <si>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</si>
  <si>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</si>
  <si>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</si>
  <si>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</si>
  <si>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</si>
  <si>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</si>
  <si>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</si>
  <si>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</si>
  <si>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</si>
  <si>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</si>
  <si>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</si>
  <si>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</si>
  <si>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</si>
  <si>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</si>
  <si>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</si>
  <si>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</si>
  <si>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</si>
  <si>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</si>
  <si>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</si>
  <si>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</si>
  <si>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</si>
  <si>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</si>
  <si>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</si>
  <si>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</si>
  <si>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</si>
  <si>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</si>
  <si>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</si>
  <si>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</si>
  <si>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</si>
  <si>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</si>
  <si>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</si>
  <si>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</si>
  <si>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</si>
  <si>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</si>
  <si>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</si>
  <si>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</si>
  <si>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</si>
  <si>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</si>
  <si>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</si>
  <si>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</si>
  <si>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</si>
  <si>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</si>
  <si>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</si>
  <si>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</si>
  <si>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</si>
  <si>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</si>
  <si>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</si>
  <si>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</si>
  <si>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</si>
  <si>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</si>
  <si>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</si>
  <si>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</si>
  <si>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</si>
  <si>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</si>
  <si>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</si>
  <si>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</si>
  <si>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</si>
  <si>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</si>
  <si>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</si>
  <si>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</si>
  <si>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</si>
  <si>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</si>
  <si>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</si>
  <si>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</si>
  <si>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</si>
  <si>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</si>
  <si>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</si>
  <si>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</si>
  <si>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</si>
  <si>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</si>
  <si>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</si>
  <si>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</si>
  <si>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</si>
  <si>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</si>
  <si>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</si>
  <si>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</si>
  <si>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</si>
  <si>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</si>
  <si>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</si>
  <si>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</si>
  <si>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</si>
  <si>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</si>
  <si>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</si>
  <si>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</si>
  <si>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</si>
  <si>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</si>
  <si>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</si>
  <si>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</si>
  <si>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</si>
  <si>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</si>
  <si>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</si>
  <si>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</si>
  <si>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</si>
  <si>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</si>
  <si>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</si>
  <si>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</si>
  <si>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</si>
  <si>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</si>
  <si>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</si>
  <si>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</si>
  <si>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</si>
  <si>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</si>
  <si>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</si>
  <si>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</si>
  <si>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</si>
  <si>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</si>
  <si>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</si>
  <si>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</si>
  <si>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</si>
  <si>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</si>
  <si>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</si>
  <si>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</si>
  <si>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</si>
  <si>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</si>
  <si>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</si>
  <si>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</si>
  <si>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</si>
  <si>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</si>
  <si>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</si>
  <si>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</si>
  <si>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</si>
  <si>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</si>
  <si>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</si>
  <si>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</si>
  <si>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</si>
  <si>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</si>
  <si>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</si>
  <si>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</si>
  <si>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</si>
  <si>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</si>
  <si>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</si>
  <si>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</si>
  <si>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</si>
  <si>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</si>
  <si>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</si>
  <si>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</si>
  <si>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</si>
  <si>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</si>
  <si>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</si>
  <si>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</si>
  <si>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</si>
  <si>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</si>
  <si>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</si>
  <si>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</si>
  <si>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</si>
  <si>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</si>
  <si>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</si>
  <si>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</si>
  <si>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</si>
  <si>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</si>
  <si>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</si>
  <si>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</si>
  <si>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</si>
  <si>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</si>
  <si>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</si>
  <si>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</si>
  <si>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</si>
  <si>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</si>
  <si>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</si>
  <si>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</si>
  <si>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</si>
  <si>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</si>
  <si>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</si>
  <si>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</si>
  <si>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</si>
  <si>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</si>
  <si>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</si>
  <si>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</si>
  <si>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</si>
  <si>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</si>
  <si>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</si>
  <si>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</si>
  <si>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</si>
  <si>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</si>
  <si>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</si>
  <si>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</si>
  <si>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</si>
  <si>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</si>
  <si>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</si>
  <si>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</si>
  <si>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</si>
  <si>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</si>
  <si>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</si>
  <si>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</si>
  <si>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</si>
  <si>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</si>
  <si>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</si>
  <si>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</si>
  <si>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</si>
  <si>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</si>
  <si>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</si>
  <si>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</si>
  <si>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</si>
  <si>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</si>
  <si>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</si>
  <si>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</si>
  <si>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</si>
  <si>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</si>
  <si>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</si>
  <si>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</si>
  <si>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</si>
  <si>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</si>
  <si>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</si>
  <si>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</si>
  <si>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</si>
  <si>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</si>
  <si>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</si>
  <si>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</si>
  <si>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</si>
  <si>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</si>
  <si>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</si>
  <si>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</si>
  <si>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</si>
  <si>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</si>
  <si>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</si>
  <si>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</si>
  <si>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</si>
  <si>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</si>
  <si>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</si>
  <si>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</si>
  <si>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</si>
  <si>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</si>
  <si>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</si>
  <si>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</si>
  <si>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</si>
  <si>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</si>
  <si>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</si>
  <si>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</si>
  <si>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</si>
  <si>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</si>
  <si>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</si>
  <si>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</si>
  <si>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</si>
  <si>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</si>
  <si>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</si>
  <si>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</si>
  <si>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</si>
  <si>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</si>
  <si>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</si>
  <si>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</si>
  <si>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</si>
  <si>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</si>
  <si>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</si>
  <si>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</si>
  <si>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</si>
  <si>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</si>
  <si>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</si>
  <si>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</si>
  <si>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</si>
  <si>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</si>
  <si>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</si>
  <si>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</si>
  <si>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</si>
  <si>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</si>
  <si>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</si>
  <si>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</si>
  <si>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</si>
  <si>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</si>
  <si>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</si>
  <si>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</si>
  <si>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</si>
  <si>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</si>
  <si>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</si>
  <si>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</si>
  <si>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</si>
  <si>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</si>
  <si>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</si>
  <si>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</si>
  <si>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</si>
  <si>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</si>
  <si>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</si>
  <si>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</si>
  <si>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</si>
  <si>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</si>
  <si>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</si>
  <si>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</si>
  <si>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</si>
  <si>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</si>
  <si>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</si>
  <si>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</si>
  <si>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</si>
  <si>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</si>
  <si>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</si>
  <si>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</si>
  <si>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</si>
  <si>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</si>
  <si>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</si>
  <si>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</si>
  <si>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</si>
  <si>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</si>
  <si>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</si>
  <si>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</si>
  <si>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</si>
  <si>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</si>
  <si>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</si>
  <si>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</si>
  <si>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</si>
  <si>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</si>
  <si>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</si>
  <si>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</si>
  <si>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</si>
  <si>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</si>
  <si>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</si>
  <si>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</si>
  <si>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</si>
  <si>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</si>
  <si>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</si>
  <si>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</si>
  <si>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</si>
  <si>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</si>
  <si>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</si>
  <si>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</si>
  <si>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</si>
  <si>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</si>
  <si>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</si>
  <si>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</si>
  <si>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</si>
  <si>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</si>
  <si>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</si>
  <si>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</si>
  <si>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</si>
  <si>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</si>
  <si>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</si>
  <si>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</si>
  <si>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</si>
  <si>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</si>
  <si>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</si>
  <si>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</si>
  <si>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</si>
  <si>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</si>
  <si>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</si>
  <si>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</si>
  <si>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</si>
  <si>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</si>
  <si>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</si>
  <si>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</si>
  <si>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</si>
  <si>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</si>
  <si>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</si>
  <si>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</si>
  <si>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</si>
  <si>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</si>
  <si>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</si>
  <si>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</si>
  <si>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</si>
  <si>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</si>
  <si>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</si>
  <si>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</si>
  <si>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</si>
  <si>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</si>
  <si>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</si>
  <si>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</si>
  <si>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</si>
  <si>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</si>
  <si>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</si>
  <si>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</si>
  <si>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</si>
  <si>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</si>
  <si>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</si>
  <si>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</si>
  <si>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</si>
  <si>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</si>
  <si>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</si>
  <si>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</si>
  <si>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</si>
  <si>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</si>
  <si>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</si>
  <si>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</si>
  <si>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</si>
  <si>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</si>
  <si>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</si>
  <si>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</si>
  <si>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</si>
  <si>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</si>
  <si>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</si>
  <si>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</si>
  <si>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</si>
  <si>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</si>
  <si>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</si>
  <si>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</si>
  <si>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</si>
  <si>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</si>
  <si>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</si>
  <si>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</si>
  <si>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</si>
  <si>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</si>
  <si>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</si>
  <si>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</si>
  <si>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</si>
  <si>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</si>
  <si>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</si>
  <si>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</si>
  <si>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</si>
  <si>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</si>
  <si>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</si>
  <si>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</si>
  <si>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</si>
  <si>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</si>
  <si>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</si>
  <si>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</si>
  <si>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</si>
  <si>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</si>
  <si>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</si>
  <si>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</si>
  <si>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</si>
  <si>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</si>
  <si>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</si>
  <si>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</si>
  <si>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</si>
  <si>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</si>
  <si>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</si>
  <si>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</si>
  <si>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</si>
  <si>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</si>
  <si>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</si>
  <si>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</si>
  <si>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</si>
  <si>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</si>
  <si>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</si>
  <si>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</si>
  <si>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</si>
  <si>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</si>
  <si>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</si>
  <si>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</si>
  <si>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</si>
  <si>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</si>
  <si>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</si>
  <si>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</si>
  <si>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</si>
  <si>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</si>
  <si>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</si>
  <si>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</si>
  <si>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</si>
  <si>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</si>
  <si>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</si>
  <si>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</si>
  <si>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</si>
  <si>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</si>
  <si>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</si>
  <si>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</si>
  <si>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</si>
  <si>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</si>
  <si>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</si>
  <si>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</si>
  <si>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</si>
  <si>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</si>
  <si>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</si>
  <si>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</si>
  <si>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</si>
  <si>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</si>
  <si>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</si>
  <si>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</si>
  <si>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</si>
  <si>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</si>
  <si>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</si>
  <si>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</si>
  <si>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</si>
  <si>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</si>
  <si>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</si>
  <si>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</si>
  <si>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</si>
  <si>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</si>
  <si>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</si>
  <si>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</si>
  <si>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</si>
  <si>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</si>
  <si>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</si>
  <si>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</si>
  <si>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</si>
  <si>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</si>
  <si>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</si>
  <si>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</si>
  <si>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</si>
  <si>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</si>
  <si>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</si>
  <si>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</si>
  <si>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</si>
  <si>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</si>
  <si>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</si>
  <si>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</si>
  <si>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</si>
  <si>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</si>
  <si>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</si>
  <si>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</si>
  <si>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</si>
  <si>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</si>
  <si>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</si>
  <si>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</si>
  <si>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</si>
  <si>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</si>
  <si>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</si>
  <si>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</si>
  <si>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</si>
  <si>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</si>
  <si>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</si>
  <si>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</si>
  <si>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</si>
  <si>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</si>
  <si>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</si>
  <si>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</si>
  <si>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</si>
  <si>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</si>
  <si>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</si>
  <si>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</si>
  <si>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</si>
  <si>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</si>
  <si>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</si>
  <si>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</si>
  <si>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</si>
  <si>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</si>
  <si>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</si>
  <si>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</si>
  <si>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</si>
  <si>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</si>
  <si>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</si>
  <si>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</si>
  <si>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</si>
  <si>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</si>
  <si>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</si>
  <si>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</si>
  <si>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</si>
  <si>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</si>
  <si>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</si>
  <si>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</si>
  <si>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</si>
  <si>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</si>
  <si>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</si>
  <si>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</si>
  <si>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</si>
  <si>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</si>
  <si>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</si>
  <si>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</si>
  <si>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</si>
  <si>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</si>
  <si>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</si>
  <si>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</si>
  <si>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</si>
  <si>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</si>
  <si>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</si>
  <si>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</si>
  <si>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</si>
  <si>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</si>
  <si>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</si>
  <si>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</si>
  <si>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</si>
  <si>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</si>
  <si>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</si>
  <si>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</si>
  <si>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</si>
  <si>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</si>
  <si>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</si>
  <si>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</si>
  <si>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</si>
  <si>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</si>
  <si>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</si>
  <si>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</si>
  <si>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</si>
  <si>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</si>
  <si>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</si>
  <si>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</si>
  <si>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</si>
  <si>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</si>
  <si>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</si>
  <si>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</si>
  <si>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</si>
  <si>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</si>
  <si>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</si>
  <si>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</si>
  <si>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</si>
  <si>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</si>
  <si>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</si>
  <si>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</si>
  <si>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</si>
  <si>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</si>
  <si>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</si>
  <si>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</si>
  <si>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</si>
  <si>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</si>
  <si>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</si>
  <si>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</si>
  <si>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</si>
  <si>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</si>
  <si>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</si>
  <si>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</si>
  <si>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</si>
  <si>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</si>
  <si>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</si>
  <si>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</si>
  <si>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</si>
  <si>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</si>
  <si>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</si>
  <si>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</si>
  <si>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</si>
  <si>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</si>
  <si>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</si>
  <si>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</si>
  <si>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</si>
  <si>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</si>
  <si>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</si>
  <si>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</si>
  <si>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</si>
  <si>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</si>
  <si>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</si>
  <si>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</si>
  <si>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</si>
  <si>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</si>
  <si>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</si>
  <si>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</si>
  <si>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</si>
  <si>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</si>
  <si>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</si>
  <si>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</si>
  <si>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</si>
  <si>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</si>
  <si>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</si>
  <si>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</si>
  <si>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</si>
  <si>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</si>
  <si>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</si>
  <si>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</si>
  <si>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</si>
  <si>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</si>
  <si>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</si>
  <si>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</si>
  <si>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</si>
  <si>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</si>
  <si>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</si>
  <si>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</si>
  <si>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</si>
  <si>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</si>
  <si>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</si>
  <si>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</si>
  <si>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</si>
  <si>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</si>
  <si>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</si>
  <si>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</si>
  <si>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</si>
  <si>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</si>
  <si>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</si>
  <si>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</si>
  <si>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</si>
  <si>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</si>
  <si>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</si>
  <si>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</si>
  <si>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</si>
  <si>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</si>
  <si>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</si>
  <si>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</si>
  <si>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</si>
  <si>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</si>
  <si>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</si>
  <si>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</si>
  <si>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</si>
  <si>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</si>
  <si>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</si>
  <si>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</si>
  <si>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</si>
  <si>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</si>
  <si>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</si>
  <si>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</si>
  <si>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</si>
  <si>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</si>
  <si>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</si>
  <si>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</si>
  <si>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</si>
  <si>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</si>
  <si>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</si>
  <si>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</si>
  <si>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</si>
  <si>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</si>
  <si>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</si>
  <si>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</si>
  <si>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</si>
  <si>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</si>
  <si>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</si>
  <si>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</si>
  <si>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</si>
  <si>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</si>
  <si>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</si>
  <si>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</si>
  <si>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</si>
  <si>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</si>
  <si>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</si>
  <si>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</si>
  <si>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</si>
  <si>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</si>
  <si>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</si>
  <si>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</si>
  <si>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</si>
  <si>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</si>
  <si>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</si>
  <si>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</si>
  <si>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</si>
  <si>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</si>
  <si>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</si>
  <si>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</si>
  <si>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</si>
  <si>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</si>
  <si>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</si>
  <si>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</si>
  <si>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</si>
  <si>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</si>
  <si>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</si>
  <si>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</si>
  <si>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</si>
  <si>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</si>
  <si>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</si>
  <si>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</si>
  <si>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</si>
  <si>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</si>
  <si>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</si>
  <si>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</si>
  <si>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</si>
  <si>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</si>
  <si>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</si>
  <si>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</si>
  <si>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</si>
  <si>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</si>
  <si>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</si>
  <si>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</si>
  <si>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</si>
  <si>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</si>
  <si>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</si>
  <si>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</si>
  <si>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</si>
  <si>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</si>
  <si>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</si>
  <si>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</si>
  <si>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</si>
  <si>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</si>
  <si>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</si>
  <si>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</si>
  <si>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</si>
  <si>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</si>
  <si>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</si>
  <si>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</si>
  <si>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</si>
  <si>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</si>
  <si>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</si>
  <si>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</si>
  <si>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</si>
  <si>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</si>
  <si>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</si>
  <si>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</si>
  <si>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</si>
  <si>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</si>
  <si>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</si>
  <si>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</si>
  <si>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</si>
  <si>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</si>
  <si>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</si>
  <si>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</si>
  <si>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</si>
  <si>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</si>
  <si>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</si>
  <si>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</si>
  <si>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</si>
  <si>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</si>
  <si>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</si>
  <si>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</si>
  <si>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</si>
  <si>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</si>
  <si>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</si>
  <si>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</si>
  <si>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</si>
  <si>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</si>
  <si>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</si>
  <si>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</si>
  <si>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</si>
  <si>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</si>
  <si>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</si>
  <si>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</si>
  <si>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</si>
  <si>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</si>
  <si>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</si>
  <si>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</si>
  <si>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</si>
  <si>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</si>
  <si>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</si>
  <si>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</si>
  <si>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</si>
  <si>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</si>
  <si>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</si>
  <si>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</si>
  <si>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</si>
  <si>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</si>
  <si>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</si>
  <si>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</si>
  <si>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</si>
  <si>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</si>
  <si>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</si>
  <si>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</si>
  <si>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</si>
  <si>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</si>
  <si>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</si>
  <si>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</si>
  <si>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</si>
  <si>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</si>
  <si>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</si>
  <si>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</si>
  <si>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</si>
  <si>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</si>
  <si>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</si>
  <si>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</si>
  <si>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</si>
  <si>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</si>
  <si>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</si>
  <si>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</si>
  <si>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</si>
  <si>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</si>
  <si>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</si>
  <si>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</si>
  <si>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</si>
  <si>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</si>
  <si>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</si>
  <si>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</si>
  <si>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</si>
  <si>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</si>
  <si>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</si>
  <si>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</si>
  <si>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</si>
  <si>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</si>
  <si>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</si>
  <si>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</si>
  <si>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</si>
  <si>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</si>
  <si>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</si>
  <si>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</si>
  <si>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</si>
  <si>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</si>
  <si>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</si>
  <si>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</si>
  <si>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</si>
  <si>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</si>
  <si>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</si>
  <si>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</si>
  <si>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</si>
  <si>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</si>
  <si>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</si>
  <si>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</si>
  <si>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</si>
  <si>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23025</t>
  </si>
  <si>
    <t>GRIMBERGEN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</si>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</sst>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256709.2222957825</c:v>
                </c:pt>
                <c:pt idx="1">
                  <c:v>145468.74828188057</c:v>
                </c:pt>
                <c:pt idx="2">
                  <c:v>3109.5430000000001</c:v>
                </c:pt>
                <c:pt idx="3">
                  <c:v>2056.3315821540573</c:v>
                </c:pt>
                <c:pt idx="4">
                  <c:v>47087.854006417227</c:v>
                </c:pt>
                <c:pt idx="5">
                  <c:v>384823.33009223302</c:v>
                </c:pt>
                <c:pt idx="6">
                  <c:v>4539.040808308082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256709.2222957825</c:v>
                </c:pt>
                <c:pt idx="1">
                  <c:v>145468.74828188057</c:v>
                </c:pt>
                <c:pt idx="2">
                  <c:v>3109.5430000000001</c:v>
                </c:pt>
                <c:pt idx="3">
                  <c:v>2056.3315821540573</c:v>
                </c:pt>
                <c:pt idx="4">
                  <c:v>47087.854006417227</c:v>
                </c:pt>
                <c:pt idx="5">
                  <c:v>384823.33009223302</c:v>
                </c:pt>
                <c:pt idx="6">
                  <c:v>4539.040808308082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51969.109485079447</c:v>
                </c:pt>
                <c:pt idx="1">
                  <c:v>29624.09597995424</c:v>
                </c:pt>
                <c:pt idx="2">
                  <c:v>638.38592729416951</c:v>
                </c:pt>
                <c:pt idx="3">
                  <c:v>517.52940305960635</c:v>
                </c:pt>
                <c:pt idx="4">
                  <c:v>9523.1768638199956</c:v>
                </c:pt>
                <c:pt idx="5">
                  <c:v>95661.73920547434</c:v>
                </c:pt>
                <c:pt idx="6">
                  <c:v>1149.5431378348358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51969.109485079447</c:v>
                </c:pt>
                <c:pt idx="1">
                  <c:v>29624.09597995424</c:v>
                </c:pt>
                <c:pt idx="2">
                  <c:v>638.38592729416951</c:v>
                </c:pt>
                <c:pt idx="3">
                  <c:v>517.52940305960635</c:v>
                </c:pt>
                <c:pt idx="4">
                  <c:v>9523.1768638199956</c:v>
                </c:pt>
                <c:pt idx="5">
                  <c:v>95661.73920547434</c:v>
                </c:pt>
                <c:pt idx="6">
                  <c:v>1149.5431378348358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23025</v>
      </c>
      <c r="B6" s="392"/>
      <c r="C6" s="393"/>
    </row>
    <row r="7" spans="1:7" s="390" customFormat="1" ht="15.75" customHeight="1">
      <c r="A7" s="394" t="str">
        <f>txtMunicipality</f>
        <v>GRIMBERGEN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0.20529895463551057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0.20529895463551057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15539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1557.5</v>
      </c>
      <c r="C14" s="332"/>
      <c r="D14" s="332"/>
      <c r="E14" s="332"/>
      <c r="F14" s="332"/>
    </row>
    <row r="15" spans="1:6">
      <c r="A15" s="1310" t="s">
        <v>183</v>
      </c>
      <c r="B15" s="1311">
        <v>393</v>
      </c>
      <c r="C15" s="332"/>
      <c r="D15" s="332"/>
      <c r="E15" s="332"/>
      <c r="F15" s="332"/>
    </row>
    <row r="16" spans="1:6">
      <c r="A16" s="1310" t="s">
        <v>6</v>
      </c>
      <c r="B16" s="1311">
        <v>58</v>
      </c>
      <c r="C16" s="332"/>
      <c r="D16" s="332"/>
      <c r="E16" s="332"/>
      <c r="F16" s="332"/>
    </row>
    <row r="17" spans="1:6">
      <c r="A17" s="1310" t="s">
        <v>7</v>
      </c>
      <c r="B17" s="1311">
        <v>202</v>
      </c>
      <c r="C17" s="332"/>
      <c r="D17" s="332"/>
      <c r="E17" s="332"/>
      <c r="F17" s="332"/>
    </row>
    <row r="18" spans="1:6">
      <c r="A18" s="1310" t="s">
        <v>8</v>
      </c>
      <c r="B18" s="1311">
        <v>178</v>
      </c>
      <c r="C18" s="332"/>
      <c r="D18" s="332"/>
      <c r="E18" s="332"/>
      <c r="F18" s="332"/>
    </row>
    <row r="19" spans="1:6">
      <c r="A19" s="1310" t="s">
        <v>9</v>
      </c>
      <c r="B19" s="1311">
        <v>152</v>
      </c>
      <c r="C19" s="332"/>
      <c r="D19" s="332"/>
      <c r="E19" s="332"/>
      <c r="F19" s="332"/>
    </row>
    <row r="20" spans="1:6">
      <c r="A20" s="1310" t="s">
        <v>10</v>
      </c>
      <c r="B20" s="1311">
        <v>166</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101</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184</v>
      </c>
      <c r="C29" s="338"/>
      <c r="D29" s="338"/>
      <c r="E29" s="338"/>
      <c r="F29" s="338"/>
    </row>
    <row r="30" spans="1:6">
      <c r="A30" s="1305" t="s">
        <v>700</v>
      </c>
      <c r="B30" s="1314">
        <v>42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8</v>
      </c>
      <c r="F35" s="1311">
        <v>45669.263014203098</v>
      </c>
    </row>
    <row r="36" spans="1:6">
      <c r="A36" s="1310" t="s">
        <v>24</v>
      </c>
      <c r="B36" s="1310" t="s">
        <v>26</v>
      </c>
      <c r="C36" s="1311">
        <v>0</v>
      </c>
      <c r="D36" s="1311">
        <v>0</v>
      </c>
      <c r="E36" s="1311">
        <v>6</v>
      </c>
      <c r="F36" s="1311">
        <v>51718.133573981897</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1080.4868861653999</v>
      </c>
    </row>
    <row r="39" spans="1:6">
      <c r="A39" s="1310" t="s">
        <v>29</v>
      </c>
      <c r="B39" s="1310" t="s">
        <v>30</v>
      </c>
      <c r="C39" s="1311">
        <v>10747</v>
      </c>
      <c r="D39" s="1311">
        <v>165761812.551305</v>
      </c>
      <c r="E39" s="1311">
        <v>15683</v>
      </c>
      <c r="F39" s="1311">
        <v>52508358.977777198</v>
      </c>
    </row>
    <row r="40" spans="1:6">
      <c r="A40" s="1310" t="s">
        <v>29</v>
      </c>
      <c r="B40" s="1310" t="s">
        <v>28</v>
      </c>
      <c r="C40" s="1311">
        <v>0</v>
      </c>
      <c r="D40" s="1311">
        <v>0</v>
      </c>
      <c r="E40" s="1311">
        <v>0</v>
      </c>
      <c r="F40" s="1311">
        <v>0</v>
      </c>
    </row>
    <row r="41" spans="1:6">
      <c r="A41" s="1310" t="s">
        <v>31</v>
      </c>
      <c r="B41" s="1310" t="s">
        <v>32</v>
      </c>
      <c r="C41" s="1311">
        <v>115</v>
      </c>
      <c r="D41" s="1311">
        <v>2091250.3431261801</v>
      </c>
      <c r="E41" s="1311">
        <v>231</v>
      </c>
      <c r="F41" s="1311">
        <v>1433253.62178148</v>
      </c>
    </row>
    <row r="42" spans="1:6">
      <c r="A42" s="1310" t="s">
        <v>31</v>
      </c>
      <c r="B42" s="1310" t="s">
        <v>33</v>
      </c>
      <c r="C42" s="1311">
        <v>3</v>
      </c>
      <c r="D42" s="1311">
        <v>16664985.2586176</v>
      </c>
      <c r="E42" s="1311">
        <v>5</v>
      </c>
      <c r="F42" s="1311">
        <v>819558.53068211803</v>
      </c>
    </row>
    <row r="43" spans="1:6">
      <c r="A43" s="1310" t="s">
        <v>31</v>
      </c>
      <c r="B43" s="1310" t="s">
        <v>34</v>
      </c>
      <c r="C43" s="1311">
        <v>0</v>
      </c>
      <c r="D43" s="1311">
        <v>0</v>
      </c>
      <c r="E43" s="1311">
        <v>0</v>
      </c>
      <c r="F43" s="1311">
        <v>0</v>
      </c>
    </row>
    <row r="44" spans="1:6">
      <c r="A44" s="1310" t="s">
        <v>31</v>
      </c>
      <c r="B44" s="1310" t="s">
        <v>35</v>
      </c>
      <c r="C44" s="1311">
        <v>10</v>
      </c>
      <c r="D44" s="1311">
        <v>6548583.3886154601</v>
      </c>
      <c r="E44" s="1311">
        <v>28</v>
      </c>
      <c r="F44" s="1311">
        <v>4051925.5575085199</v>
      </c>
    </row>
    <row r="45" spans="1:6">
      <c r="A45" s="1310" t="s">
        <v>31</v>
      </c>
      <c r="B45" s="1310" t="s">
        <v>36</v>
      </c>
      <c r="C45" s="1311">
        <v>0</v>
      </c>
      <c r="D45" s="1311">
        <v>0</v>
      </c>
      <c r="E45" s="1311">
        <v>5</v>
      </c>
      <c r="F45" s="1311">
        <v>2229383.2109707198</v>
      </c>
    </row>
    <row r="46" spans="1:6">
      <c r="A46" s="1310" t="s">
        <v>31</v>
      </c>
      <c r="B46" s="1310" t="s">
        <v>37</v>
      </c>
      <c r="C46" s="1311">
        <v>0</v>
      </c>
      <c r="D46" s="1311">
        <v>0</v>
      </c>
      <c r="E46" s="1311">
        <v>0</v>
      </c>
      <c r="F46" s="1311">
        <v>0</v>
      </c>
    </row>
    <row r="47" spans="1:6">
      <c r="A47" s="1310" t="s">
        <v>31</v>
      </c>
      <c r="B47" s="1310" t="s">
        <v>38</v>
      </c>
      <c r="C47" s="1311">
        <v>5</v>
      </c>
      <c r="D47" s="1311">
        <v>185892.347308203</v>
      </c>
      <c r="E47" s="1311">
        <v>8</v>
      </c>
      <c r="F47" s="1311">
        <v>87631.4531527449</v>
      </c>
    </row>
    <row r="48" spans="1:6">
      <c r="A48" s="1310" t="s">
        <v>31</v>
      </c>
      <c r="B48" s="1310" t="s">
        <v>28</v>
      </c>
      <c r="C48" s="1311">
        <v>4</v>
      </c>
      <c r="D48" s="1311">
        <v>14153316.0571141</v>
      </c>
      <c r="E48" s="1311">
        <v>1</v>
      </c>
      <c r="F48" s="1311">
        <v>893.28118006579996</v>
      </c>
    </row>
    <row r="49" spans="1:6">
      <c r="A49" s="1310" t="s">
        <v>31</v>
      </c>
      <c r="B49" s="1310" t="s">
        <v>39</v>
      </c>
      <c r="C49" s="1311">
        <v>0</v>
      </c>
      <c r="D49" s="1311">
        <v>0</v>
      </c>
      <c r="E49" s="1311">
        <v>3</v>
      </c>
      <c r="F49" s="1311">
        <v>9956.3277498174994</v>
      </c>
    </row>
    <row r="50" spans="1:6">
      <c r="A50" s="1310" t="s">
        <v>31</v>
      </c>
      <c r="B50" s="1310" t="s">
        <v>40</v>
      </c>
      <c r="C50" s="1311">
        <v>9</v>
      </c>
      <c r="D50" s="1311">
        <v>531282.49496470101</v>
      </c>
      <c r="E50" s="1311">
        <v>10</v>
      </c>
      <c r="F50" s="1311">
        <v>334086.70203081</v>
      </c>
    </row>
    <row r="51" spans="1:6">
      <c r="A51" s="1310" t="s">
        <v>41</v>
      </c>
      <c r="B51" s="1310" t="s">
        <v>42</v>
      </c>
      <c r="C51" s="1311">
        <v>8</v>
      </c>
      <c r="D51" s="1311">
        <v>261461.38505374599</v>
      </c>
      <c r="E51" s="1311">
        <v>48</v>
      </c>
      <c r="F51" s="1311">
        <v>400562.958467227</v>
      </c>
    </row>
    <row r="52" spans="1:6">
      <c r="A52" s="1310" t="s">
        <v>41</v>
      </c>
      <c r="B52" s="1310" t="s">
        <v>28</v>
      </c>
      <c r="C52" s="1311">
        <v>0</v>
      </c>
      <c r="D52" s="1311">
        <v>0</v>
      </c>
      <c r="E52" s="1311">
        <v>0</v>
      </c>
      <c r="F52" s="1311">
        <v>0</v>
      </c>
    </row>
    <row r="53" spans="1:6">
      <c r="A53" s="1310" t="s">
        <v>43</v>
      </c>
      <c r="B53" s="1310" t="s">
        <v>44</v>
      </c>
      <c r="C53" s="1311">
        <v>321</v>
      </c>
      <c r="D53" s="1311">
        <v>10745920.592544399</v>
      </c>
      <c r="E53" s="1311">
        <v>719</v>
      </c>
      <c r="F53" s="1311">
        <v>2650547.9765630099</v>
      </c>
    </row>
    <row r="54" spans="1:6">
      <c r="A54" s="1310" t="s">
        <v>45</v>
      </c>
      <c r="B54" s="1310" t="s">
        <v>46</v>
      </c>
      <c r="C54" s="1311">
        <v>0</v>
      </c>
      <c r="D54" s="1311">
        <v>0</v>
      </c>
      <c r="E54" s="1311">
        <v>1</v>
      </c>
      <c r="F54" s="1311">
        <v>3109543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107</v>
      </c>
      <c r="D57" s="1311">
        <v>7706280.8306483096</v>
      </c>
      <c r="E57" s="1311">
        <v>157</v>
      </c>
      <c r="F57" s="1311">
        <v>9127111.66416209</v>
      </c>
    </row>
    <row r="58" spans="1:6">
      <c r="A58" s="1310" t="s">
        <v>48</v>
      </c>
      <c r="B58" s="1310" t="s">
        <v>50</v>
      </c>
      <c r="C58" s="1311">
        <v>107</v>
      </c>
      <c r="D58" s="1311">
        <v>9988616.2907702792</v>
      </c>
      <c r="E58" s="1311">
        <v>206</v>
      </c>
      <c r="F58" s="1311">
        <v>3661307.4601336201</v>
      </c>
    </row>
    <row r="59" spans="1:6">
      <c r="A59" s="1310" t="s">
        <v>48</v>
      </c>
      <c r="B59" s="1310" t="s">
        <v>51</v>
      </c>
      <c r="C59" s="1311">
        <v>229</v>
      </c>
      <c r="D59" s="1311">
        <v>25139452.2084447</v>
      </c>
      <c r="E59" s="1311">
        <v>430</v>
      </c>
      <c r="F59" s="1311">
        <v>25389094.698333599</v>
      </c>
    </row>
    <row r="60" spans="1:6">
      <c r="A60" s="1310" t="s">
        <v>48</v>
      </c>
      <c r="B60" s="1310" t="s">
        <v>52</v>
      </c>
      <c r="C60" s="1311">
        <v>95</v>
      </c>
      <c r="D60" s="1311">
        <v>8024609.3085894696</v>
      </c>
      <c r="E60" s="1311">
        <v>118</v>
      </c>
      <c r="F60" s="1311">
        <v>4189252.75918257</v>
      </c>
    </row>
    <row r="61" spans="1:6">
      <c r="A61" s="1310" t="s">
        <v>48</v>
      </c>
      <c r="B61" s="1310" t="s">
        <v>53</v>
      </c>
      <c r="C61" s="1311">
        <v>347</v>
      </c>
      <c r="D61" s="1311">
        <v>18998885.507160001</v>
      </c>
      <c r="E61" s="1311">
        <v>831</v>
      </c>
      <c r="F61" s="1311">
        <v>24022640.590111598</v>
      </c>
    </row>
    <row r="62" spans="1:6">
      <c r="A62" s="1310" t="s">
        <v>48</v>
      </c>
      <c r="B62" s="1310" t="s">
        <v>54</v>
      </c>
      <c r="C62" s="1311">
        <v>14</v>
      </c>
      <c r="D62" s="1311">
        <v>1417810.77359329</v>
      </c>
      <c r="E62" s="1311">
        <v>17</v>
      </c>
      <c r="F62" s="1311">
        <v>216529.173806476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14</v>
      </c>
      <c r="F66" s="1311">
        <v>803912.61622061196</v>
      </c>
    </row>
    <row r="67" spans="1:6">
      <c r="A67" s="1312" t="s">
        <v>55</v>
      </c>
      <c r="B67" s="1312" t="s">
        <v>58</v>
      </c>
      <c r="C67" s="1311">
        <v>0</v>
      </c>
      <c r="D67" s="1311">
        <v>0</v>
      </c>
      <c r="E67" s="1311">
        <v>0</v>
      </c>
      <c r="F67" s="1311">
        <v>0</v>
      </c>
    </row>
    <row r="68" spans="1:6">
      <c r="A68" s="1305" t="s">
        <v>55</v>
      </c>
      <c r="B68" s="1305" t="s">
        <v>59</v>
      </c>
      <c r="C68" s="1314">
        <v>10</v>
      </c>
      <c r="D68" s="1314">
        <v>241683.590272136</v>
      </c>
      <c r="E68" s="1314">
        <v>22</v>
      </c>
      <c r="F68" s="1314">
        <v>1028506.10590292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68970506</v>
      </c>
      <c r="E73" s="453"/>
      <c r="F73" s="332"/>
    </row>
    <row r="74" spans="1:6">
      <c r="A74" s="1310" t="s">
        <v>63</v>
      </c>
      <c r="B74" s="1310" t="s">
        <v>648</v>
      </c>
      <c r="C74" s="1324" t="s">
        <v>650</v>
      </c>
      <c r="D74" s="1325">
        <v>2174601.1606092551</v>
      </c>
      <c r="E74" s="453"/>
      <c r="F74" s="332"/>
    </row>
    <row r="75" spans="1:6">
      <c r="A75" s="1310" t="s">
        <v>64</v>
      </c>
      <c r="B75" s="1310" t="s">
        <v>647</v>
      </c>
      <c r="C75" s="1324" t="s">
        <v>651</v>
      </c>
      <c r="D75" s="1325">
        <v>62426759</v>
      </c>
      <c r="E75" s="453"/>
      <c r="F75" s="332"/>
    </row>
    <row r="76" spans="1:6">
      <c r="A76" s="1310" t="s">
        <v>64</v>
      </c>
      <c r="B76" s="1310" t="s">
        <v>648</v>
      </c>
      <c r="C76" s="1324" t="s">
        <v>652</v>
      </c>
      <c r="D76" s="1325">
        <v>2246712.1606092551</v>
      </c>
      <c r="E76" s="453"/>
      <c r="F76" s="332"/>
    </row>
    <row r="77" spans="1:6">
      <c r="A77" s="1310" t="s">
        <v>65</v>
      </c>
      <c r="B77" s="1310" t="s">
        <v>647</v>
      </c>
      <c r="C77" s="1324" t="s">
        <v>653</v>
      </c>
      <c r="D77" s="1325">
        <v>271184244</v>
      </c>
      <c r="E77" s="453"/>
      <c r="F77" s="332"/>
    </row>
    <row r="78" spans="1:6">
      <c r="A78" s="1305" t="s">
        <v>65</v>
      </c>
      <c r="B78" s="1305" t="s">
        <v>648</v>
      </c>
      <c r="C78" s="1305" t="s">
        <v>654</v>
      </c>
      <c r="D78" s="1326">
        <v>33883276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1259019.6787814901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5133.6125998577418</v>
      </c>
      <c r="C91" s="332"/>
      <c r="D91" s="332"/>
      <c r="E91" s="332"/>
      <c r="F91" s="332"/>
    </row>
    <row r="92" spans="1:6">
      <c r="A92" s="1305" t="s">
        <v>68</v>
      </c>
      <c r="B92" s="1306">
        <v>4787.6861190125101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6866</v>
      </c>
      <c r="C97" s="332"/>
      <c r="D97" s="332"/>
      <c r="E97" s="332"/>
      <c r="F97" s="332"/>
    </row>
    <row r="98" spans="1:6">
      <c r="A98" s="1310" t="s">
        <v>71</v>
      </c>
      <c r="B98" s="1311">
        <v>3</v>
      </c>
      <c r="C98" s="332"/>
      <c r="D98" s="332"/>
      <c r="E98" s="332"/>
      <c r="F98" s="332"/>
    </row>
    <row r="99" spans="1:6">
      <c r="A99" s="1310" t="s">
        <v>72</v>
      </c>
      <c r="B99" s="1311">
        <v>130</v>
      </c>
      <c r="C99" s="332"/>
      <c r="D99" s="332"/>
      <c r="E99" s="332"/>
      <c r="F99" s="332"/>
    </row>
    <row r="100" spans="1:6">
      <c r="A100" s="1310" t="s">
        <v>73</v>
      </c>
      <c r="B100" s="1311">
        <v>1177</v>
      </c>
      <c r="C100" s="332"/>
      <c r="D100" s="332"/>
      <c r="E100" s="332"/>
      <c r="F100" s="332"/>
    </row>
    <row r="101" spans="1:6">
      <c r="A101" s="1310" t="s">
        <v>74</v>
      </c>
      <c r="B101" s="1311">
        <v>56</v>
      </c>
      <c r="C101" s="332"/>
      <c r="D101" s="332"/>
      <c r="E101" s="332"/>
      <c r="F101" s="332"/>
    </row>
    <row r="102" spans="1:6">
      <c r="A102" s="1310" t="s">
        <v>75</v>
      </c>
      <c r="B102" s="1311">
        <v>230</v>
      </c>
      <c r="C102" s="332"/>
      <c r="D102" s="332"/>
      <c r="E102" s="332"/>
      <c r="F102" s="332"/>
    </row>
    <row r="103" spans="1:6">
      <c r="A103" s="1310" t="s">
        <v>76</v>
      </c>
      <c r="B103" s="1311">
        <v>159</v>
      </c>
      <c r="C103" s="332"/>
      <c r="D103" s="332"/>
      <c r="E103" s="332"/>
      <c r="F103" s="332"/>
    </row>
    <row r="104" spans="1:6">
      <c r="A104" s="1310" t="s">
        <v>77</v>
      </c>
      <c r="B104" s="1311">
        <v>4800</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39</v>
      </c>
      <c r="C123" s="1311">
        <v>36</v>
      </c>
      <c r="D123" s="332"/>
      <c r="E123" s="332"/>
      <c r="F123" s="332"/>
    </row>
    <row r="124" spans="1:6" s="43" customFormat="1">
      <c r="A124" s="1312" t="s">
        <v>88</v>
      </c>
      <c r="B124" s="1333">
        <v>3</v>
      </c>
      <c r="C124" s="1333">
        <v>5</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151</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25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139647.19965902888</v>
      </c>
      <c r="C3" s="43" t="s">
        <v>169</v>
      </c>
      <c r="D3" s="43"/>
      <c r="E3" s="154"/>
      <c r="F3" s="43"/>
      <c r="G3" s="43"/>
      <c r="H3" s="43"/>
      <c r="I3" s="43"/>
      <c r="J3" s="43"/>
      <c r="K3" s="96"/>
    </row>
    <row r="4" spans="1:11">
      <c r="A4" s="360" t="s">
        <v>170</v>
      </c>
      <c r="B4" s="49">
        <f>IF(ISERROR('SEAP template'!B78+'SEAP template'!C78),0,'SEAP template'!B78+'SEAP template'!C78)</f>
        <v>9921.2987188702518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0.20529895463551057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3109.5430000000001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3109.5430000000001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0.20529895463551057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638.38592729416951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52508.358977777199</v>
      </c>
      <c r="C5" s="17">
        <f>IF(ISERROR('Eigen informatie GS &amp; warmtenet'!B59),0,'Eigen informatie GS &amp; warmtenet'!B59)</f>
        <v>0</v>
      </c>
      <c r="D5" s="30">
        <f>(SUM(HH_hh_gas_kWh,HH_rest_gas_kWh)/1000)*0.903</f>
        <v>149682.9167338284</v>
      </c>
      <c r="E5" s="17">
        <f>B46*B57</f>
        <v>11722.965712791651</v>
      </c>
      <c r="F5" s="17">
        <f>B51*B62</f>
        <v>27109.402921438705</v>
      </c>
      <c r="G5" s="18"/>
      <c r="H5" s="17"/>
      <c r="I5" s="17"/>
      <c r="J5" s="17">
        <f>B50*B61+C50*C61</f>
        <v>0</v>
      </c>
      <c r="K5" s="17"/>
      <c r="L5" s="17"/>
      <c r="M5" s="17"/>
      <c r="N5" s="17">
        <f>B48*B59+C48*C59</f>
        <v>9465.2700983515788</v>
      </c>
      <c r="O5" s="17">
        <f>B69*B70*B71</f>
        <v>380.91997812231011</v>
      </c>
      <c r="P5" s="17">
        <f>B77*B78*B79/1000-B77*B78*B79/1000/B80</f>
        <v>705.77527361489661</v>
      </c>
    </row>
    <row r="6" spans="1:16">
      <c r="A6" s="16" t="s">
        <v>612</v>
      </c>
      <c r="B6" s="786">
        <f>kWh_PV_kleiner_dan_10kW</f>
        <v>5133.6125998577418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57641.97157763494</v>
      </c>
      <c r="C8" s="21">
        <f>C5</f>
        <v>0</v>
      </c>
      <c r="D8" s="21">
        <f>D5</f>
        <v>149682.9167338284</v>
      </c>
      <c r="E8" s="21">
        <f>E5</f>
        <v>11722.965712791651</v>
      </c>
      <c r="F8" s="21">
        <f>F5</f>
        <v>27109.402921438705</v>
      </c>
      <c r="G8" s="21"/>
      <c r="H8" s="21"/>
      <c r="I8" s="21"/>
      <c r="J8" s="21">
        <f>J5</f>
        <v>0</v>
      </c>
      <c r="K8" s="21"/>
      <c r="L8" s="21">
        <f>L5</f>
        <v>0</v>
      </c>
      <c r="M8" s="21">
        <f>M5</f>
        <v>0</v>
      </c>
      <c r="N8" s="21">
        <f>N5</f>
        <v>9465.2700983515788</v>
      </c>
      <c r="O8" s="21">
        <f>O5</f>
        <v>380.91997812231011</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0.20529895463551057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11833.836508018265</v>
      </c>
      <c r="C12" s="23">
        <f ca="1">C10*C8</f>
        <v>0</v>
      </c>
      <c r="D12" s="23">
        <f>D8*D10</f>
        <v>30235.94918023334</v>
      </c>
      <c r="E12" s="23">
        <f>E10*E8</f>
        <v>2661.1132168037047</v>
      </c>
      <c r="F12" s="23">
        <f>F10*F8</f>
        <v>7238.2105800241343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6866</v>
      </c>
      <c r="C18" s="166" t="s">
        <v>110</v>
      </c>
      <c r="D18" s="228"/>
      <c r="E18" s="15"/>
    </row>
    <row r="19" spans="1:7">
      <c r="A19" s="171" t="s">
        <v>71</v>
      </c>
      <c r="B19" s="37">
        <f>aantalw2001_ander</f>
        <v>3</v>
      </c>
      <c r="C19" s="166" t="s">
        <v>110</v>
      </c>
      <c r="D19" s="229"/>
      <c r="E19" s="15"/>
    </row>
    <row r="20" spans="1:7">
      <c r="A20" s="171" t="s">
        <v>72</v>
      </c>
      <c r="B20" s="37">
        <f>aantalw2001_propaan</f>
        <v>130</v>
      </c>
      <c r="C20" s="167">
        <f>IF(ISERROR(B20/SUM($B$20,$B$21,$B$22)*100),0,B20/SUM($B$20,$B$21,$B$22)*100)</f>
        <v>9.5377842993396929</v>
      </c>
      <c r="D20" s="229"/>
      <c r="E20" s="15"/>
    </row>
    <row r="21" spans="1:7">
      <c r="A21" s="171" t="s">
        <v>73</v>
      </c>
      <c r="B21" s="37">
        <f>aantalw2001_elektriciteit</f>
        <v>1177</v>
      </c>
      <c r="C21" s="167">
        <f>IF(ISERROR(B21/SUM($B$20,$B$21,$B$22)*100),0,B21/SUM($B$20,$B$21,$B$22)*100)</f>
        <v>86.353631694790906</v>
      </c>
      <c r="D21" s="229"/>
      <c r="E21" s="15"/>
    </row>
    <row r="22" spans="1:7">
      <c r="A22" s="171" t="s">
        <v>74</v>
      </c>
      <c r="B22" s="37">
        <f>aantalw2001_hout</f>
        <v>56</v>
      </c>
      <c r="C22" s="167">
        <f>IF(ISERROR(B22/SUM($B$20,$B$21,$B$22)*100),0,B22/SUM($B$20,$B$21,$B$22)*100)</f>
        <v>4.1085840058694059</v>
      </c>
      <c r="D22" s="229"/>
      <c r="E22" s="15"/>
    </row>
    <row r="23" spans="1:7">
      <c r="A23" s="171" t="s">
        <v>75</v>
      </c>
      <c r="B23" s="37">
        <f>aantalw2001_niet_gespec</f>
        <v>230</v>
      </c>
      <c r="C23" s="166" t="s">
        <v>110</v>
      </c>
      <c r="D23" s="228"/>
      <c r="E23" s="15"/>
    </row>
    <row r="24" spans="1:7">
      <c r="A24" s="171" t="s">
        <v>76</v>
      </c>
      <c r="B24" s="37">
        <f>aantalw2001_steenkool</f>
        <v>159</v>
      </c>
      <c r="C24" s="166" t="s">
        <v>110</v>
      </c>
      <c r="D24" s="229"/>
      <c r="E24" s="15"/>
    </row>
    <row r="25" spans="1:7">
      <c r="A25" s="171" t="s">
        <v>77</v>
      </c>
      <c r="B25" s="37">
        <f>aantalw2001_stookolie</f>
        <v>4800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15539</v>
      </c>
      <c r="C28" s="36"/>
      <c r="D28" s="228"/>
    </row>
    <row r="29" spans="1:7" s="15" customFormat="1">
      <c r="A29" s="230" t="s">
        <v>839</v>
      </c>
      <c r="B29" s="37">
        <f>SUM(HH_hh_gas_aantal,HH_rest_gas_aantal)</f>
        <v>10747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10747</v>
      </c>
      <c r="C32" s="167">
        <f>IF(ISERROR(B32/SUM($B$32,$B$34,$B$35,$B$36,$B$38,$B$39)*100),0,B32/SUM($B$32,$B$34,$B$35,$B$36,$B$38,$B$39)*100)</f>
        <v>69.460961737331957</v>
      </c>
      <c r="D32" s="233"/>
      <c r="G32" s="15"/>
    </row>
    <row r="33" spans="1:7">
      <c r="A33" s="171" t="s">
        <v>71</v>
      </c>
      <c r="B33" s="34" t="s">
        <v>110</v>
      </c>
      <c r="C33" s="167"/>
      <c r="D33" s="233"/>
      <c r="G33" s="15"/>
    </row>
    <row r="34" spans="1:7">
      <c r="A34" s="171" t="s">
        <v>72</v>
      </c>
      <c r="B34" s="33">
        <f>IF((($B$28-$B$32-$B$39-$B$77-$B$38)*C20/100)&lt;0,0,($B$28-$B$32-$B$39-$B$77-$B$38)*C20/100)</f>
        <v>325.99192956713136</v>
      </c>
      <c r="C34" s="167">
        <f>IF(ISERROR(B34/SUM($B$32,$B$34,$B$35,$B$36,$B$38,$B$39)*100),0,B34/SUM($B$32,$B$34,$B$35,$B$36,$B$38,$B$39)*100)</f>
        <v>2.106979896374944</v>
      </c>
      <c r="D34" s="233"/>
      <c r="G34" s="15"/>
    </row>
    <row r="35" spans="1:7">
      <c r="A35" s="171" t="s">
        <v>73</v>
      </c>
      <c r="B35" s="33">
        <f>IF((($B$28-$B$32-$B$39-$B$77-$B$38)*C21/100)&lt;0,0,($B$28-$B$32-$B$39-$B$77-$B$38)*C21/100)</f>
        <v>2951.480777696258</v>
      </c>
      <c r="C35" s="167">
        <f>IF(ISERROR(B35/SUM($B$32,$B$34,$B$35,$B$36,$B$38,$B$39)*100),0,B35/SUM($B$32,$B$34,$B$35,$B$36,$B$38,$B$39)*100)</f>
        <v>19.076271831025448</v>
      </c>
      <c r="D35" s="233"/>
      <c r="G35" s="15"/>
    </row>
    <row r="36" spans="1:7">
      <c r="A36" s="171" t="s">
        <v>74</v>
      </c>
      <c r="B36" s="33">
        <f>IF((($B$28-$B$32-$B$39-$B$77-$B$38)*C22/100)&lt;0,0,($B$28-$B$32-$B$39-$B$77-$B$38)*C22/100)</f>
        <v>140.42729273661044</v>
      </c>
      <c r="C36" s="167">
        <f>IF(ISERROR(B36/SUM($B$32,$B$34,$B$35,$B$36,$B$38,$B$39)*100),0,B36/SUM($B$32,$B$34,$B$35,$B$36,$B$38,$B$39)*100)</f>
        <v>0.90762210920766817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1307.0999999999999</v>
      </c>
      <c r="C39" s="167">
        <f>IF(ISERROR(B39/SUM($B$32,$B$34,$B$35,$B$36,$B$38,$B$39)*100),0,B39/SUM($B$32,$B$34,$B$35,$B$36,$B$38,$B$39)*100)</f>
        <v>8.4481644260599769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10747</v>
      </c>
      <c r="C44" s="34" t="s">
        <v>110</v>
      </c>
      <c r="D44" s="174"/>
    </row>
    <row r="45" spans="1:7">
      <c r="A45" s="171" t="s">
        <v>71</v>
      </c>
      <c r="B45" s="33" t="str">
        <f t="shared" si="0"/>
        <v>-</v>
      </c>
      <c r="C45" s="34" t="s">
        <v>110</v>
      </c>
      <c r="D45" s="174"/>
    </row>
    <row r="46" spans="1:7">
      <c r="A46" s="171" t="s">
        <v>72</v>
      </c>
      <c r="B46" s="33">
        <f t="shared" si="0"/>
        <v>325.99192956713136</v>
      </c>
      <c r="C46" s="34" t="s">
        <v>110</v>
      </c>
      <c r="D46" s="174"/>
    </row>
    <row r="47" spans="1:7">
      <c r="A47" s="171" t="s">
        <v>73</v>
      </c>
      <c r="B47" s="33">
        <f t="shared" si="0"/>
        <v>2951.480777696258</v>
      </c>
      <c r="C47" s="34" t="s">
        <v>110</v>
      </c>
      <c r="D47" s="174"/>
    </row>
    <row r="48" spans="1:7">
      <c r="A48" s="171" t="s">
        <v>74</v>
      </c>
      <c r="B48" s="33">
        <f t="shared" si="0"/>
        <v>140.42729273661044</v>
      </c>
      <c r="C48" s="33">
        <f>B48*10</f>
        <v>1404.2729273661043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1307.0999999999999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66605.936345729948</v>
      </c>
      <c r="C5" s="17">
        <f>IF(ISERROR('Eigen informatie GS &amp; warmtenet'!B60),0,'Eigen informatie GS &amp; warmtenet'!B60)</f>
        <v>0</v>
      </c>
      <c r="D5" s="30">
        <f>SUM(D6:D12)</f>
        <v>64361.916392043058</v>
      </c>
      <c r="E5" s="17">
        <f>SUM(E6:E12)</f>
        <v>225.70443020342515</v>
      </c>
      <c r="F5" s="17">
        <f>SUM(F6:F12)</f>
        <v>10852.408052648996</v>
      </c>
      <c r="G5" s="18"/>
      <c r="H5" s="17"/>
      <c r="I5" s="17"/>
      <c r="J5" s="17">
        <f>SUM(J6:J12)</f>
        <v>9.0137712892763802E-2</v>
      </c>
      <c r="K5" s="17"/>
      <c r="L5" s="17"/>
      <c r="M5" s="17"/>
      <c r="N5" s="17">
        <f>SUM(N6:N12)</f>
        <v>3307.8201253975922</v>
      </c>
      <c r="O5" s="17">
        <f>B38*B39*B40</f>
        <v>9.7945215316823084</v>
      </c>
      <c r="P5" s="17">
        <f>B46*B47*B48/1000-B46*B47*B48/1000/B49</f>
        <v>105.07827661299004</v>
      </c>
      <c r="R5" s="32"/>
    </row>
    <row r="6" spans="1:18">
      <c r="A6" s="32" t="s">
        <v>53</v>
      </c>
      <c r="B6" s="37">
        <f>B26</f>
        <v>24022.640590111598</v>
      </c>
      <c r="C6" s="33"/>
      <c r="D6" s="37">
        <f>IF(ISERROR(TER_kantoor_gas_kWh/1000),0,TER_kantoor_gas_kWh/1000)*0.903</f>
        <v>17155.993612965482</v>
      </c>
      <c r="E6" s="33">
        <f>$C$26*'E Balans VL '!I12/100/3.6*1000000</f>
        <v>5.7552536763756637</v>
      </c>
      <c r="F6" s="33">
        <f>$C$26*('E Balans VL '!L12+'E Balans VL '!N12)/100/3.6*1000000</f>
        <v>2278.0387918151578</v>
      </c>
      <c r="G6" s="34"/>
      <c r="H6" s="33"/>
      <c r="I6" s="33"/>
      <c r="J6" s="33">
        <f>$C$26*('E Balans VL '!D12+'E Balans VL '!E12)/100/3.6*1000000</f>
        <v>0</v>
      </c>
      <c r="K6" s="33"/>
      <c r="L6" s="33"/>
      <c r="M6" s="33"/>
      <c r="N6" s="33">
        <f>$C$26*'E Balans VL '!Y12/100/3.6*1000000</f>
        <v>12.202258880021885</v>
      </c>
      <c r="O6" s="33"/>
      <c r="P6" s="33"/>
      <c r="R6" s="32"/>
    </row>
    <row r="7" spans="1:18">
      <c r="A7" s="32" t="s">
        <v>52</v>
      </c>
      <c r="B7" s="37">
        <f t="shared" ref="B7:B12" si="0">B27</f>
        <v>4189.2527591825701</v>
      </c>
      <c r="C7" s="33"/>
      <c r="D7" s="37">
        <f>IF(ISERROR(TER_horeca_gas_kWh/1000),0,TER_horeca_gas_kWh/1000)*0.903</f>
        <v>7246.2222056562914</v>
      </c>
      <c r="E7" s="33">
        <f>$C$27*'E Balans VL '!I9/100/3.6*1000000</f>
        <v>0</v>
      </c>
      <c r="F7" s="33">
        <f>$C$27*('E Balans VL '!L9+'E Balans VL '!N9)/100/3.6*1000000</f>
        <v>343.50887862134164</v>
      </c>
      <c r="G7" s="34"/>
      <c r="H7" s="33"/>
      <c r="I7" s="33"/>
      <c r="J7" s="33">
        <f>$C$27*('E Balans VL '!D9+'E Balans VL '!E9)/100/3.6*1000000</f>
        <v>0</v>
      </c>
      <c r="K7" s="33"/>
      <c r="L7" s="33"/>
      <c r="M7" s="33"/>
      <c r="N7" s="33">
        <f>$C$27*'E Balans VL '!Y9/100/3.6*1000000</f>
        <v>1.2841742825223954</v>
      </c>
      <c r="O7" s="33"/>
      <c r="P7" s="33"/>
      <c r="R7" s="32"/>
    </row>
    <row r="8" spans="1:18">
      <c r="A8" s="6" t="s">
        <v>51</v>
      </c>
      <c r="B8" s="37">
        <f t="shared" si="0"/>
        <v>25389.0946983336</v>
      </c>
      <c r="C8" s="33"/>
      <c r="D8" s="37">
        <f>IF(ISERROR(TER_handel_gas_kWh/1000),0,TER_handel_gas_kWh/1000)*0.903</f>
        <v>22700.925344225561</v>
      </c>
      <c r="E8" s="33">
        <f>$C$28*'E Balans VL '!I13/100/3.6*1000000</f>
        <v>89.228791376169511</v>
      </c>
      <c r="F8" s="33">
        <f>$C$28*('E Balans VL '!L13+'E Balans VL '!N13)/100/3.6*1000000</f>
        <v>2323.056570338621</v>
      </c>
      <c r="G8" s="34"/>
      <c r="H8" s="33"/>
      <c r="I8" s="33"/>
      <c r="J8" s="33">
        <f>$C$28*('E Balans VL '!D13+'E Balans VL '!E13)/100/3.6*1000000</f>
        <v>0</v>
      </c>
      <c r="K8" s="33"/>
      <c r="L8" s="33"/>
      <c r="M8" s="33"/>
      <c r="N8" s="33">
        <f>$C$28*'E Balans VL '!Y13/100/3.6*1000000</f>
        <v>9.1948370583029888</v>
      </c>
      <c r="O8" s="33"/>
      <c r="P8" s="33"/>
      <c r="R8" s="32"/>
    </row>
    <row r="9" spans="1:18">
      <c r="A9" s="32" t="s">
        <v>50</v>
      </c>
      <c r="B9" s="37">
        <f t="shared" si="0"/>
        <v>3661.3074601336202</v>
      </c>
      <c r="C9" s="33"/>
      <c r="D9" s="37">
        <f>IF(ISERROR(TER_gezond_gas_kWh/1000),0,TER_gezond_gas_kWh/1000)*0.903</f>
        <v>9019.720510565563</v>
      </c>
      <c r="E9" s="33">
        <f>$C$29*'E Balans VL '!I10/100/3.6*1000000</f>
        <v>0</v>
      </c>
      <c r="F9" s="33">
        <f>$C$29*('E Balans VL '!L10+'E Balans VL '!N10)/100/3.6*1000000</f>
        <v>448.80906221285517</v>
      </c>
      <c r="G9" s="34"/>
      <c r="H9" s="33"/>
      <c r="I9" s="33"/>
      <c r="J9" s="33">
        <f>$C$29*('E Balans VL '!D10+'E Balans VL '!E10)/100/3.6*1000000</f>
        <v>0</v>
      </c>
      <c r="K9" s="33"/>
      <c r="L9" s="33"/>
      <c r="M9" s="33"/>
      <c r="N9" s="33">
        <f>$C$29*'E Balans VL '!Y10/100/3.6*1000000</f>
        <v>26.999591118678232</v>
      </c>
      <c r="O9" s="33"/>
      <c r="P9" s="33"/>
      <c r="R9" s="32"/>
    </row>
    <row r="10" spans="1:18">
      <c r="A10" s="32" t="s">
        <v>49</v>
      </c>
      <c r="B10" s="37">
        <f t="shared" si="0"/>
        <v>9127.1116641620902</v>
      </c>
      <c r="C10" s="33"/>
      <c r="D10" s="37">
        <f>IF(ISERROR(TER_ander_gas_kWh/1000),0,TER_ander_gas_kWh/1000)*0.903</f>
        <v>6958.7715900754238</v>
      </c>
      <c r="E10" s="33">
        <f>$C$30*'E Balans VL '!I14/100/3.6*1000000</f>
        <v>130.72038515087999</v>
      </c>
      <c r="F10" s="33">
        <f>$C$30*('E Balans VL '!L14+'E Balans VL '!N14)/100/3.6*1000000</f>
        <v>5433.6799107242623</v>
      </c>
      <c r="G10" s="34"/>
      <c r="H10" s="33"/>
      <c r="I10" s="33"/>
      <c r="J10" s="33">
        <f>$C$30*('E Balans VL '!D14+'E Balans VL '!E14)/100/3.6*1000000</f>
        <v>9.0137712892763802E-2</v>
      </c>
      <c r="K10" s="33"/>
      <c r="L10" s="33"/>
      <c r="M10" s="33"/>
      <c r="N10" s="33">
        <f>$C$30*'E Balans VL '!Y14/100/3.6*1000000</f>
        <v>3257.5295427689362</v>
      </c>
      <c r="O10" s="33"/>
      <c r="P10" s="33"/>
      <c r="R10" s="32"/>
    </row>
    <row r="11" spans="1:18">
      <c r="A11" s="32" t="s">
        <v>54</v>
      </c>
      <c r="B11" s="37">
        <f t="shared" si="0"/>
        <v>216.529173806476</v>
      </c>
      <c r="C11" s="33"/>
      <c r="D11" s="37">
        <f>IF(ISERROR(TER_onderwijs_gas_kWh/1000),0,TER_onderwijs_gas_kWh/1000)*0.903</f>
        <v>1280.2831285547409</v>
      </c>
      <c r="E11" s="33">
        <f>$C$31*'E Balans VL '!I11/100/3.6*1000000</f>
        <v>0</v>
      </c>
      <c r="F11" s="33">
        <f>$C$31*('E Balans VL '!L11+'E Balans VL '!N11)/100/3.6*1000000</f>
        <v>25.314838936759447</v>
      </c>
      <c r="G11" s="34"/>
      <c r="H11" s="33"/>
      <c r="I11" s="33"/>
      <c r="J11" s="33">
        <f>$C$31*('E Balans VL '!D11+'E Balans VL '!E11)/100/3.6*1000000</f>
        <v>0</v>
      </c>
      <c r="K11" s="33"/>
      <c r="L11" s="33"/>
      <c r="M11" s="33"/>
      <c r="N11" s="33">
        <f>$C$31*'E Balans VL '!Y11/100/3.6*1000000</f>
        <v>0.60972128913042933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66605.936345729948</v>
      </c>
      <c r="C16" s="21">
        <f t="shared" ca="1" si="1"/>
        <v>0</v>
      </c>
      <c r="D16" s="21">
        <f t="shared" ca="1" si="1"/>
        <v>64361.916392043058</v>
      </c>
      <c r="E16" s="21">
        <f t="shared" si="1"/>
        <v>225.70443020342515</v>
      </c>
      <c r="F16" s="21">
        <f t="shared" ca="1" si="1"/>
        <v>10852.408052648996</v>
      </c>
      <c r="G16" s="21">
        <f t="shared" si="1"/>
        <v>0</v>
      </c>
      <c r="H16" s="21">
        <f t="shared" si="1"/>
        <v>0</v>
      </c>
      <c r="I16" s="21">
        <f t="shared" si="1"/>
        <v>0</v>
      </c>
      <c r="J16" s="21">
        <f t="shared" si="1"/>
        <v>9.0137712892763802E-2</v>
      </c>
      <c r="K16" s="21">
        <f t="shared" si="1"/>
        <v>0</v>
      </c>
      <c r="L16" s="21">
        <f t="shared" ca="1" si="1"/>
        <v>0</v>
      </c>
      <c r="M16" s="21">
        <f t="shared" si="1"/>
        <v>0</v>
      </c>
      <c r="N16" s="21">
        <f t="shared" ca="1" si="1"/>
        <v>3307.8201253975922</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0.20529895463551057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13674.129104297717</v>
      </c>
      <c r="C20" s="23">
        <f t="shared" ref="C20:P20" ca="1" si="2">C16*C18</f>
        <v>0</v>
      </c>
      <c r="D20" s="23">
        <f t="shared" ca="1" si="2"/>
        <v>13001.107111192699</v>
      </c>
      <c r="E20" s="23">
        <f t="shared" si="2"/>
        <v>51.23490565617751</v>
      </c>
      <c r="F20" s="23">
        <f t="shared" ca="1" si="2"/>
        <v>2897.592950057282</v>
      </c>
      <c r="G20" s="23">
        <f t="shared" si="2"/>
        <v>0</v>
      </c>
      <c r="H20" s="23">
        <f t="shared" si="2"/>
        <v>0</v>
      </c>
      <c r="I20" s="23">
        <f t="shared" si="2"/>
        <v>0</v>
      </c>
      <c r="J20" s="23">
        <f t="shared" si="2"/>
        <v>3.1908750364038382E-2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24022.640590111598</v>
      </c>
      <c r="C26" s="39">
        <f>IF(ISERROR(B26*3.6/1000000/'E Balans VL '!Z12*100),0,B26*3.6/1000000/'E Balans VL '!Z12*100)</f>
        <v>0.67750207981427724</v>
      </c>
      <c r="D26" s="237" t="s">
        <v>702</v>
      </c>
      <c r="F26" s="6"/>
    </row>
    <row r="27" spans="1:18">
      <c r="A27" s="231" t="s">
        <v>52</v>
      </c>
      <c r="B27" s="33">
        <f>IF(ISERROR(TER_horeca_ele_kWh/1000),0,TER_horeca_ele_kWh/1000)</f>
        <v>4189.2527591825701</v>
      </c>
      <c r="C27" s="39">
        <f>IF(ISERROR(B27*3.6/1000000/'E Balans VL '!Z9*100),0,B27*3.6/1000000/'E Balans VL '!Z9*100)</f>
        <v>0.31058162847540483</v>
      </c>
      <c r="D27" s="237" t="s">
        <v>702</v>
      </c>
      <c r="F27" s="6"/>
    </row>
    <row r="28" spans="1:18">
      <c r="A28" s="171" t="s">
        <v>51</v>
      </c>
      <c r="B28" s="33">
        <f>IF(ISERROR(TER_handel_ele_kWh/1000),0,TER_handel_ele_kWh/1000)</f>
        <v>25389.0946983336</v>
      </c>
      <c r="C28" s="39">
        <f>IF(ISERROR(B28*3.6/1000000/'E Balans VL '!Z13*100),0,B28*3.6/1000000/'E Balans VL '!Z13*100)</f>
        <v>0.76059691233566029</v>
      </c>
      <c r="D28" s="237" t="s">
        <v>702</v>
      </c>
      <c r="F28" s="6"/>
    </row>
    <row r="29" spans="1:18">
      <c r="A29" s="231" t="s">
        <v>50</v>
      </c>
      <c r="B29" s="33">
        <f>IF(ISERROR(TER_gezond_ele_kWh/1000),0,TER_gezond_ele_kWh/1000)</f>
        <v>3661.3074601336202</v>
      </c>
      <c r="C29" s="39">
        <f>IF(ISERROR(B29*3.6/1000000/'E Balans VL '!Z10*100),0,B29*3.6/1000000/'E Balans VL '!Z10*100)</f>
        <v>0.36203151670055844</v>
      </c>
      <c r="D29" s="237" t="s">
        <v>702</v>
      </c>
      <c r="F29" s="6"/>
    </row>
    <row r="30" spans="1:18">
      <c r="A30" s="231" t="s">
        <v>49</v>
      </c>
      <c r="B30" s="33">
        <f>IF(ISERROR(TER_ander_ele_kWh/1000),0,TER_ander_ele_kWh/1000)</f>
        <v>9127.1116641620902</v>
      </c>
      <c r="C30" s="39">
        <f>IF(ISERROR(B30*3.6/1000000/'E Balans VL '!Z14*100),0,B30*3.6/1000000/'E Balans VL '!Z14*100)</f>
        <v>0.36916469444135336</v>
      </c>
      <c r="D30" s="237" t="s">
        <v>702</v>
      </c>
      <c r="F30" s="6"/>
    </row>
    <row r="31" spans="1:18">
      <c r="A31" s="231" t="s">
        <v>54</v>
      </c>
      <c r="B31" s="33">
        <f>IF(ISERROR(TER_onderwijs_ele_kWh/1000),0,TER_onderwijs_ele_kWh/1000)</f>
        <v>216.529173806476</v>
      </c>
      <c r="C31" s="39">
        <f>IF(ISERROR(B31*3.6/1000000/'E Balans VL '!Z11*100),0,B31*3.6/1000000/'E Balans VL '!Z11*100)</f>
        <v>5.9490033869247089E-2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8966.6886850562769</v>
      </c>
      <c r="C5" s="17">
        <f>IF(ISERROR('Eigen informatie GS &amp; warmtenet'!B61),0,'Eigen informatie GS &amp; warmtenet'!B61)</f>
        <v>0</v>
      </c>
      <c r="D5" s="30">
        <f>SUM(D6:D15)</f>
        <v>36278.304830440858</v>
      </c>
      <c r="E5" s="17">
        <f>SUM(E6:E15)</f>
        <v>83.095425453954689</v>
      </c>
      <c r="F5" s="17">
        <f>SUM(F6:F15)</f>
        <v>1250.8300031752419</v>
      </c>
      <c r="G5" s="18"/>
      <c r="H5" s="17"/>
      <c r="I5" s="17"/>
      <c r="J5" s="17">
        <f>SUM(J6:J15)</f>
        <v>3.5966159914929707</v>
      </c>
      <c r="K5" s="17"/>
      <c r="L5" s="17"/>
      <c r="M5" s="17"/>
      <c r="N5" s="17">
        <f>SUM(N6:N15)</f>
        <v>505.33844629940842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4051.9255575085199</v>
      </c>
      <c r="C8" s="33"/>
      <c r="D8" s="37">
        <f>IF( ISERROR(IND_metaal_Gas_kWH/1000),0,IND_metaal_Gas_kWH/1000)*0.903</f>
        <v>5913.3707999197613</v>
      </c>
      <c r="E8" s="33">
        <f>C30*'E Balans VL '!I18/100/3.6*1000000</f>
        <v>20.430515638197459</v>
      </c>
      <c r="F8" s="33">
        <f>C30*'E Balans VL '!L18/100/3.6*1000000+C30*'E Balans VL '!N18/100/3.6*1000000</f>
        <v>276.83583400042482</v>
      </c>
      <c r="G8" s="34"/>
      <c r="H8" s="33"/>
      <c r="I8" s="33"/>
      <c r="J8" s="40">
        <f>C30*'E Balans VL '!D18/100/3.6*1000000+C30*'E Balans VL '!E18/100/3.6*1000000</f>
        <v>3.5923776404339773</v>
      </c>
      <c r="K8" s="33"/>
      <c r="L8" s="33"/>
      <c r="M8" s="33"/>
      <c r="N8" s="33">
        <f>C30*'E Balans VL '!Y18/100/3.6*1000000</f>
        <v>53.850114705551029</v>
      </c>
      <c r="O8" s="33"/>
      <c r="P8" s="33"/>
      <c r="R8" s="32"/>
    </row>
    <row r="9" spans="1:18">
      <c r="A9" s="6" t="s">
        <v>32</v>
      </c>
      <c r="B9" s="37">
        <f t="shared" si="0"/>
        <v>1433.25362178148</v>
      </c>
      <c r="C9" s="33"/>
      <c r="D9" s="37">
        <f>IF( ISERROR(IND_andere_gas_kWh/1000),0,IND_andere_gas_kWh/1000)*0.903</f>
        <v>1888.3990598429409</v>
      </c>
      <c r="E9" s="33">
        <f>C31*'E Balans VL '!I19/100/3.6*1000000</f>
        <v>4.5179541557538467</v>
      </c>
      <c r="F9" s="33">
        <f>C31*'E Balans VL '!L19/100/3.6*1000000+C31*'E Balans VL '!N19/100/3.6*1000000</f>
        <v>877.37758645417262</v>
      </c>
      <c r="G9" s="34"/>
      <c r="H9" s="33"/>
      <c r="I9" s="33"/>
      <c r="J9" s="40">
        <f>C31*'E Balans VL '!D19/100/3.6*1000000+C31*'E Balans VL '!E19/100/3.6*1000000</f>
        <v>0</v>
      </c>
      <c r="K9" s="33"/>
      <c r="L9" s="33"/>
      <c r="M9" s="33"/>
      <c r="N9" s="33">
        <f>C31*'E Balans VL '!Y19/100/3.6*1000000</f>
        <v>60.098270462967825</v>
      </c>
      <c r="O9" s="33"/>
      <c r="P9" s="33"/>
      <c r="R9" s="32"/>
    </row>
    <row r="10" spans="1:18">
      <c r="A10" s="6" t="s">
        <v>40</v>
      </c>
      <c r="B10" s="37">
        <f t="shared" si="0"/>
        <v>334.08670203080999</v>
      </c>
      <c r="C10" s="33"/>
      <c r="D10" s="37">
        <f>IF( ISERROR(IND_voed_gas_kWh/1000),0,IND_voed_gas_kWh/1000)*0.903</f>
        <v>479.74809295312497</v>
      </c>
      <c r="E10" s="33">
        <f>C32*'E Balans VL '!I20/100/3.6*1000000</f>
        <v>0.53244037705672342</v>
      </c>
      <c r="F10" s="33">
        <f>C32*'E Balans VL '!L20/100/3.6*1000000+C32*'E Balans VL '!N20/100/3.6*1000000</f>
        <v>5.4280973194045181</v>
      </c>
      <c r="G10" s="34"/>
      <c r="H10" s="33"/>
      <c r="I10" s="33"/>
      <c r="J10" s="40">
        <f>C32*'E Balans VL '!D20/100/3.6*1000000+C32*'E Balans VL '!E20/100/3.6*1000000</f>
        <v>0</v>
      </c>
      <c r="K10" s="33"/>
      <c r="L10" s="33"/>
      <c r="M10" s="33"/>
      <c r="N10" s="33">
        <f>C32*'E Balans VL '!Y20/100/3.6*1000000</f>
        <v>10.552126603376907</v>
      </c>
      <c r="O10" s="33"/>
      <c r="P10" s="33"/>
      <c r="R10" s="32"/>
    </row>
    <row r="11" spans="1:18">
      <c r="A11" s="6" t="s">
        <v>39</v>
      </c>
      <c r="B11" s="37">
        <f t="shared" si="0"/>
        <v>9.9563277498174987</v>
      </c>
      <c r="C11" s="33"/>
      <c r="D11" s="37">
        <f>IF( ISERROR(IND_textiel_gas_kWh/1000),0,IND_textiel_gas_kWh/1000)*0.903</f>
        <v>0</v>
      </c>
      <c r="E11" s="33">
        <f>C33*'E Balans VL '!I21/100/3.6*1000000</f>
        <v>1.4444812258723756E-2</v>
      </c>
      <c r="F11" s="33">
        <f>C33*'E Balans VL '!L21/100/3.6*1000000+C33*'E Balans VL '!N21/100/3.6*1000000</f>
        <v>0.19485173117537505</v>
      </c>
      <c r="G11" s="34"/>
      <c r="H11" s="33"/>
      <c r="I11" s="33"/>
      <c r="J11" s="40">
        <f>C33*'E Balans VL '!D21/100/3.6*1000000+C33*'E Balans VL '!E21/100/3.6*1000000</f>
        <v>0</v>
      </c>
      <c r="K11" s="33"/>
      <c r="L11" s="33"/>
      <c r="M11" s="33"/>
      <c r="N11" s="33">
        <f>C33*'E Balans VL '!Y21/100/3.6*1000000</f>
        <v>0.4850496916566398</v>
      </c>
      <c r="O11" s="33"/>
      <c r="P11" s="33"/>
      <c r="R11" s="32"/>
    </row>
    <row r="12" spans="1:18">
      <c r="A12" s="6" t="s">
        <v>36</v>
      </c>
      <c r="B12" s="37">
        <f t="shared" si="0"/>
        <v>2229.38321097072</v>
      </c>
      <c r="C12" s="33"/>
      <c r="D12" s="37">
        <f>IF( ISERROR(IND_min_gas_kWh/1000),0,IND_min_gas_kWh/1000)*0.903</f>
        <v>0</v>
      </c>
      <c r="E12" s="33">
        <f>C34*'E Balans VL '!I22/100/3.6*1000000</f>
        <v>9.6471448357247169</v>
      </c>
      <c r="F12" s="33">
        <f>C34*'E Balans VL '!L22/100/3.6*1000000+C34*'E Balans VL '!N22/100/3.6*1000000</f>
        <v>85.120603010923503</v>
      </c>
      <c r="G12" s="34"/>
      <c r="H12" s="33"/>
      <c r="I12" s="33"/>
      <c r="J12" s="40">
        <f>C34*'E Balans VL '!D22/100/3.6*1000000+C34*'E Balans VL '!E22/100/3.6*1000000</f>
        <v>0</v>
      </c>
      <c r="K12" s="33"/>
      <c r="L12" s="33"/>
      <c r="M12" s="33"/>
      <c r="N12" s="33">
        <f>C34*'E Balans VL '!Y22/100/3.6*1000000</f>
        <v>380.28255575565538</v>
      </c>
      <c r="O12" s="33"/>
      <c r="P12" s="33"/>
      <c r="R12" s="32"/>
    </row>
    <row r="13" spans="1:18">
      <c r="A13" s="6" t="s">
        <v>38</v>
      </c>
      <c r="B13" s="37">
        <f t="shared" si="0"/>
        <v>87.631453152744896</v>
      </c>
      <c r="C13" s="33"/>
      <c r="D13" s="37">
        <f>IF( ISERROR(IND_papier_gas_kWh/1000),0,IND_papier_gas_kWh/1000)*0.903</f>
        <v>167.86078961930733</v>
      </c>
      <c r="E13" s="33">
        <f>C35*'E Balans VL '!I23/100/3.6*1000000</f>
        <v>0</v>
      </c>
      <c r="F13" s="33">
        <f>C35*'E Balans VL '!L23/100/3.6*1000000+C35*'E Balans VL '!N23/100/3.6*1000000</f>
        <v>3.7966020263060511E-3</v>
      </c>
      <c r="G13" s="34"/>
      <c r="H13" s="33"/>
      <c r="I13" s="33"/>
      <c r="J13" s="40">
        <f>C35*'E Balans VL '!D23/100/3.6*1000000+C35*'E Balans VL '!E23/100/3.6*1000000</f>
        <v>2.4146644717216825E-3</v>
      </c>
      <c r="K13" s="33"/>
      <c r="L13" s="33"/>
      <c r="M13" s="33"/>
      <c r="N13" s="33">
        <f>C35*'E Balans VL '!Y23/100/3.6*1000000</f>
        <v>0</v>
      </c>
      <c r="O13" s="33"/>
      <c r="P13" s="33"/>
      <c r="R13" s="32"/>
    </row>
    <row r="14" spans="1:18">
      <c r="A14" s="6" t="s">
        <v>33</v>
      </c>
      <c r="B14" s="37">
        <f t="shared" si="0"/>
        <v>819.55853068211798</v>
      </c>
      <c r="C14" s="33"/>
      <c r="D14" s="37">
        <f>IF( ISERROR(IND_chemie_gas_kWh/1000),0,IND_chemie_gas_kWh/1000)*0.903</f>
        <v>15048.481688531696</v>
      </c>
      <c r="E14" s="33">
        <f>C36*'E Balans VL '!I24/100/3.6*1000000</f>
        <v>47.93040978075841</v>
      </c>
      <c r="F14" s="33">
        <f>C36*'E Balans VL '!L24/100/3.6*1000000+C36*'E Balans VL '!N24/100/3.6*1000000</f>
        <v>5.796716312348023</v>
      </c>
      <c r="G14" s="34"/>
      <c r="H14" s="33"/>
      <c r="I14" s="33"/>
      <c r="J14" s="40">
        <f>C36*'E Balans VL '!D24/100/3.6*1000000+C36*'E Balans VL '!E24/100/3.6*1000000</f>
        <v>0</v>
      </c>
      <c r="K14" s="33"/>
      <c r="L14" s="33"/>
      <c r="M14" s="33"/>
      <c r="N14" s="33">
        <f>C36*'E Balans VL '!Y24/100/3.6*1000000</f>
        <v>5.5235077240601685E-2</v>
      </c>
      <c r="O14" s="33"/>
      <c r="P14" s="33"/>
      <c r="R14" s="32"/>
    </row>
    <row r="15" spans="1:18">
      <c r="A15" s="6" t="s">
        <v>269</v>
      </c>
      <c r="B15" s="37">
        <f t="shared" si="0"/>
        <v>0.89328118006579993</v>
      </c>
      <c r="C15" s="33"/>
      <c r="D15" s="37">
        <f>IF( ISERROR(IND_rest_gas_kWh/1000),0,IND_rest_gas_kWh/1000)*0.903</f>
        <v>12780.444399574033</v>
      </c>
      <c r="E15" s="33">
        <f>C37*'E Balans VL '!I15/100/3.6*1000000</f>
        <v>2.2515854204813911E-2</v>
      </c>
      <c r="F15" s="33">
        <f>C37*'E Balans VL '!L15/100/3.6*1000000+C37*'E Balans VL '!N15/100/3.6*1000000</f>
        <v>7.251774476682793E-2</v>
      </c>
      <c r="G15" s="34"/>
      <c r="H15" s="33"/>
      <c r="I15" s="33"/>
      <c r="J15" s="40">
        <f>C37*'E Balans VL '!D15/100/3.6*1000000+C37*'E Balans VL '!E15/100/3.6*1000000</f>
        <v>1.8236865872717509E-3</v>
      </c>
      <c r="K15" s="33"/>
      <c r="L15" s="33"/>
      <c r="M15" s="33"/>
      <c r="N15" s="33">
        <f>C37*'E Balans VL '!Y15/100/3.6*1000000</f>
        <v>1.5094002960026758E-2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8966.6886850562769</v>
      </c>
      <c r="C18" s="21">
        <f>C5+C16</f>
        <v>0</v>
      </c>
      <c r="D18" s="21">
        <f>MAX((D5+D16),0)</f>
        <v>36278.304830440858</v>
      </c>
      <c r="E18" s="21">
        <f>MAX((E5+E16),0)</f>
        <v>83.095425453954689</v>
      </c>
      <c r="F18" s="21">
        <f>MAX((F5+F16),0)</f>
        <v>1250.8300031752419</v>
      </c>
      <c r="G18" s="21"/>
      <c r="H18" s="21"/>
      <c r="I18" s="21"/>
      <c r="J18" s="21">
        <f>MAX((J5+J16),0)</f>
        <v>3.5966159914929707</v>
      </c>
      <c r="K18" s="21"/>
      <c r="L18" s="21">
        <f>MAX((L5+L16),0)</f>
        <v>0</v>
      </c>
      <c r="M18" s="21"/>
      <c r="N18" s="21">
        <f>MAX((N5+N16),0)</f>
        <v>505.33844629940842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0.20529895463551057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1840.8518135841146</v>
      </c>
      <c r="C22" s="23">
        <f ca="1">C18*C20</f>
        <v>0</v>
      </c>
      <c r="D22" s="23">
        <f>D18*D20</f>
        <v>7328.217575749054</v>
      </c>
      <c r="E22" s="23">
        <f>E18*E20</f>
        <v>18.862661578047714</v>
      </c>
      <c r="F22" s="23">
        <f>F18*F20</f>
        <v>333.97161084778963</v>
      </c>
      <c r="G22" s="23"/>
      <c r="H22" s="23"/>
      <c r="I22" s="23"/>
      <c r="J22" s="23">
        <f>J18*J20</f>
        <v>1.2732020609885115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4051.9255575085199</v>
      </c>
      <c r="C30" s="39">
        <f>IF(ISERROR(B30*3.6/1000000/'E Balans VL '!Z18*100),0,B30*3.6/1000000/'E Balans VL '!Z18*100)</f>
        <v>0.20112845265260154</v>
      </c>
      <c r="D30" s="237" t="s">
        <v>702</v>
      </c>
    </row>
    <row r="31" spans="1:18">
      <c r="A31" s="6" t="s">
        <v>32</v>
      </c>
      <c r="B31" s="37">
        <f>IF( ISERROR(IND_ander_ele_kWh/1000),0,IND_ander_ele_kWh/1000)</f>
        <v>1433.25362178148</v>
      </c>
      <c r="C31" s="39">
        <f>IF(ISERROR(B31*3.6/1000000/'E Balans VL '!Z19*100),0,B31*3.6/1000000/'E Balans VL '!Z19*100)</f>
        <v>4.8364965289129196E-2</v>
      </c>
      <c r="D31" s="237" t="s">
        <v>702</v>
      </c>
    </row>
    <row r="32" spans="1:18">
      <c r="A32" s="171" t="s">
        <v>40</v>
      </c>
      <c r="B32" s="37">
        <f>IF( ISERROR(IND_voed_ele_kWh/1000),0,IND_voed_ele_kWh/1000)</f>
        <v>334.08670203080999</v>
      </c>
      <c r="C32" s="39">
        <f>IF(ISERROR(B32*3.6/1000000/'E Balans VL '!Z20*100),0,B32*3.6/1000000/'E Balans VL '!Z20*100)</f>
        <v>7.8457967064518228E-3</v>
      </c>
      <c r="D32" s="237" t="s">
        <v>702</v>
      </c>
    </row>
    <row r="33" spans="1:5">
      <c r="A33" s="171" t="s">
        <v>39</v>
      </c>
      <c r="B33" s="37">
        <f>IF( ISERROR(IND_textiel_ele_kWh/1000),0,IND_textiel_ele_kWh/1000)</f>
        <v>9.9563277498174987</v>
      </c>
      <c r="C33" s="39">
        <f>IF(ISERROR(B33*3.6/1000000/'E Balans VL '!Z21*100),0,B33*3.6/1000000/'E Balans VL '!Z21*100)</f>
        <v>1.092694350313207E-3</v>
      </c>
      <c r="D33" s="237" t="s">
        <v>702</v>
      </c>
    </row>
    <row r="34" spans="1:5">
      <c r="A34" s="171" t="s">
        <v>36</v>
      </c>
      <c r="B34" s="37">
        <f>IF( ISERROR(IND_min_ele_kWh/1000),0,IND_min_ele_kWh/1000)</f>
        <v>2229.38321097072</v>
      </c>
      <c r="C34" s="39">
        <f>IF(ISERROR(B34*3.6/1000000/'E Balans VL '!Z22*100),0,B34*3.6/1000000/'E Balans VL '!Z22*100)</f>
        <v>0.31628428723674912</v>
      </c>
      <c r="D34" s="237" t="s">
        <v>702</v>
      </c>
    </row>
    <row r="35" spans="1:5">
      <c r="A35" s="171" t="s">
        <v>38</v>
      </c>
      <c r="B35" s="37">
        <f>IF( ISERROR(IND_papier_ele_kWh/1000),0,IND_papier_ele_kWh/1000)</f>
        <v>87.631453152744896</v>
      </c>
      <c r="C35" s="39">
        <f>IF(ISERROR(B35*3.6/1000000/'E Balans VL '!Z22*100),0,B35*3.6/1000000/'E Balans VL '!Z22*100)</f>
        <v>1.2432340731528237E-2</v>
      </c>
      <c r="D35" s="237" t="s">
        <v>702</v>
      </c>
    </row>
    <row r="36" spans="1:5">
      <c r="A36" s="171" t="s">
        <v>33</v>
      </c>
      <c r="B36" s="37">
        <f>IF( ISERROR(IND_chemie_ele_kWh/1000),0,IND_chemie_ele_kWh/1000)</f>
        <v>819.55853068211798</v>
      </c>
      <c r="C36" s="39">
        <f>IF(ISERROR(B36*3.6/1000000/'E Balans VL '!Z24*100),0,B36*3.6/1000000/'E Balans VL '!Z24*100)</f>
        <v>7.4838644360618956E-3</v>
      </c>
      <c r="D36" s="237" t="s">
        <v>702</v>
      </c>
    </row>
    <row r="37" spans="1:5">
      <c r="A37" s="171" t="s">
        <v>269</v>
      </c>
      <c r="B37" s="37">
        <f>IF( ISERROR(IND_rest_ele_kWh/1000),0,IND_rest_ele_kWh/1000)</f>
        <v>0.89328118006579993</v>
      </c>
      <c r="C37" s="39">
        <f>IF(ISERROR(B37*3.6/1000000/'E Balans VL '!Z15*100),0,B37*3.6/1000000/'E Balans VL '!Z15*100)</f>
        <v>3.3475973085093107E-6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400.56295846722702</v>
      </c>
      <c r="C5" s="17">
        <f>'Eigen informatie GS &amp; warmtenet'!B62</f>
        <v>0</v>
      </c>
      <c r="D5" s="30">
        <f>IF(ISERROR(SUM(LB_lb_gas_kWh,LB_rest_gas_kWh)/1000),0,SUM(LB_lb_gas_kWh,LB_rest_gas_kWh)/1000)*0.903</f>
        <v>236.09963070353263</v>
      </c>
      <c r="E5" s="17">
        <f>B17*'E Balans VL '!I25/3.6*1000000/100</f>
        <v>14.938217955929776</v>
      </c>
      <c r="F5" s="17">
        <f>B17*('E Balans VL '!L25/3.6*1000000+'E Balans VL '!N25/3.6*1000000)/100</f>
        <v>1299.5810208875935</v>
      </c>
      <c r="G5" s="18"/>
      <c r="H5" s="17"/>
      <c r="I5" s="17"/>
      <c r="J5" s="17">
        <f>('E Balans VL '!D25+'E Balans VL '!E25)/3.6*1000000*landbouw!B17/100</f>
        <v>105.14975413977419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400.56295846722702</v>
      </c>
      <c r="C8" s="21">
        <f>C5+C6</f>
        <v>0</v>
      </c>
      <c r="D8" s="21">
        <f>MAX((D5+D6),0)</f>
        <v>236.09963070353263</v>
      </c>
      <c r="E8" s="21">
        <f>MAX((E5+E6),0)</f>
        <v>14.938217955929776</v>
      </c>
      <c r="F8" s="21">
        <f>MAX((F5+F6),0)</f>
        <v>1299.5810208875935</v>
      </c>
      <c r="G8" s="21"/>
      <c r="H8" s="21"/>
      <c r="I8" s="21"/>
      <c r="J8" s="21">
        <f>MAX((J5+J6),0)</f>
        <v>105.14975413977419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0.20529895463551057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82.235156639029142</v>
      </c>
      <c r="C12" s="23">
        <f ca="1">C8*C10</f>
        <v>0</v>
      </c>
      <c r="D12" s="23">
        <f>D8*D10</f>
        <v>47.692125402113597</v>
      </c>
      <c r="E12" s="23">
        <f>E8*E10</f>
        <v>3.3909754759960591</v>
      </c>
      <c r="F12" s="23">
        <f>F8*F10</f>
        <v>346.98813257698748</v>
      </c>
      <c r="G12" s="23"/>
      <c r="H12" s="23"/>
      <c r="I12" s="23"/>
      <c r="J12" s="23">
        <f>J8*J10</f>
        <v>37.223012965480059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5.5016277069081541E-2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55.116597506154505</v>
      </c>
      <c r="C26" s="247">
        <f>B26*'GWP N2O_CH4'!B5</f>
        <v>1157.4485476292446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6.41356120725243</v>
      </c>
      <c r="C27" s="247">
        <f>B27*'GWP N2O_CH4'!B5</f>
        <v>134.68478535230102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1.0380029593893045</v>
      </c>
      <c r="C28" s="247">
        <f>B28*'GWP N2O_CH4'!B4</f>
        <v>321.78091741068442</v>
      </c>
      <c r="D28" s="50"/>
    </row>
    <row r="29" spans="1:4">
      <c r="A29" s="41" t="s">
        <v>276</v>
      </c>
      <c r="B29" s="247">
        <f>B34*'ha_N2O bodem landbouw'!B4</f>
        <v>10.110806944404349</v>
      </c>
      <c r="C29" s="247">
        <f>B29*'GWP N2O_CH4'!B4</f>
        <v>3134.350152765348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2.3042817771923006E-3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9.7901681607880206E-4</v>
      </c>
      <c r="C5" s="440" t="s">
        <v>210</v>
      </c>
      <c r="D5" s="425">
        <f>SUM(D6:D11)</f>
        <v>3.9268475288620677E-3</v>
      </c>
      <c r="E5" s="425">
        <f>SUM(E6:E11)</f>
        <v>2.4289126473736981E-3</v>
      </c>
      <c r="F5" s="438" t="s">
        <v>210</v>
      </c>
      <c r="G5" s="425">
        <f>SUM(G6:G11)</f>
        <v>1.0442889098704127</v>
      </c>
      <c r="H5" s="425">
        <f>SUM(H6:H11)</f>
        <v>0.25707447672133266</v>
      </c>
      <c r="I5" s="440" t="s">
        <v>210</v>
      </c>
      <c r="J5" s="440" t="s">
        <v>210</v>
      </c>
      <c r="K5" s="440" t="s">
        <v>210</v>
      </c>
      <c r="L5" s="440" t="s">
        <v>210</v>
      </c>
      <c r="M5" s="425">
        <f>SUM(M6:M11)</f>
        <v>7.6665824747979061E-2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1.6772574914130969E-4</v>
      </c>
      <c r="C6" s="426"/>
      <c r="D6" s="893">
        <f>vkm_GW_PW*SUMIFS(TableVerdeelsleutelVkm[CNG],TableVerdeelsleutelVkm[Voertuigtype],"Lichte voertuigen")*SUMIFS(TableECFTransport[EnergieConsumptieFactor (PJ per km)],TableECFTransport[Index],CONCATENATE($A6,"_CNG_CNG"))</f>
        <v>6.0577422105267205E-4</v>
      </c>
      <c r="E6" s="893">
        <f>vkm_GW_PW*SUMIFS(TableVerdeelsleutelVkm[LPG],TableVerdeelsleutelVkm[Voertuigtype],"Lichte voertuigen")*SUMIFS(TableECFTransport[EnergieConsumptieFactor (PJ per km)],TableECFTransport[Index],CONCATENATE($A6,"_LPG_LPG"))</f>
        <v>3.2922273971860511E-4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0.10245208814643425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3.877400171024175E-2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8.4636568920943012E-3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2.0773539490219022E-2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2.1869433132617497E-7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1.1695828117031756E-3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1.5181235468591457E-4</v>
      </c>
      <c r="C8" s="426"/>
      <c r="D8" s="428">
        <f>vkm_NGW_PW*SUMIFS(TableVerdeelsleutelVkm[CNG],TableVerdeelsleutelVkm[Voertuigtype],"Lichte voertuigen")*SUMIFS(TableECFTransport[EnergieConsumptieFactor (PJ per km)],TableECFTransport[Index],CONCATENATE($A8,"_CNG_CNG"))</f>
        <v>9.2940406824169148E-4</v>
      </c>
      <c r="E8" s="428">
        <f>vkm_NGW_PW*SUMIFS(TableVerdeelsleutelVkm[LPG],TableVerdeelsleutelVkm[Voertuigtype],"Lichte voertuigen")*SUMIFS(TableECFTransport[EnergieConsumptieFactor (PJ per km)],TableECFTransport[Index],CONCATENATE($A8,"_LPG_LPG"))</f>
        <v>4.7998685281053086E-4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0.13900431103942362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5.8583011555466059E-2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1.1898674484094852E-2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2.5870672062714747E-2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3.9558302570174288E-7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1.4565679260529526E-3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6.5947871225157783E-4</v>
      </c>
      <c r="C10" s="426"/>
      <c r="D10" s="428">
        <f>vkm_SW_PW*SUMIFS(TableVerdeelsleutelVkm[CNG],TableVerdeelsleutelVkm[Voertuigtype],"Lichte voertuigen")*SUMIFS(TableECFTransport[EnergieConsumptieFactor (PJ per km)],TableECFTransport[Index],CONCATENATE($A10,"_CNG_CNG"))</f>
        <v>2.3916692395677037E-3</v>
      </c>
      <c r="E10" s="428">
        <f>vkm_SW_PW*SUMIFS(TableVerdeelsleutelVkm[LPG],TableVerdeelsleutelVkm[Voertuigtype],"Lichte voertuigen")*SUMIFS(TableECFTransport[EnergieConsumptieFactor (PJ per km)],TableECFTransport[Index],CONCATENATE($A10,"_LPG_LPG"))</f>
        <v>1.6197030548445622E-3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0.44791414538231111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0.1597134122748507</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3.6321011600938855E-2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0.30827415374930978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3.436903417152627E-6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1.7356331033094929E-2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271.94911557744501</v>
      </c>
      <c r="C14" s="21"/>
      <c r="D14" s="21">
        <f t="shared" ref="D14:M14" si="0">((D5)*10^9/3600)+D12</f>
        <v>1090.7909802394631</v>
      </c>
      <c r="E14" s="21">
        <f t="shared" si="0"/>
        <v>674.69795760380509</v>
      </c>
      <c r="F14" s="21"/>
      <c r="G14" s="21">
        <f t="shared" si="0"/>
        <v>290080.2527417813</v>
      </c>
      <c r="H14" s="21">
        <f t="shared" si="0"/>
        <v>71409.576867036856</v>
      </c>
      <c r="I14" s="21"/>
      <c r="J14" s="21"/>
      <c r="K14" s="21"/>
      <c r="L14" s="21"/>
      <c r="M14" s="21">
        <f t="shared" si="0"/>
        <v>21296.062429994185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0.20529895463551057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55.830869142101101</v>
      </c>
      <c r="C18" s="23"/>
      <c r="D18" s="23">
        <f t="shared" ref="D18:M18" si="1">D14*D16</f>
        <v>220.33977800837155</v>
      </c>
      <c r="E18" s="23">
        <f t="shared" si="1"/>
        <v>153.15643637606377</v>
      </c>
      <c r="F18" s="23"/>
      <c r="G18" s="23">
        <f t="shared" si="1"/>
        <v>77451.427482055617</v>
      </c>
      <c r="H18" s="23">
        <f t="shared" si="1"/>
        <v>17780.984639892176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1.5499458038222502E-2</v>
      </c>
      <c r="H50" s="321">
        <f t="shared" si="2"/>
        <v>0</v>
      </c>
      <c r="I50" s="321">
        <f t="shared" si="2"/>
        <v>0</v>
      </c>
      <c r="J50" s="321">
        <f t="shared" si="2"/>
        <v>0</v>
      </c>
      <c r="K50" s="321">
        <f t="shared" si="2"/>
        <v>0</v>
      </c>
      <c r="L50" s="321">
        <f t="shared" si="2"/>
        <v>0</v>
      </c>
      <c r="M50" s="321">
        <f t="shared" si="2"/>
        <v>8.4108887168659414E-4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1.5499458038222502E-2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8.4108887168659414E-4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4305.4050106173618</v>
      </c>
      <c r="H54" s="21">
        <f t="shared" si="3"/>
        <v>0</v>
      </c>
      <c r="I54" s="21">
        <f t="shared" si="3"/>
        <v>0</v>
      </c>
      <c r="J54" s="21">
        <f t="shared" si="3"/>
        <v>0</v>
      </c>
      <c r="K54" s="21">
        <f t="shared" si="3"/>
        <v>0</v>
      </c>
      <c r="L54" s="21">
        <f t="shared" si="3"/>
        <v>0</v>
      </c>
      <c r="M54" s="21">
        <f t="shared" si="3"/>
        <v>233.63579769072058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0.20529895463551057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1149.5431378348358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69715.479345729953</v>
      </c>
      <c r="D10" s="689">
        <f ca="1">tertiair!C16</f>
        <v>0</v>
      </c>
      <c r="E10" s="689">
        <f ca="1">tertiair!D16</f>
        <v>64361.916392043058</v>
      </c>
      <c r="F10" s="689">
        <f>tertiair!E16</f>
        <v>225.70443020342515</v>
      </c>
      <c r="G10" s="689">
        <f ca="1">tertiair!F16</f>
        <v>10852.408052648996</v>
      </c>
      <c r="H10" s="689">
        <f>tertiair!G16</f>
        <v>0</v>
      </c>
      <c r="I10" s="689">
        <f>tertiair!H16</f>
        <v>0</v>
      </c>
      <c r="J10" s="689">
        <f>tertiair!I16</f>
        <v>0</v>
      </c>
      <c r="K10" s="689">
        <f>tertiair!J16</f>
        <v>9.0137712892763802E-2</v>
      </c>
      <c r="L10" s="689">
        <f>tertiair!K16</f>
        <v>0</v>
      </c>
      <c r="M10" s="689">
        <f ca="1">tertiair!L16</f>
        <v>0</v>
      </c>
      <c r="N10" s="689">
        <f>tertiair!M16</f>
        <v>0</v>
      </c>
      <c r="O10" s="689">
        <f ca="1">tertiair!N16</f>
        <v>3307.8201253975922</v>
      </c>
      <c r="P10" s="689">
        <f>tertiair!O16</f>
        <v>9.7945215316823084</v>
      </c>
      <c r="Q10" s="690">
        <f>tertiair!P16</f>
        <v>105.07827661299004</v>
      </c>
      <c r="R10" s="692">
        <f ca="1">SUM(C10:Q10)</f>
        <v>148578.29128188058</v>
      </c>
      <c r="S10" s="67"/>
    </row>
    <row r="11" spans="1:19" s="451" customFormat="1">
      <c r="A11" s="811" t="s">
        <v>224</v>
      </c>
      <c r="B11" s="816"/>
      <c r="C11" s="689">
        <f>huishoudens!B8</f>
        <v>57641.97157763494</v>
      </c>
      <c r="D11" s="689">
        <f>huishoudens!C8</f>
        <v>0</v>
      </c>
      <c r="E11" s="689">
        <f>huishoudens!D8</f>
        <v>149682.9167338284</v>
      </c>
      <c r="F11" s="689">
        <f>huishoudens!E8</f>
        <v>11722.965712791651</v>
      </c>
      <c r="G11" s="689">
        <f>huishoudens!F8</f>
        <v>27109.402921438705</v>
      </c>
      <c r="H11" s="689">
        <f>huishoudens!G8</f>
        <v>0</v>
      </c>
      <c r="I11" s="689">
        <f>huishoudens!H8</f>
        <v>0</v>
      </c>
      <c r="J11" s="689">
        <f>huishoudens!I8</f>
        <v>0</v>
      </c>
      <c r="K11" s="689">
        <f>huishoudens!J8</f>
        <v>0</v>
      </c>
      <c r="L11" s="689">
        <f>huishoudens!K8</f>
        <v>0</v>
      </c>
      <c r="M11" s="689">
        <f>huishoudens!L8</f>
        <v>0</v>
      </c>
      <c r="N11" s="689">
        <f>huishoudens!M8</f>
        <v>0</v>
      </c>
      <c r="O11" s="689">
        <f>huishoudens!N8</f>
        <v>9465.2700983515788</v>
      </c>
      <c r="P11" s="689">
        <f>huishoudens!O8</f>
        <v>380.91997812231011</v>
      </c>
      <c r="Q11" s="690">
        <f>huishoudens!P8</f>
        <v>705.77527361489661</v>
      </c>
      <c r="R11" s="692">
        <f>SUM(C11:Q11)</f>
        <v>256709.2222957825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8966.6886850562769</v>
      </c>
      <c r="D13" s="689">
        <f>industrie!C18</f>
        <v>0</v>
      </c>
      <c r="E13" s="689">
        <f>industrie!D18</f>
        <v>36278.304830440858</v>
      </c>
      <c r="F13" s="689">
        <f>industrie!E18</f>
        <v>83.095425453954689</v>
      </c>
      <c r="G13" s="689">
        <f>industrie!F18</f>
        <v>1250.8300031752419</v>
      </c>
      <c r="H13" s="689">
        <f>industrie!G18</f>
        <v>0</v>
      </c>
      <c r="I13" s="689">
        <f>industrie!H18</f>
        <v>0</v>
      </c>
      <c r="J13" s="689">
        <f>industrie!I18</f>
        <v>0</v>
      </c>
      <c r="K13" s="689">
        <f>industrie!J18</f>
        <v>3.5966159914929707</v>
      </c>
      <c r="L13" s="689">
        <f>industrie!K18</f>
        <v>0</v>
      </c>
      <c r="M13" s="689">
        <f>industrie!L18</f>
        <v>0</v>
      </c>
      <c r="N13" s="689">
        <f>industrie!M18</f>
        <v>0</v>
      </c>
      <c r="O13" s="689">
        <f>industrie!N18</f>
        <v>505.33844629940842</v>
      </c>
      <c r="P13" s="689">
        <f>industrie!O18</f>
        <v>0</v>
      </c>
      <c r="Q13" s="690">
        <f>industrie!P18</f>
        <v>0</v>
      </c>
      <c r="R13" s="692">
        <f>SUM(C13:Q13)</f>
        <v>47087.854006417227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136324.13960842119</v>
      </c>
      <c r="D16" s="725">
        <f t="shared" ref="D16:R16" ca="1" si="0">SUM(D9:D15)</f>
        <v>0</v>
      </c>
      <c r="E16" s="725">
        <f t="shared" ca="1" si="0"/>
        <v>250323.13795631233</v>
      </c>
      <c r="F16" s="725">
        <f t="shared" si="0"/>
        <v>12031.765568449029</v>
      </c>
      <c r="G16" s="725">
        <f t="shared" ca="1" si="0"/>
        <v>39212.640977262941</v>
      </c>
      <c r="H16" s="725">
        <f t="shared" si="0"/>
        <v>0</v>
      </c>
      <c r="I16" s="725">
        <f t="shared" si="0"/>
        <v>0</v>
      </c>
      <c r="J16" s="725">
        <f t="shared" si="0"/>
        <v>0</v>
      </c>
      <c r="K16" s="725">
        <f t="shared" si="0"/>
        <v>3.6867537043857346</v>
      </c>
      <c r="L16" s="725">
        <f t="shared" si="0"/>
        <v>0</v>
      </c>
      <c r="M16" s="725">
        <f t="shared" ca="1" si="0"/>
        <v>0</v>
      </c>
      <c r="N16" s="725">
        <f t="shared" si="0"/>
        <v>0</v>
      </c>
      <c r="O16" s="725">
        <f t="shared" ca="1" si="0"/>
        <v>13278.428670048581</v>
      </c>
      <c r="P16" s="725">
        <f t="shared" si="0"/>
        <v>390.71449965399245</v>
      </c>
      <c r="Q16" s="725">
        <f t="shared" si="0"/>
        <v>810.85355022788667</v>
      </c>
      <c r="R16" s="725">
        <f t="shared" ca="1" si="0"/>
        <v>452375.36758408032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4305.4050106173618</v>
      </c>
      <c r="I19" s="689">
        <f>transport!H54</f>
        <v>0</v>
      </c>
      <c r="J19" s="689">
        <f>transport!I54</f>
        <v>0</v>
      </c>
      <c r="K19" s="689">
        <f>transport!J54</f>
        <v>0</v>
      </c>
      <c r="L19" s="689">
        <f>transport!K54</f>
        <v>0</v>
      </c>
      <c r="M19" s="689">
        <f>transport!L54</f>
        <v>0</v>
      </c>
      <c r="N19" s="689">
        <f>transport!M54</f>
        <v>233.63579769072058</v>
      </c>
      <c r="O19" s="689">
        <f>transport!N54</f>
        <v>0</v>
      </c>
      <c r="P19" s="689">
        <f>transport!O54</f>
        <v>0</v>
      </c>
      <c r="Q19" s="690">
        <f>transport!P54</f>
        <v>0</v>
      </c>
      <c r="R19" s="692">
        <f>SUM(C19:Q19)</f>
        <v>4539.040808308082</v>
      </c>
      <c r="S19" s="67"/>
    </row>
    <row r="20" spans="1:19" s="451" customFormat="1">
      <c r="A20" s="811" t="s">
        <v>306</v>
      </c>
      <c r="B20" s="816"/>
      <c r="C20" s="689">
        <f>transport!B14</f>
        <v>271.94911557744501</v>
      </c>
      <c r="D20" s="689">
        <f>transport!C14</f>
        <v>0</v>
      </c>
      <c r="E20" s="689">
        <f>transport!D14</f>
        <v>1090.7909802394631</v>
      </c>
      <c r="F20" s="689">
        <f>transport!E14</f>
        <v>674.69795760380509</v>
      </c>
      <c r="G20" s="689">
        <f>transport!F14</f>
        <v>0</v>
      </c>
      <c r="H20" s="689">
        <f>transport!G14</f>
        <v>290080.2527417813</v>
      </c>
      <c r="I20" s="689">
        <f>transport!H14</f>
        <v>71409.576867036856</v>
      </c>
      <c r="J20" s="689">
        <f>transport!I14</f>
        <v>0</v>
      </c>
      <c r="K20" s="689">
        <f>transport!J14</f>
        <v>0</v>
      </c>
      <c r="L20" s="689">
        <f>transport!K14</f>
        <v>0</v>
      </c>
      <c r="M20" s="689">
        <f>transport!L14</f>
        <v>0</v>
      </c>
      <c r="N20" s="689">
        <f>transport!M14</f>
        <v>21296.062429994185</v>
      </c>
      <c r="O20" s="689">
        <f>transport!N14</f>
        <v>0</v>
      </c>
      <c r="P20" s="689">
        <f>transport!O14</f>
        <v>0</v>
      </c>
      <c r="Q20" s="690">
        <f>transport!P14</f>
        <v>0</v>
      </c>
      <c r="R20" s="692">
        <f>SUM(C20:Q20)</f>
        <v>384823.33009223302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271.94911557744501</v>
      </c>
      <c r="D22" s="814">
        <f t="shared" ref="D22:R22" si="1">SUM(D18:D21)</f>
        <v>0</v>
      </c>
      <c r="E22" s="814">
        <f t="shared" si="1"/>
        <v>1090.7909802394631</v>
      </c>
      <c r="F22" s="814">
        <f t="shared" si="1"/>
        <v>674.69795760380509</v>
      </c>
      <c r="G22" s="814">
        <f t="shared" si="1"/>
        <v>0</v>
      </c>
      <c r="H22" s="814">
        <f t="shared" si="1"/>
        <v>294385.65775239863</v>
      </c>
      <c r="I22" s="814">
        <f t="shared" si="1"/>
        <v>71409.576867036856</v>
      </c>
      <c r="J22" s="814">
        <f t="shared" si="1"/>
        <v>0</v>
      </c>
      <c r="K22" s="814">
        <f t="shared" si="1"/>
        <v>0</v>
      </c>
      <c r="L22" s="814">
        <f t="shared" si="1"/>
        <v>0</v>
      </c>
      <c r="M22" s="814">
        <f t="shared" si="1"/>
        <v>0</v>
      </c>
      <c r="N22" s="814">
        <f t="shared" si="1"/>
        <v>21529.698227684905</v>
      </c>
      <c r="O22" s="814">
        <f t="shared" si="1"/>
        <v>0</v>
      </c>
      <c r="P22" s="814">
        <f t="shared" si="1"/>
        <v>0</v>
      </c>
      <c r="Q22" s="814">
        <f t="shared" si="1"/>
        <v>0</v>
      </c>
      <c r="R22" s="814">
        <f t="shared" si="1"/>
        <v>389362.37090054108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400.56295846722702</v>
      </c>
      <c r="D24" s="689">
        <f>+landbouw!C8</f>
        <v>0</v>
      </c>
      <c r="E24" s="689">
        <f>+landbouw!D8</f>
        <v>236.09963070353263</v>
      </c>
      <c r="F24" s="689">
        <f>+landbouw!E8</f>
        <v>14.938217955929776</v>
      </c>
      <c r="G24" s="689">
        <f>+landbouw!F8</f>
        <v>1299.5810208875935</v>
      </c>
      <c r="H24" s="689">
        <f>+landbouw!G8</f>
        <v>0</v>
      </c>
      <c r="I24" s="689">
        <f>+landbouw!H8</f>
        <v>0</v>
      </c>
      <c r="J24" s="689">
        <f>+landbouw!I8</f>
        <v>0</v>
      </c>
      <c r="K24" s="689">
        <f>+landbouw!J8</f>
        <v>105.14975413977419</v>
      </c>
      <c r="L24" s="689">
        <f>+landbouw!K8</f>
        <v>0</v>
      </c>
      <c r="M24" s="689">
        <f>+landbouw!L8</f>
        <v>0</v>
      </c>
      <c r="N24" s="689">
        <f>+landbouw!M8</f>
        <v>0</v>
      </c>
      <c r="O24" s="689">
        <f>+landbouw!N8</f>
        <v>0</v>
      </c>
      <c r="P24" s="689">
        <f>+landbouw!O8</f>
        <v>0</v>
      </c>
      <c r="Q24" s="690">
        <f>+landbouw!P8</f>
        <v>0</v>
      </c>
      <c r="R24" s="692">
        <f>SUM(C24:Q24)</f>
        <v>2056.3315821540573</v>
      </c>
      <c r="S24" s="67"/>
    </row>
    <row r="25" spans="1:19" s="451" customFormat="1" ht="15" thickBot="1">
      <c r="A25" s="833" t="s">
        <v>714</v>
      </c>
      <c r="B25" s="947"/>
      <c r="C25" s="948">
        <f>IF(Onbekend_ele_kWh="---",0,Onbekend_ele_kWh)/1000+IF(REST_rest_ele_kWh="---",0,REST_rest_ele_kWh)/1000</f>
        <v>2650.5479765630098</v>
      </c>
      <c r="D25" s="948"/>
      <c r="E25" s="948">
        <f>IF(onbekend_gas_kWh="---",0,onbekend_gas_kWh)/1000+IF(REST_rest_gas_kWh="---",0,REST_rest_gas_kWh)/1000</f>
        <v>10745.920592544398</v>
      </c>
      <c r="F25" s="948"/>
      <c r="G25" s="948"/>
      <c r="H25" s="948"/>
      <c r="I25" s="948"/>
      <c r="J25" s="948"/>
      <c r="K25" s="948"/>
      <c r="L25" s="948"/>
      <c r="M25" s="948"/>
      <c r="N25" s="948"/>
      <c r="O25" s="948"/>
      <c r="P25" s="948"/>
      <c r="Q25" s="949"/>
      <c r="R25" s="692">
        <f>SUM(C25:Q25)</f>
        <v>13396.468569107408</v>
      </c>
      <c r="S25" s="67"/>
    </row>
    <row r="26" spans="1:19" s="451" customFormat="1" ht="15.75" thickBot="1">
      <c r="A26" s="697" t="s">
        <v>715</v>
      </c>
      <c r="B26" s="819"/>
      <c r="C26" s="814">
        <f>SUM(C24:C25)</f>
        <v>3051.1109350302368</v>
      </c>
      <c r="D26" s="814">
        <f t="shared" ref="D26:R26" si="2">SUM(D24:D25)</f>
        <v>0</v>
      </c>
      <c r="E26" s="814">
        <f t="shared" si="2"/>
        <v>10982.020223247931</v>
      </c>
      <c r="F26" s="814">
        <f t="shared" si="2"/>
        <v>14.938217955929776</v>
      </c>
      <c r="G26" s="814">
        <f t="shared" si="2"/>
        <v>1299.5810208875935</v>
      </c>
      <c r="H26" s="814">
        <f t="shared" si="2"/>
        <v>0</v>
      </c>
      <c r="I26" s="814">
        <f t="shared" si="2"/>
        <v>0</v>
      </c>
      <c r="J26" s="814">
        <f t="shared" si="2"/>
        <v>0</v>
      </c>
      <c r="K26" s="814">
        <f t="shared" si="2"/>
        <v>105.14975413977419</v>
      </c>
      <c r="L26" s="814">
        <f t="shared" si="2"/>
        <v>0</v>
      </c>
      <c r="M26" s="814">
        <f t="shared" si="2"/>
        <v>0</v>
      </c>
      <c r="N26" s="814">
        <f t="shared" si="2"/>
        <v>0</v>
      </c>
      <c r="O26" s="814">
        <f t="shared" si="2"/>
        <v>0</v>
      </c>
      <c r="P26" s="814">
        <f t="shared" si="2"/>
        <v>0</v>
      </c>
      <c r="Q26" s="814">
        <f t="shared" si="2"/>
        <v>0</v>
      </c>
      <c r="R26" s="814">
        <f t="shared" si="2"/>
        <v>15452.800151261465</v>
      </c>
      <c r="S26" s="67"/>
    </row>
    <row r="27" spans="1:19" s="451" customFormat="1" ht="17.25" thickTop="1" thickBot="1">
      <c r="A27" s="698" t="s">
        <v>115</v>
      </c>
      <c r="B27" s="806"/>
      <c r="C27" s="699">
        <f ca="1">C22+C16+C26</f>
        <v>139647.19965902888</v>
      </c>
      <c r="D27" s="699">
        <f t="shared" ref="D27:R27" ca="1" si="3">D22+D16+D26</f>
        <v>0</v>
      </c>
      <c r="E27" s="699">
        <f t="shared" ca="1" si="3"/>
        <v>262395.94915979973</v>
      </c>
      <c r="F27" s="699">
        <f t="shared" si="3"/>
        <v>12721.401744008765</v>
      </c>
      <c r="G27" s="699">
        <f t="shared" ca="1" si="3"/>
        <v>40512.221998150533</v>
      </c>
      <c r="H27" s="699">
        <f t="shared" si="3"/>
        <v>294385.65775239863</v>
      </c>
      <c r="I27" s="699">
        <f t="shared" si="3"/>
        <v>71409.576867036856</v>
      </c>
      <c r="J27" s="699">
        <f t="shared" si="3"/>
        <v>0</v>
      </c>
      <c r="K27" s="699">
        <f t="shared" si="3"/>
        <v>108.83650784415993</v>
      </c>
      <c r="L27" s="699">
        <f t="shared" si="3"/>
        <v>0</v>
      </c>
      <c r="M27" s="699">
        <f t="shared" ca="1" si="3"/>
        <v>0</v>
      </c>
      <c r="N27" s="699">
        <f t="shared" si="3"/>
        <v>21529.698227684905</v>
      </c>
      <c r="O27" s="699">
        <f t="shared" ca="1" si="3"/>
        <v>13278.428670048581</v>
      </c>
      <c r="P27" s="699">
        <f t="shared" si="3"/>
        <v>390.71449965399245</v>
      </c>
      <c r="Q27" s="699">
        <f t="shared" si="3"/>
        <v>810.85355022788667</v>
      </c>
      <c r="R27" s="699">
        <f t="shared" ca="1" si="3"/>
        <v>857190.5386358829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14312.515031591887</v>
      </c>
      <c r="D40" s="689">
        <f ca="1">tertiair!C20</f>
        <v>0</v>
      </c>
      <c r="E40" s="689">
        <f ca="1">tertiair!D20</f>
        <v>13001.107111192699</v>
      </c>
      <c r="F40" s="689">
        <f>tertiair!E20</f>
        <v>51.23490565617751</v>
      </c>
      <c r="G40" s="689">
        <f ca="1">tertiair!F20</f>
        <v>2897.592950057282</v>
      </c>
      <c r="H40" s="689">
        <f>tertiair!G20</f>
        <v>0</v>
      </c>
      <c r="I40" s="689">
        <f>tertiair!H20</f>
        <v>0</v>
      </c>
      <c r="J40" s="689">
        <f>tertiair!I20</f>
        <v>0</v>
      </c>
      <c r="K40" s="689">
        <f>tertiair!J20</f>
        <v>3.1908750364038382E-2</v>
      </c>
      <c r="L40" s="689">
        <f>tertiair!K20</f>
        <v>0</v>
      </c>
      <c r="M40" s="689">
        <f ca="1">tertiair!L20</f>
        <v>0</v>
      </c>
      <c r="N40" s="689">
        <f>tertiair!M20</f>
        <v>0</v>
      </c>
      <c r="O40" s="689">
        <f ca="1">tertiair!N20</f>
        <v>0</v>
      </c>
      <c r="P40" s="689">
        <f>tertiair!O20</f>
        <v>0</v>
      </c>
      <c r="Q40" s="772">
        <f>tertiair!P20</f>
        <v>0</v>
      </c>
      <c r="R40" s="852">
        <f t="shared" ca="1" si="4"/>
        <v>30262.48190724841</v>
      </c>
    </row>
    <row r="41" spans="1:18">
      <c r="A41" s="824" t="s">
        <v>224</v>
      </c>
      <c r="B41" s="831"/>
      <c r="C41" s="689">
        <f ca="1">huishoudens!B12</f>
        <v>11833.836508018265</v>
      </c>
      <c r="D41" s="689">
        <f ca="1">huishoudens!C12</f>
        <v>0</v>
      </c>
      <c r="E41" s="689">
        <f>huishoudens!D12</f>
        <v>30235.94918023334</v>
      </c>
      <c r="F41" s="689">
        <f>huishoudens!E12</f>
        <v>2661.1132168037047</v>
      </c>
      <c r="G41" s="689">
        <f>huishoudens!F12</f>
        <v>7238.2105800241343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51969.109485079447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1840.8518135841146</v>
      </c>
      <c r="D43" s="689">
        <f ca="1">industrie!C22</f>
        <v>0</v>
      </c>
      <c r="E43" s="689">
        <f>industrie!D22</f>
        <v>7328.217575749054</v>
      </c>
      <c r="F43" s="689">
        <f>industrie!E22</f>
        <v>18.862661578047714</v>
      </c>
      <c r="G43" s="689">
        <f>industrie!F22</f>
        <v>333.97161084778963</v>
      </c>
      <c r="H43" s="689">
        <f>industrie!G22</f>
        <v>0</v>
      </c>
      <c r="I43" s="689">
        <f>industrie!H22</f>
        <v>0</v>
      </c>
      <c r="J43" s="689">
        <f>industrie!I22</f>
        <v>0</v>
      </c>
      <c r="K43" s="689">
        <f>industrie!J22</f>
        <v>1.2732020609885115</v>
      </c>
      <c r="L43" s="689">
        <f>industrie!K22</f>
        <v>0</v>
      </c>
      <c r="M43" s="689">
        <f>industrie!L22</f>
        <v>0</v>
      </c>
      <c r="N43" s="689">
        <f>industrie!M22</f>
        <v>0</v>
      </c>
      <c r="O43" s="689">
        <f>industrie!N22</f>
        <v>0</v>
      </c>
      <c r="P43" s="689">
        <f>industrie!O22</f>
        <v>0</v>
      </c>
      <c r="Q43" s="772">
        <f>industrie!P22</f>
        <v>0</v>
      </c>
      <c r="R43" s="851">
        <f t="shared" ca="1" si="4"/>
        <v>9523.1768638199956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27987.203353194265</v>
      </c>
      <c r="D46" s="725">
        <f t="shared" ref="D46:Q46" ca="1" si="5">SUM(D39:D45)</f>
        <v>0</v>
      </c>
      <c r="E46" s="725">
        <f t="shared" ca="1" si="5"/>
        <v>50565.273867175092</v>
      </c>
      <c r="F46" s="725">
        <f t="shared" si="5"/>
        <v>2731.2107840379299</v>
      </c>
      <c r="G46" s="725">
        <f t="shared" ca="1" si="5"/>
        <v>10469.775140929205</v>
      </c>
      <c r="H46" s="725">
        <f t="shared" si="5"/>
        <v>0</v>
      </c>
      <c r="I46" s="725">
        <f t="shared" si="5"/>
        <v>0</v>
      </c>
      <c r="J46" s="725">
        <f t="shared" si="5"/>
        <v>0</v>
      </c>
      <c r="K46" s="725">
        <f t="shared" si="5"/>
        <v>1.3051108113525498</v>
      </c>
      <c r="L46" s="725">
        <f t="shared" si="5"/>
        <v>0</v>
      </c>
      <c r="M46" s="725">
        <f t="shared" ca="1" si="5"/>
        <v>0</v>
      </c>
      <c r="N46" s="725">
        <f t="shared" si="5"/>
        <v>0</v>
      </c>
      <c r="O46" s="725">
        <f t="shared" ca="1" si="5"/>
        <v>0</v>
      </c>
      <c r="P46" s="725">
        <f t="shared" si="5"/>
        <v>0</v>
      </c>
      <c r="Q46" s="725">
        <f t="shared" si="5"/>
        <v>0</v>
      </c>
      <c r="R46" s="725">
        <f ca="1">SUM(R39:R45)</f>
        <v>91754.768256147858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1149.5431378348358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1149.5431378348358</v>
      </c>
    </row>
    <row r="50" spans="1:18">
      <c r="A50" s="827" t="s">
        <v>306</v>
      </c>
      <c r="B50" s="837"/>
      <c r="C50" s="695">
        <f ca="1">transport!B18</f>
        <v>55.830869142101101</v>
      </c>
      <c r="D50" s="695">
        <f>transport!C18</f>
        <v>0</v>
      </c>
      <c r="E50" s="695">
        <f>transport!D18</f>
        <v>220.33977800837155</v>
      </c>
      <c r="F50" s="695">
        <f>transport!E18</f>
        <v>153.15643637606377</v>
      </c>
      <c r="G50" s="695">
        <f>transport!F18</f>
        <v>0</v>
      </c>
      <c r="H50" s="695">
        <f>transport!G18</f>
        <v>77451.427482055617</v>
      </c>
      <c r="I50" s="695">
        <f>transport!H18</f>
        <v>17780.984639892176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95661.73920547434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55.830869142101101</v>
      </c>
      <c r="D52" s="725">
        <f t="shared" ref="D52:Q52" ca="1" si="6">SUM(D48:D51)</f>
        <v>0</v>
      </c>
      <c r="E52" s="725">
        <f t="shared" si="6"/>
        <v>220.33977800837155</v>
      </c>
      <c r="F52" s="725">
        <f t="shared" si="6"/>
        <v>153.15643637606377</v>
      </c>
      <c r="G52" s="725">
        <f t="shared" si="6"/>
        <v>0</v>
      </c>
      <c r="H52" s="725">
        <f t="shared" si="6"/>
        <v>78600.970619890446</v>
      </c>
      <c r="I52" s="725">
        <f t="shared" si="6"/>
        <v>17780.984639892176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96811.282343309169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82.235156639029142</v>
      </c>
      <c r="D54" s="695">
        <f ca="1">+landbouw!C12</f>
        <v>0</v>
      </c>
      <c r="E54" s="695">
        <f>+landbouw!D12</f>
        <v>47.692125402113597</v>
      </c>
      <c r="F54" s="695">
        <f>+landbouw!E12</f>
        <v>3.3909754759960591</v>
      </c>
      <c r="G54" s="695">
        <f>+landbouw!F12</f>
        <v>346.98813257698748</v>
      </c>
      <c r="H54" s="695">
        <f>+landbouw!G12</f>
        <v>0</v>
      </c>
      <c r="I54" s="695">
        <f>+landbouw!H12</f>
        <v>0</v>
      </c>
      <c r="J54" s="695">
        <f>+landbouw!I12</f>
        <v>0</v>
      </c>
      <c r="K54" s="695">
        <f>+landbouw!J12</f>
        <v>37.223012965480059</v>
      </c>
      <c r="L54" s="695">
        <f>+landbouw!K12</f>
        <v>0</v>
      </c>
      <c r="M54" s="695">
        <f>+landbouw!L12</f>
        <v>0</v>
      </c>
      <c r="N54" s="695">
        <f>+landbouw!M12</f>
        <v>0</v>
      </c>
      <c r="O54" s="695">
        <f>+landbouw!N12</f>
        <v>0</v>
      </c>
      <c r="P54" s="695">
        <f>+landbouw!O12</f>
        <v>0</v>
      </c>
      <c r="Q54" s="696">
        <f>+landbouw!P12</f>
        <v>0</v>
      </c>
      <c r="R54" s="724">
        <f ca="1">SUM(C54:Q54)</f>
        <v>517.52940305960635</v>
      </c>
    </row>
    <row r="55" spans="1:18" ht="15" thickBot="1">
      <c r="A55" s="827" t="s">
        <v>714</v>
      </c>
      <c r="B55" s="837"/>
      <c r="C55" s="695">
        <f ca="1">C25*'EF ele_warmte'!B12</f>
        <v>544.15472879965364</v>
      </c>
      <c r="D55" s="695"/>
      <c r="E55" s="695">
        <f>E25*EF_CO2_aardgas</f>
        <v>2170.6759596939687</v>
      </c>
      <c r="F55" s="695"/>
      <c r="G55" s="695"/>
      <c r="H55" s="695"/>
      <c r="I55" s="695"/>
      <c r="J55" s="695"/>
      <c r="K55" s="695"/>
      <c r="L55" s="695"/>
      <c r="M55" s="695"/>
      <c r="N55" s="695"/>
      <c r="O55" s="695"/>
      <c r="P55" s="695"/>
      <c r="Q55" s="696"/>
      <c r="R55" s="724">
        <f ca="1">SUM(C55:Q55)</f>
        <v>2714.8306884936223</v>
      </c>
    </row>
    <row r="56" spans="1:18" ht="15.75" thickBot="1">
      <c r="A56" s="825" t="s">
        <v>715</v>
      </c>
      <c r="B56" s="838"/>
      <c r="C56" s="725">
        <f ca="1">SUM(C54:C55)</f>
        <v>626.38988543868277</v>
      </c>
      <c r="D56" s="725">
        <f t="shared" ref="D56:Q56" ca="1" si="7">SUM(D54:D55)</f>
        <v>0</v>
      </c>
      <c r="E56" s="725">
        <f t="shared" si="7"/>
        <v>2218.3680850960823</v>
      </c>
      <c r="F56" s="725">
        <f t="shared" si="7"/>
        <v>3.3909754759960591</v>
      </c>
      <c r="G56" s="725">
        <f t="shared" si="7"/>
        <v>346.98813257698748</v>
      </c>
      <c r="H56" s="725">
        <f t="shared" si="7"/>
        <v>0</v>
      </c>
      <c r="I56" s="725">
        <f t="shared" si="7"/>
        <v>0</v>
      </c>
      <c r="J56" s="725">
        <f t="shared" si="7"/>
        <v>0</v>
      </c>
      <c r="K56" s="725">
        <f t="shared" si="7"/>
        <v>37.223012965480059</v>
      </c>
      <c r="L56" s="725">
        <f t="shared" si="7"/>
        <v>0</v>
      </c>
      <c r="M56" s="725">
        <f t="shared" si="7"/>
        <v>0</v>
      </c>
      <c r="N56" s="725">
        <f t="shared" si="7"/>
        <v>0</v>
      </c>
      <c r="O56" s="725">
        <f t="shared" si="7"/>
        <v>0</v>
      </c>
      <c r="P56" s="725">
        <f t="shared" si="7"/>
        <v>0</v>
      </c>
      <c r="Q56" s="726">
        <f t="shared" si="7"/>
        <v>0</v>
      </c>
      <c r="R56" s="727">
        <f ca="1">SUM(R54:R55)</f>
        <v>3232.3600915532288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28669.424107775048</v>
      </c>
      <c r="D61" s="733">
        <f t="shared" ref="D61:Q61" ca="1" si="8">D46+D52+D56</f>
        <v>0</v>
      </c>
      <c r="E61" s="733">
        <f t="shared" ca="1" si="8"/>
        <v>53003.981730279542</v>
      </c>
      <c r="F61" s="733">
        <f t="shared" si="8"/>
        <v>2887.75819588999</v>
      </c>
      <c r="G61" s="733">
        <f t="shared" ca="1" si="8"/>
        <v>10816.763273506192</v>
      </c>
      <c r="H61" s="733">
        <f t="shared" si="8"/>
        <v>78600.970619890446</v>
      </c>
      <c r="I61" s="733">
        <f t="shared" si="8"/>
        <v>17780.984639892176</v>
      </c>
      <c r="J61" s="733">
        <f t="shared" si="8"/>
        <v>0</v>
      </c>
      <c r="K61" s="733">
        <f t="shared" si="8"/>
        <v>38.528123776832608</v>
      </c>
      <c r="L61" s="733">
        <f t="shared" si="8"/>
        <v>0</v>
      </c>
      <c r="M61" s="733">
        <f t="shared" ca="1" si="8"/>
        <v>0</v>
      </c>
      <c r="N61" s="733">
        <f t="shared" si="8"/>
        <v>0</v>
      </c>
      <c r="O61" s="733">
        <f t="shared" ca="1" si="8"/>
        <v>0</v>
      </c>
      <c r="P61" s="733">
        <f t="shared" si="8"/>
        <v>0</v>
      </c>
      <c r="Q61" s="733">
        <f t="shared" si="8"/>
        <v>0</v>
      </c>
      <c r="R61" s="733">
        <f ca="1">R46+R52+R56</f>
        <v>191798.41069101024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0.20529895463551051</v>
      </c>
      <c r="D63" s="779">
        <f t="shared" ca="1" si="9"/>
        <v>0</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9921.2987188702518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9921.2987188702518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9921.2987188702518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9921.2987188702518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57641.97157763494</v>
      </c>
      <c r="C4" s="455">
        <f>huishoudens!C8</f>
        <v>0</v>
      </c>
      <c r="D4" s="455">
        <f>huishoudens!D8</f>
        <v>149682.9167338284</v>
      </c>
      <c r="E4" s="455">
        <f>huishoudens!E8</f>
        <v>11722.965712791651</v>
      </c>
      <c r="F4" s="455">
        <f>huishoudens!F8</f>
        <v>27109.402921438705</v>
      </c>
      <c r="G4" s="455">
        <f>huishoudens!G8</f>
        <v>0</v>
      </c>
      <c r="H4" s="455">
        <f>huishoudens!H8</f>
        <v>0</v>
      </c>
      <c r="I4" s="455">
        <f>huishoudens!I8</f>
        <v>0</v>
      </c>
      <c r="J4" s="455">
        <f>huishoudens!J8</f>
        <v>0</v>
      </c>
      <c r="K4" s="455">
        <f>huishoudens!K8</f>
        <v>0</v>
      </c>
      <c r="L4" s="455">
        <f>huishoudens!L8</f>
        <v>0</v>
      </c>
      <c r="M4" s="455">
        <f>huishoudens!M8</f>
        <v>0</v>
      </c>
      <c r="N4" s="455">
        <f>huishoudens!N8</f>
        <v>9465.2700983515788</v>
      </c>
      <c r="O4" s="455">
        <f>huishoudens!O8</f>
        <v>380.91997812231011</v>
      </c>
      <c r="P4" s="456">
        <f>huishoudens!P8</f>
        <v>705.77527361489661</v>
      </c>
      <c r="Q4" s="457">
        <f>SUM(B4:P4)</f>
        <v>256709.2222957825</v>
      </c>
    </row>
    <row r="5" spans="1:17">
      <c r="A5" s="454" t="s">
        <v>155</v>
      </c>
      <c r="B5" s="455">
        <f ca="1">tertiair!B16</f>
        <v>66605.936345729948</v>
      </c>
      <c r="C5" s="455">
        <f ca="1">tertiair!C16</f>
        <v>0</v>
      </c>
      <c r="D5" s="455">
        <f ca="1">tertiair!D16</f>
        <v>64361.916392043058</v>
      </c>
      <c r="E5" s="455">
        <f>tertiair!E16</f>
        <v>225.70443020342515</v>
      </c>
      <c r="F5" s="455">
        <f ca="1">tertiair!F16</f>
        <v>10852.408052648996</v>
      </c>
      <c r="G5" s="455">
        <f>tertiair!G16</f>
        <v>0</v>
      </c>
      <c r="H5" s="455">
        <f>tertiair!H16</f>
        <v>0</v>
      </c>
      <c r="I5" s="455">
        <f>tertiair!I16</f>
        <v>0</v>
      </c>
      <c r="J5" s="455">
        <f>tertiair!J16</f>
        <v>9.0137712892763802E-2</v>
      </c>
      <c r="K5" s="455">
        <f>tertiair!K16</f>
        <v>0</v>
      </c>
      <c r="L5" s="455">
        <f ca="1">tertiair!L16</f>
        <v>0</v>
      </c>
      <c r="M5" s="455">
        <f>tertiair!M16</f>
        <v>0</v>
      </c>
      <c r="N5" s="455">
        <f ca="1">tertiair!N16</f>
        <v>3307.8201253975922</v>
      </c>
      <c r="O5" s="455">
        <f>tertiair!O16</f>
        <v>9.7945215316823084</v>
      </c>
      <c r="P5" s="456">
        <f>tertiair!P16</f>
        <v>105.07827661299004</v>
      </c>
      <c r="Q5" s="454">
        <f t="shared" ref="Q5:Q14" ca="1" si="0">SUM(B5:P5)</f>
        <v>145468.74828188057</v>
      </c>
    </row>
    <row r="6" spans="1:17">
      <c r="A6" s="454" t="s">
        <v>193</v>
      </c>
      <c r="B6" s="455">
        <f>'openbare verlichting'!B8</f>
        <v>3109.5430000000001</v>
      </c>
      <c r="C6" s="455"/>
      <c r="D6" s="455"/>
      <c r="E6" s="455"/>
      <c r="F6" s="455"/>
      <c r="G6" s="455"/>
      <c r="H6" s="455"/>
      <c r="I6" s="455"/>
      <c r="J6" s="455"/>
      <c r="K6" s="455"/>
      <c r="L6" s="455"/>
      <c r="M6" s="455"/>
      <c r="N6" s="455"/>
      <c r="O6" s="455"/>
      <c r="P6" s="456"/>
      <c r="Q6" s="454">
        <f t="shared" si="0"/>
        <v>3109.5430000000001</v>
      </c>
    </row>
    <row r="7" spans="1:17">
      <c r="A7" s="454" t="s">
        <v>111</v>
      </c>
      <c r="B7" s="455">
        <f>landbouw!B8</f>
        <v>400.56295846722702</v>
      </c>
      <c r="C7" s="455">
        <f>landbouw!C8</f>
        <v>0</v>
      </c>
      <c r="D7" s="455">
        <f>landbouw!D8</f>
        <v>236.09963070353263</v>
      </c>
      <c r="E7" s="455">
        <f>landbouw!E8</f>
        <v>14.938217955929776</v>
      </c>
      <c r="F7" s="455">
        <f>landbouw!F8</f>
        <v>1299.5810208875935</v>
      </c>
      <c r="G7" s="455">
        <f>landbouw!G8</f>
        <v>0</v>
      </c>
      <c r="H7" s="455">
        <f>landbouw!H8</f>
        <v>0</v>
      </c>
      <c r="I7" s="455">
        <f>landbouw!I8</f>
        <v>0</v>
      </c>
      <c r="J7" s="455">
        <f>landbouw!J8</f>
        <v>105.14975413977419</v>
      </c>
      <c r="K7" s="455">
        <f>landbouw!K8</f>
        <v>0</v>
      </c>
      <c r="L7" s="455">
        <f>landbouw!L8</f>
        <v>0</v>
      </c>
      <c r="M7" s="455">
        <f>landbouw!M8</f>
        <v>0</v>
      </c>
      <c r="N7" s="455">
        <f>landbouw!N8</f>
        <v>0</v>
      </c>
      <c r="O7" s="455">
        <f>landbouw!O8</f>
        <v>0</v>
      </c>
      <c r="P7" s="456">
        <f>landbouw!P8</f>
        <v>0</v>
      </c>
      <c r="Q7" s="454">
        <f t="shared" si="0"/>
        <v>2056.3315821540573</v>
      </c>
    </row>
    <row r="8" spans="1:17">
      <c r="A8" s="454" t="s">
        <v>626</v>
      </c>
      <c r="B8" s="455">
        <f>industrie!B18</f>
        <v>8966.6886850562769</v>
      </c>
      <c r="C8" s="455">
        <f>industrie!C18</f>
        <v>0</v>
      </c>
      <c r="D8" s="455">
        <f>industrie!D18</f>
        <v>36278.304830440858</v>
      </c>
      <c r="E8" s="455">
        <f>industrie!E18</f>
        <v>83.095425453954689</v>
      </c>
      <c r="F8" s="455">
        <f>industrie!F18</f>
        <v>1250.8300031752419</v>
      </c>
      <c r="G8" s="455">
        <f>industrie!G18</f>
        <v>0</v>
      </c>
      <c r="H8" s="455">
        <f>industrie!H18</f>
        <v>0</v>
      </c>
      <c r="I8" s="455">
        <f>industrie!I18</f>
        <v>0</v>
      </c>
      <c r="J8" s="455">
        <f>industrie!J18</f>
        <v>3.5966159914929707</v>
      </c>
      <c r="K8" s="455">
        <f>industrie!K18</f>
        <v>0</v>
      </c>
      <c r="L8" s="455">
        <f>industrie!L18</f>
        <v>0</v>
      </c>
      <c r="M8" s="455">
        <f>industrie!M18</f>
        <v>0</v>
      </c>
      <c r="N8" s="455">
        <f>industrie!N18</f>
        <v>505.33844629940842</v>
      </c>
      <c r="O8" s="455">
        <f>industrie!O18</f>
        <v>0</v>
      </c>
      <c r="P8" s="456">
        <f>industrie!P18</f>
        <v>0</v>
      </c>
      <c r="Q8" s="454">
        <f t="shared" si="0"/>
        <v>47087.854006417227</v>
      </c>
    </row>
    <row r="9" spans="1:17" s="460" customFormat="1">
      <c r="A9" s="458" t="s">
        <v>552</v>
      </c>
      <c r="B9" s="459">
        <f>transport!B14</f>
        <v>271.94911557744501</v>
      </c>
      <c r="C9" s="459">
        <f>transport!C14</f>
        <v>0</v>
      </c>
      <c r="D9" s="459">
        <f>transport!D14</f>
        <v>1090.7909802394631</v>
      </c>
      <c r="E9" s="459">
        <f>transport!E14</f>
        <v>674.69795760380509</v>
      </c>
      <c r="F9" s="459">
        <f>transport!F14</f>
        <v>0</v>
      </c>
      <c r="G9" s="459">
        <f>transport!G14</f>
        <v>290080.2527417813</v>
      </c>
      <c r="H9" s="459">
        <f>transport!H14</f>
        <v>71409.576867036856</v>
      </c>
      <c r="I9" s="459">
        <f>transport!I14</f>
        <v>0</v>
      </c>
      <c r="J9" s="459">
        <f>transport!J14</f>
        <v>0</v>
      </c>
      <c r="K9" s="459">
        <f>transport!K14</f>
        <v>0</v>
      </c>
      <c r="L9" s="459">
        <f>transport!L14</f>
        <v>0</v>
      </c>
      <c r="M9" s="459">
        <f>transport!M14</f>
        <v>21296.062429994185</v>
      </c>
      <c r="N9" s="459">
        <f>transport!N14</f>
        <v>0</v>
      </c>
      <c r="O9" s="459">
        <f>transport!O14</f>
        <v>0</v>
      </c>
      <c r="P9" s="459">
        <f>transport!P14</f>
        <v>0</v>
      </c>
      <c r="Q9" s="458">
        <f>SUM(B9:P9)</f>
        <v>384823.33009223302</v>
      </c>
    </row>
    <row r="10" spans="1:17">
      <c r="A10" s="454" t="s">
        <v>542</v>
      </c>
      <c r="B10" s="455">
        <f>transport!B54</f>
        <v>0</v>
      </c>
      <c r="C10" s="455">
        <f>transport!C54</f>
        <v>0</v>
      </c>
      <c r="D10" s="455">
        <f>transport!D54</f>
        <v>0</v>
      </c>
      <c r="E10" s="455">
        <f>transport!E54</f>
        <v>0</v>
      </c>
      <c r="F10" s="455">
        <f>transport!F54</f>
        <v>0</v>
      </c>
      <c r="G10" s="455">
        <f>transport!G54</f>
        <v>4305.4050106173618</v>
      </c>
      <c r="H10" s="455">
        <f>transport!H54</f>
        <v>0</v>
      </c>
      <c r="I10" s="455">
        <f>transport!I54</f>
        <v>0</v>
      </c>
      <c r="J10" s="455">
        <f>transport!J54</f>
        <v>0</v>
      </c>
      <c r="K10" s="455">
        <f>transport!K54</f>
        <v>0</v>
      </c>
      <c r="L10" s="455">
        <f>transport!L54</f>
        <v>0</v>
      </c>
      <c r="M10" s="455">
        <f>transport!M54</f>
        <v>233.63579769072058</v>
      </c>
      <c r="N10" s="455">
        <f>transport!N54</f>
        <v>0</v>
      </c>
      <c r="O10" s="455">
        <f>transport!O54</f>
        <v>0</v>
      </c>
      <c r="P10" s="456">
        <f>transport!P54</f>
        <v>0</v>
      </c>
      <c r="Q10" s="454">
        <f t="shared" si="0"/>
        <v>4539.040808308082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2650.5479765630098</v>
      </c>
      <c r="C14" s="462"/>
      <c r="D14" s="462">
        <f>'SEAP template'!E25</f>
        <v>10745.920592544398</v>
      </c>
      <c r="E14" s="462"/>
      <c r="F14" s="462"/>
      <c r="G14" s="462"/>
      <c r="H14" s="462"/>
      <c r="I14" s="462"/>
      <c r="J14" s="462"/>
      <c r="K14" s="462"/>
      <c r="L14" s="462"/>
      <c r="M14" s="462"/>
      <c r="N14" s="462"/>
      <c r="O14" s="462"/>
      <c r="P14" s="463"/>
      <c r="Q14" s="454">
        <f t="shared" si="0"/>
        <v>13396.468569107408</v>
      </c>
    </row>
    <row r="15" spans="1:17" s="466" customFormat="1">
      <c r="A15" s="464" t="s">
        <v>546</v>
      </c>
      <c r="B15" s="465">
        <f ca="1">SUM(B4:B14)</f>
        <v>139647.19965902888</v>
      </c>
      <c r="C15" s="465">
        <f t="shared" ref="C15:Q15" ca="1" si="1">SUM(C4:C14)</f>
        <v>0</v>
      </c>
      <c r="D15" s="465">
        <f t="shared" ca="1" si="1"/>
        <v>262395.94915979973</v>
      </c>
      <c r="E15" s="465">
        <f t="shared" si="1"/>
        <v>12721.401744008765</v>
      </c>
      <c r="F15" s="465">
        <f t="shared" ca="1" si="1"/>
        <v>40512.221998150533</v>
      </c>
      <c r="G15" s="465">
        <f t="shared" si="1"/>
        <v>294385.65775239863</v>
      </c>
      <c r="H15" s="465">
        <f t="shared" si="1"/>
        <v>71409.576867036856</v>
      </c>
      <c r="I15" s="465">
        <f t="shared" si="1"/>
        <v>0</v>
      </c>
      <c r="J15" s="465">
        <f t="shared" si="1"/>
        <v>108.83650784415993</v>
      </c>
      <c r="K15" s="465">
        <f t="shared" si="1"/>
        <v>0</v>
      </c>
      <c r="L15" s="465">
        <f t="shared" ca="1" si="1"/>
        <v>0</v>
      </c>
      <c r="M15" s="465">
        <f t="shared" si="1"/>
        <v>21529.698227684905</v>
      </c>
      <c r="N15" s="465">
        <f t="shared" ca="1" si="1"/>
        <v>13278.428670048581</v>
      </c>
      <c r="O15" s="465">
        <f t="shared" si="1"/>
        <v>390.71449965399245</v>
      </c>
      <c r="P15" s="465">
        <f t="shared" si="1"/>
        <v>810.85355022788667</v>
      </c>
      <c r="Q15" s="465">
        <f t="shared" ca="1" si="1"/>
        <v>857190.53863588267</v>
      </c>
    </row>
    <row r="17" spans="1:17">
      <c r="A17" s="467" t="s">
        <v>547</v>
      </c>
      <c r="B17" s="784">
        <f ca="1">huishoudens!B10</f>
        <v>0.20529895463551057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11833.836508018265</v>
      </c>
      <c r="C22" s="455">
        <f t="shared" ref="C22:C32" ca="1" si="3">C4*$C$17</f>
        <v>0</v>
      </c>
      <c r="D22" s="455">
        <f t="shared" ref="D22:D32" si="4">D4*$D$17</f>
        <v>30235.94918023334</v>
      </c>
      <c r="E22" s="455">
        <f t="shared" ref="E22:E32" si="5">E4*$E$17</f>
        <v>2661.1132168037047</v>
      </c>
      <c r="F22" s="455">
        <f t="shared" ref="F22:F32" si="6">F4*$F$17</f>
        <v>7238.2105800241343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51969.109485079447</v>
      </c>
    </row>
    <row r="23" spans="1:17">
      <c r="A23" s="454" t="s">
        <v>155</v>
      </c>
      <c r="B23" s="455">
        <f t="shared" ca="1" si="2"/>
        <v>13674.129104297717</v>
      </c>
      <c r="C23" s="455">
        <f t="shared" ca="1" si="3"/>
        <v>0</v>
      </c>
      <c r="D23" s="455">
        <f t="shared" ca="1" si="4"/>
        <v>13001.107111192699</v>
      </c>
      <c r="E23" s="455">
        <f t="shared" si="5"/>
        <v>51.23490565617751</v>
      </c>
      <c r="F23" s="455">
        <f t="shared" ca="1" si="6"/>
        <v>2897.592950057282</v>
      </c>
      <c r="G23" s="455">
        <f t="shared" si="7"/>
        <v>0</v>
      </c>
      <c r="H23" s="455">
        <f t="shared" si="8"/>
        <v>0</v>
      </c>
      <c r="I23" s="455">
        <f t="shared" si="9"/>
        <v>0</v>
      </c>
      <c r="J23" s="455">
        <f t="shared" si="10"/>
        <v>3.1908750364038382E-2</v>
      </c>
      <c r="K23" s="455">
        <f t="shared" si="11"/>
        <v>0</v>
      </c>
      <c r="L23" s="455">
        <f t="shared" ca="1" si="12"/>
        <v>0</v>
      </c>
      <c r="M23" s="455">
        <f t="shared" si="13"/>
        <v>0</v>
      </c>
      <c r="N23" s="455">
        <f t="shared" ca="1" si="14"/>
        <v>0</v>
      </c>
      <c r="O23" s="455">
        <f t="shared" si="15"/>
        <v>0</v>
      </c>
      <c r="P23" s="456">
        <f t="shared" si="16"/>
        <v>0</v>
      </c>
      <c r="Q23" s="454">
        <f t="shared" ref="Q23:Q31" ca="1" si="17">SUM(B23:P23)</f>
        <v>29624.09597995424</v>
      </c>
    </row>
    <row r="24" spans="1:17">
      <c r="A24" s="454" t="s">
        <v>193</v>
      </c>
      <c r="B24" s="455">
        <f t="shared" ca="1" si="2"/>
        <v>638.38592729416951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638.38592729416951</v>
      </c>
    </row>
    <row r="25" spans="1:17">
      <c r="A25" s="454" t="s">
        <v>111</v>
      </c>
      <c r="B25" s="455">
        <f t="shared" ca="1" si="2"/>
        <v>82.235156639029142</v>
      </c>
      <c r="C25" s="455">
        <f t="shared" ca="1" si="3"/>
        <v>0</v>
      </c>
      <c r="D25" s="455">
        <f t="shared" si="4"/>
        <v>47.692125402113597</v>
      </c>
      <c r="E25" s="455">
        <f t="shared" si="5"/>
        <v>3.3909754759960591</v>
      </c>
      <c r="F25" s="455">
        <f t="shared" si="6"/>
        <v>346.98813257698748</v>
      </c>
      <c r="G25" s="455">
        <f t="shared" si="7"/>
        <v>0</v>
      </c>
      <c r="H25" s="455">
        <f t="shared" si="8"/>
        <v>0</v>
      </c>
      <c r="I25" s="455">
        <f t="shared" si="9"/>
        <v>0</v>
      </c>
      <c r="J25" s="455">
        <f t="shared" si="10"/>
        <v>37.223012965480059</v>
      </c>
      <c r="K25" s="455">
        <f t="shared" si="11"/>
        <v>0</v>
      </c>
      <c r="L25" s="455">
        <f t="shared" si="12"/>
        <v>0</v>
      </c>
      <c r="M25" s="455">
        <f t="shared" si="13"/>
        <v>0</v>
      </c>
      <c r="N25" s="455">
        <f t="shared" si="14"/>
        <v>0</v>
      </c>
      <c r="O25" s="455">
        <f t="shared" si="15"/>
        <v>0</v>
      </c>
      <c r="P25" s="456">
        <f t="shared" si="16"/>
        <v>0</v>
      </c>
      <c r="Q25" s="454">
        <f t="shared" ca="1" si="17"/>
        <v>517.52940305960635</v>
      </c>
    </row>
    <row r="26" spans="1:17">
      <c r="A26" s="454" t="s">
        <v>626</v>
      </c>
      <c r="B26" s="455">
        <f t="shared" ca="1" si="2"/>
        <v>1840.8518135841146</v>
      </c>
      <c r="C26" s="455">
        <f t="shared" ca="1" si="3"/>
        <v>0</v>
      </c>
      <c r="D26" s="455">
        <f t="shared" si="4"/>
        <v>7328.217575749054</v>
      </c>
      <c r="E26" s="455">
        <f t="shared" si="5"/>
        <v>18.862661578047714</v>
      </c>
      <c r="F26" s="455">
        <f t="shared" si="6"/>
        <v>333.97161084778963</v>
      </c>
      <c r="G26" s="455">
        <f t="shared" si="7"/>
        <v>0</v>
      </c>
      <c r="H26" s="455">
        <f t="shared" si="8"/>
        <v>0</v>
      </c>
      <c r="I26" s="455">
        <f t="shared" si="9"/>
        <v>0</v>
      </c>
      <c r="J26" s="455">
        <f t="shared" si="10"/>
        <v>1.2732020609885115</v>
      </c>
      <c r="K26" s="455">
        <f t="shared" si="11"/>
        <v>0</v>
      </c>
      <c r="L26" s="455">
        <f t="shared" si="12"/>
        <v>0</v>
      </c>
      <c r="M26" s="455">
        <f t="shared" si="13"/>
        <v>0</v>
      </c>
      <c r="N26" s="455">
        <f t="shared" si="14"/>
        <v>0</v>
      </c>
      <c r="O26" s="455">
        <f t="shared" si="15"/>
        <v>0</v>
      </c>
      <c r="P26" s="456">
        <f t="shared" si="16"/>
        <v>0</v>
      </c>
      <c r="Q26" s="454">
        <f t="shared" ca="1" si="17"/>
        <v>9523.1768638199956</v>
      </c>
    </row>
    <row r="27" spans="1:17" s="460" customFormat="1">
      <c r="A27" s="458" t="s">
        <v>552</v>
      </c>
      <c r="B27" s="778">
        <f t="shared" ca="1" si="2"/>
        <v>55.830869142101101</v>
      </c>
      <c r="C27" s="459">
        <f t="shared" ca="1" si="3"/>
        <v>0</v>
      </c>
      <c r="D27" s="459">
        <f t="shared" si="4"/>
        <v>220.33977800837155</v>
      </c>
      <c r="E27" s="459">
        <f t="shared" si="5"/>
        <v>153.15643637606377</v>
      </c>
      <c r="F27" s="459">
        <f t="shared" si="6"/>
        <v>0</v>
      </c>
      <c r="G27" s="459">
        <f t="shared" si="7"/>
        <v>77451.427482055617</v>
      </c>
      <c r="H27" s="459">
        <f t="shared" si="8"/>
        <v>17780.984639892176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95661.73920547434</v>
      </c>
    </row>
    <row r="28" spans="1:17" ht="16.5" customHeight="1">
      <c r="A28" s="454" t="s">
        <v>542</v>
      </c>
      <c r="B28" s="455">
        <f t="shared" ca="1" si="2"/>
        <v>0</v>
      </c>
      <c r="C28" s="455">
        <f t="shared" ca="1" si="3"/>
        <v>0</v>
      </c>
      <c r="D28" s="455">
        <f t="shared" si="4"/>
        <v>0</v>
      </c>
      <c r="E28" s="455">
        <f t="shared" si="5"/>
        <v>0</v>
      </c>
      <c r="F28" s="455">
        <f t="shared" si="6"/>
        <v>0</v>
      </c>
      <c r="G28" s="455">
        <f t="shared" si="7"/>
        <v>1149.5431378348358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1149.5431378348358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544.15472879965364</v>
      </c>
      <c r="C32" s="455">
        <f t="shared" ca="1" si="3"/>
        <v>0</v>
      </c>
      <c r="D32" s="455">
        <f t="shared" si="4"/>
        <v>2170.6759596939687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2714.8306884936223</v>
      </c>
    </row>
    <row r="33" spans="1:17" s="466" customFormat="1">
      <c r="A33" s="464" t="s">
        <v>546</v>
      </c>
      <c r="B33" s="465">
        <f ca="1">SUM(B22:B32)</f>
        <v>28669.424107775048</v>
      </c>
      <c r="C33" s="465">
        <f t="shared" ref="C33:Q33" ca="1" si="19">SUM(C22:C32)</f>
        <v>0</v>
      </c>
      <c r="D33" s="465">
        <f t="shared" ca="1" si="19"/>
        <v>53003.981730279542</v>
      </c>
      <c r="E33" s="465">
        <f t="shared" si="19"/>
        <v>2887.75819588999</v>
      </c>
      <c r="F33" s="465">
        <f t="shared" ca="1" si="19"/>
        <v>10816.763273506192</v>
      </c>
      <c r="G33" s="465">
        <f t="shared" si="19"/>
        <v>78600.970619890446</v>
      </c>
      <c r="H33" s="465">
        <f t="shared" si="19"/>
        <v>17780.984639892176</v>
      </c>
      <c r="I33" s="465">
        <f t="shared" si="19"/>
        <v>0</v>
      </c>
      <c r="J33" s="465">
        <f t="shared" si="19"/>
        <v>38.528123776832608</v>
      </c>
      <c r="K33" s="465">
        <f t="shared" si="19"/>
        <v>0</v>
      </c>
      <c r="L33" s="465">
        <f t="shared" ca="1" si="19"/>
        <v>0</v>
      </c>
      <c r="M33" s="465">
        <f t="shared" si="19"/>
        <v>0</v>
      </c>
      <c r="N33" s="465">
        <f t="shared" ca="1" si="19"/>
        <v>0</v>
      </c>
      <c r="O33" s="465">
        <f t="shared" si="19"/>
        <v>0</v>
      </c>
      <c r="P33" s="465">
        <f t="shared" si="19"/>
        <v>0</v>
      </c>
      <c r="Q33" s="465">
        <f t="shared" ca="1" si="19"/>
        <v>191798.41069101027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9921.2987188702518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9921.2987188702518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0.20529895463551057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0.20529895463551057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2020-06-20T15:19:17Z</dcterms:modified>
</cp:coreProperties>
</file>