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O33" i="48" l="1"/>
  <c r="B15" i="48"/>
  <c r="I76" i="14"/>
  <c r="I8" i="59" s="1"/>
  <c r="I10" i="59"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<sst xmlns="http://schemas.openxmlformats.org/spreadsheetml/2006/main" count="2366" uniqueCount="865">
  <si>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</si>
  <si>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</si>
  <si>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</si>
  <si>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</si>
  <si>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</si>
  <si>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</si>
  <si>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</si>
  <si>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</si>
  <si>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</si>
  <si>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</si>
  <si>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</si>
  <si>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</si>
  <si>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</si>
  <si>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</si>
  <si>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</si>
  <si>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</si>
  <si>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</si>
  <si>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</si>
  <si>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</si>
  <si>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</si>
  <si>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</si>
  <si>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</si>
  <si>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</si>
  <si>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</si>
  <si>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</si>
  <si>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</si>
  <si>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</si>
  <si>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</si>
  <si>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</si>
  <si>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</si>
  <si>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</si>
  <si>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</si>
  <si>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</si>
  <si>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</si>
  <si>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</si>
  <si>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</si>
  <si>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</si>
  <si>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</si>
  <si>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</si>
  <si>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</si>
  <si>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</si>
  <si>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</si>
  <si>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</si>
  <si>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</si>
  <si>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</si>
  <si>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</si>
  <si>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</si>
  <si>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</si>
  <si>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</si>
  <si>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</si>
  <si>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</si>
  <si>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</si>
  <si>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</si>
  <si>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</si>
  <si>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</si>
  <si>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</si>
  <si>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</si>
  <si>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</si>
  <si>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</si>
  <si>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</si>
  <si>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</si>
  <si>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</si>
  <si>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</si>
  <si>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</si>
  <si>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</si>
  <si>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</si>
  <si>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</si>
  <si>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</si>
  <si>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</si>
  <si>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</si>
  <si>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</si>
  <si>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</si>
  <si>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</si>
  <si>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</si>
  <si>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</si>
  <si>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</si>
  <si>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</si>
  <si>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</si>
  <si>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</si>
  <si>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</si>
  <si>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</si>
  <si>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</si>
  <si>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</si>
  <si>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</si>
  <si>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</si>
  <si>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</si>
  <si>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</si>
  <si>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</si>
  <si>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</si>
  <si>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</si>
  <si>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</si>
  <si>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</si>
  <si>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</si>
  <si>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</si>
  <si>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</si>
  <si>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</si>
  <si>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</si>
  <si>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</si>
  <si>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</si>
  <si>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</si>
  <si>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</si>
  <si>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</si>
  <si>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</si>
  <si>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</si>
  <si>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</si>
  <si>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</si>
  <si>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</si>
  <si>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</si>
  <si>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</si>
  <si>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</si>
  <si>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</si>
  <si>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</si>
  <si>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</si>
  <si>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</si>
  <si>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</si>
  <si>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</si>
  <si>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</si>
  <si>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</si>
  <si>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</si>
  <si>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</si>
  <si>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</si>
  <si>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</si>
  <si>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</si>
  <si>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</si>
  <si>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</si>
  <si>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</si>
  <si>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</si>
  <si>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</si>
  <si>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</si>
  <si>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</si>
  <si>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</si>
  <si>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</si>
  <si>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</si>
  <si>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</si>
  <si>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</si>
  <si>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</si>
  <si>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</si>
  <si>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</si>
  <si>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</si>
  <si>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</si>
  <si>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</si>
  <si>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</si>
  <si>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</si>
  <si>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</si>
  <si>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</si>
  <si>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</si>
  <si>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</si>
  <si>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</si>
  <si>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</si>
  <si>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</si>
  <si>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</si>
  <si>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</si>
  <si>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</si>
  <si>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</si>
  <si>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</si>
  <si>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</si>
  <si>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</si>
  <si>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</si>
  <si>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</si>
  <si>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</si>
  <si>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</si>
  <si>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</si>
  <si>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</si>
  <si>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</si>
  <si>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</si>
  <si>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</si>
  <si>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</si>
  <si>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</si>
  <si>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</si>
  <si>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</si>
  <si>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</si>
  <si>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</si>
  <si>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</si>
  <si>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</si>
  <si>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</si>
  <si>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</si>
  <si>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</si>
  <si>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</si>
  <si>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</si>
  <si>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</si>
  <si>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</si>
  <si>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</si>
  <si>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</si>
  <si>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</si>
  <si>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</si>
  <si>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</si>
  <si>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</si>
  <si>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</si>
  <si>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</si>
  <si>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</si>
  <si>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</si>
  <si>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</si>
  <si>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</si>
  <si>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</si>
  <si>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</si>
  <si>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</si>
  <si>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</si>
  <si>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</si>
  <si>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</si>
  <si>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</si>
  <si>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</si>
  <si>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</si>
  <si>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</si>
  <si>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</si>
  <si>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</si>
  <si>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</si>
  <si>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</si>
  <si>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</si>
  <si>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</si>
  <si>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</si>
  <si>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</si>
  <si>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</si>
  <si>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</si>
  <si>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</si>
  <si>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</si>
  <si>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</si>
  <si>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</si>
  <si>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</si>
  <si>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</si>
  <si>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</si>
  <si>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</si>
  <si>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</si>
  <si>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</si>
  <si>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</si>
  <si>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</si>
  <si>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</si>
  <si>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</si>
  <si>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</si>
  <si>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</si>
  <si>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</si>
  <si>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</si>
  <si>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</si>
  <si>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</si>
  <si>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</si>
  <si>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</si>
  <si>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</si>
  <si>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</si>
  <si>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</si>
  <si>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</si>
  <si>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</si>
  <si>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</si>
  <si>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</si>
  <si>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</si>
  <si>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</si>
  <si>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</si>
  <si>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</si>
  <si>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</si>
  <si>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</si>
  <si>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</si>
  <si>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</si>
  <si>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</si>
  <si>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</si>
  <si>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</si>
  <si>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</si>
  <si>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</si>
  <si>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</si>
  <si>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</si>
  <si>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</si>
  <si>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</si>
  <si>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</si>
  <si>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</si>
  <si>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</si>
  <si>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</si>
  <si>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</si>
  <si>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</si>
  <si>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</si>
  <si>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</si>
  <si>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</si>
  <si>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</si>
  <si>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</si>
  <si>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</si>
  <si>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</si>
  <si>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</si>
  <si>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</si>
  <si>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</si>
  <si>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</si>
  <si>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</si>
  <si>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</si>
  <si>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</si>
  <si>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</si>
  <si>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</si>
  <si>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</si>
  <si>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</si>
  <si>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</si>
  <si>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</si>
  <si>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</si>
  <si>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</si>
  <si>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</si>
  <si>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</si>
  <si>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</si>
  <si>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</si>
  <si>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</si>
  <si>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</si>
  <si>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</si>
  <si>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</si>
  <si>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</si>
  <si>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</si>
  <si>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</si>
  <si>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</si>
  <si>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</si>
  <si>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</si>
  <si>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</si>
  <si>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</si>
  <si>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</si>
  <si>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</si>
  <si>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</si>
  <si>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</si>
  <si>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</si>
  <si>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</si>
  <si>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</si>
  <si>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</si>
  <si>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</si>
  <si>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</si>
  <si>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</si>
  <si>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</si>
  <si>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</si>
  <si>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</si>
  <si>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</si>
  <si>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</si>
  <si>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</si>
  <si>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</si>
  <si>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</si>
  <si>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</si>
  <si>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</si>
  <si>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</si>
  <si>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</si>
  <si>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</si>
  <si>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</si>
  <si>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</si>
  <si>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</si>
  <si>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</si>
  <si>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</si>
  <si>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</si>
  <si>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</si>
  <si>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</si>
  <si>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</si>
  <si>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</si>
  <si>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</si>
  <si>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</si>
  <si>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</si>
  <si>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</si>
  <si>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</si>
  <si>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</si>
  <si>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</si>
  <si>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</si>
  <si>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</si>
  <si>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</si>
  <si>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</si>
  <si>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</si>
  <si>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</si>
  <si>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</si>
  <si>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</si>
  <si>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</si>
  <si>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</si>
  <si>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</si>
  <si>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</si>
  <si>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</si>
  <si>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</si>
  <si>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</si>
  <si>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</si>
  <si>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</si>
  <si>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</si>
  <si>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</si>
  <si>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</si>
  <si>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</si>
  <si>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</si>
  <si>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</si>
  <si>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</si>
  <si>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</si>
  <si>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</si>
  <si>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</si>
  <si>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</si>
  <si>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</si>
  <si>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</si>
  <si>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</si>
  <si>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</si>
  <si>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</si>
  <si>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</si>
  <si>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</si>
  <si>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</si>
  <si>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</si>
  <si>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</si>
  <si>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</si>
  <si>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</si>
  <si>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</si>
  <si>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</si>
  <si>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</si>
  <si>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</si>
  <si>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</si>
  <si>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</si>
  <si>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</si>
  <si>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</si>
  <si>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</si>
  <si>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</si>
  <si>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</si>
  <si>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</si>
  <si>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</si>
  <si>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</si>
  <si>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</si>
  <si>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</si>
  <si>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</si>
  <si>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</si>
  <si>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</si>
  <si>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</si>
  <si>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</si>
  <si>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</si>
  <si>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</si>
  <si>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</si>
  <si>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</si>
  <si>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</si>
  <si>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</si>
  <si>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</si>
  <si>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</si>
  <si>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</si>
  <si>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</si>
  <si>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</si>
  <si>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</si>
  <si>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</si>
  <si>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</si>
  <si>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</si>
  <si>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</si>
  <si>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</si>
  <si>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</si>
  <si>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</si>
  <si>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</si>
  <si>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</si>
  <si>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</si>
  <si>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</si>
  <si>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</si>
  <si>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</si>
  <si>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</si>
  <si>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</si>
  <si>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</si>
  <si>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</si>
  <si>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</si>
  <si>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</si>
  <si>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</si>
  <si>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</si>
  <si>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</si>
  <si>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</si>
  <si>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</si>
  <si>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</si>
  <si>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</si>
  <si>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</si>
  <si>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</si>
  <si>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</si>
  <si>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</si>
  <si>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</si>
  <si>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</si>
  <si>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</si>
  <si>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</si>
  <si>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</si>
  <si>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</si>
  <si>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</si>
  <si>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</si>
  <si>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</si>
  <si>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</si>
  <si>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</si>
  <si>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</si>
  <si>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</si>
  <si>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</si>
  <si>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</si>
  <si>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</si>
  <si>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</si>
  <si>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</si>
  <si>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</si>
  <si>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</si>
  <si>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</si>
  <si>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</si>
  <si>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</si>
  <si>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</si>
  <si>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</si>
  <si>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</si>
  <si>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</si>
  <si>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</si>
  <si>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</si>
  <si>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</si>
  <si>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</si>
  <si>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</si>
  <si>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</si>
  <si>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</si>
  <si>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</si>
  <si>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</si>
  <si>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</si>
  <si>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</si>
  <si>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</si>
  <si>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</si>
  <si>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</si>
  <si>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</si>
  <si>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</si>
  <si>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</si>
  <si>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</si>
  <si>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</si>
  <si>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</si>
  <si>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</si>
  <si>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</si>
  <si>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</si>
  <si>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</si>
  <si>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</si>
  <si>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</si>
  <si>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</si>
  <si>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</si>
  <si>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</si>
  <si>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</si>
  <si>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</si>
  <si>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</si>
  <si>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</si>
  <si>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</si>
  <si>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</si>
  <si>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</si>
  <si>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</si>
  <si>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</si>
  <si>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</si>
  <si>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</si>
  <si>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</si>
  <si>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</si>
  <si>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</si>
  <si>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</si>
  <si>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</si>
  <si>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</si>
  <si>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</si>
  <si>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</si>
  <si>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</si>
  <si>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</si>
  <si>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</si>
  <si>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</si>
  <si>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</si>
  <si>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</si>
  <si>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</si>
  <si>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</si>
  <si>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</si>
  <si>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</si>
  <si>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</si>
  <si>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</si>
  <si>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</si>
  <si>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</si>
  <si>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</si>
  <si>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</si>
  <si>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</si>
  <si>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</si>
  <si>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</si>
  <si>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</si>
  <si>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</si>
  <si>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</si>
  <si>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</si>
  <si>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</si>
  <si>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</si>
  <si>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</si>
  <si>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</si>
  <si>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</si>
  <si>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</si>
  <si>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</si>
  <si>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</si>
  <si>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</si>
  <si>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</si>
  <si>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</si>
  <si>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</si>
  <si>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</si>
  <si>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</si>
  <si>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</si>
  <si>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</si>
  <si>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</si>
  <si>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</si>
  <si>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</si>
  <si>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</si>
  <si>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</si>
  <si>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</si>
  <si>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</si>
  <si>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</si>
  <si>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</si>
  <si>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</si>
  <si>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</si>
  <si>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</si>
  <si>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</si>
  <si>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</si>
  <si>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</si>
  <si>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</si>
  <si>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</si>
  <si>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</si>
  <si>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</si>
  <si>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</si>
  <si>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</si>
  <si>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</si>
  <si>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</si>
  <si>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</si>
  <si>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</si>
  <si>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</si>
  <si>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</si>
  <si>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</si>
  <si>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</si>
  <si>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</si>
  <si>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</si>
  <si>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</si>
  <si>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</si>
  <si>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</si>
  <si>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</si>
  <si>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</si>
  <si>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</si>
  <si>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</si>
  <si>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</si>
  <si>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</si>
  <si>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</si>
  <si>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</si>
  <si>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</si>
  <si>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</si>
  <si>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</si>
  <si>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</si>
  <si>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</si>
  <si>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</si>
  <si>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</si>
  <si>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</si>
  <si>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</si>
  <si>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</si>
  <si>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</si>
  <si>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</si>
  <si>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</si>
  <si>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</si>
  <si>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</si>
  <si>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</si>
  <si>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</si>
  <si>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</si>
  <si>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</si>
  <si>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</si>
  <si>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</si>
  <si>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</si>
  <si>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</si>
  <si>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</si>
  <si>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</si>
  <si>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</si>
  <si>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</si>
  <si>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</si>
  <si>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</si>
  <si>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</si>
  <si>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</si>
  <si>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</si>
  <si>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</si>
  <si>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</si>
  <si>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</si>
  <si>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</si>
  <si>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</si>
  <si>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</si>
  <si>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</si>
  <si>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</si>
  <si>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</si>
  <si>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</si>
  <si>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</si>
  <si>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</si>
  <si>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</si>
  <si>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</si>
  <si>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</si>
  <si>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</si>
  <si>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</si>
  <si>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</si>
  <si>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</si>
  <si>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</si>
  <si>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</si>
  <si>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</si>
  <si>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</si>
  <si>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</si>
  <si>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</si>
  <si>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</si>
  <si>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</si>
  <si>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</si>
  <si>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</si>
  <si>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</si>
  <si>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</si>
  <si>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</si>
  <si>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</si>
  <si>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</si>
  <si>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</si>
  <si>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</si>
  <si>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</si>
  <si>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</si>
  <si>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</si>
  <si>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</si>
  <si>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</si>
  <si>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</si>
  <si>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</si>
  <si>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</si>
  <si>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</si>
  <si>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</si>
  <si>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</si>
  <si>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</si>
  <si>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</si>
  <si>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</si>
  <si>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</si>
  <si>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</si>
  <si>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</si>
  <si>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</si>
  <si>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</si>
  <si>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</si>
  <si>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</si>
  <si>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</si>
  <si>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</si>
  <si>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</si>
  <si>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</si>
  <si>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</si>
  <si>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</si>
  <si>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</si>
  <si>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</si>
  <si>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</si>
  <si>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</si>
  <si>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</si>
  <si>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</si>
  <si>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</si>
  <si>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</si>
  <si>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</si>
  <si>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</si>
  <si>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</si>
  <si>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</si>
  <si>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</si>
  <si>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</si>
  <si>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</si>
  <si>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</si>
  <si>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</si>
  <si>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</si>
  <si>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</si>
  <si>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</si>
  <si>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</si>
  <si>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</si>
  <si>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</si>
  <si>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</si>
  <si>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</si>
  <si>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</si>
  <si>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</si>
  <si>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</si>
  <si>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</si>
  <si>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</si>
  <si>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</si>
  <si>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</si>
  <si>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</si>
  <si>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</si>
  <si>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</si>
  <si>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</si>
  <si>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</si>
  <si>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</si>
  <si>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</si>
  <si>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</si>
  <si>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</si>
  <si>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</si>
  <si>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</si>
  <si>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</si>
  <si>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</si>
  <si>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</si>
  <si>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</si>
  <si>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</si>
  <si>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</si>
  <si>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</si>
  <si>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</si>
  <si>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</si>
  <si>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</si>
  <si>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</si>
  <si>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</si>
  <si>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</si>
  <si>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</si>
  <si>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</si>
  <si>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</si>
  <si>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</si>
  <si>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</si>
  <si>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</si>
  <si>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</si>
  <si>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</si>
  <si>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</si>
  <si>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</si>
  <si>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</si>
  <si>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</si>
  <si>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</si>
  <si>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</si>
  <si>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</si>
  <si>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</si>
  <si>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</si>
  <si>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</si>
  <si>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</si>
  <si>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</si>
  <si>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</si>
  <si>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</si>
  <si>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</si>
  <si>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</si>
  <si>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</si>
  <si>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</si>
  <si>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</si>
  <si>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</si>
  <si>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</si>
  <si>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</si>
  <si>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</si>
  <si>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</si>
  <si>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</si>
  <si>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</si>
  <si>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</si>
  <si>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</si>
  <si>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</si>
  <si>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</si>
  <si>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</si>
  <si>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</si>
  <si>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</si>
  <si>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</si>
  <si>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</si>
  <si>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</si>
  <si>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</si>
  <si>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</si>
  <si>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</si>
  <si>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</si>
  <si>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</si>
  <si>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</si>
  <si>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</si>
  <si>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</si>
  <si>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</si>
  <si>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</si>
  <si>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</si>
  <si>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</si>
  <si>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</si>
  <si>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</si>
  <si>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</si>
  <si>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</si>
  <si>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</si>
  <si>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</si>
  <si>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</si>
  <si>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</si>
  <si>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</si>
  <si>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</si>
  <si>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</si>
  <si>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</si>
  <si>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</si>
  <si>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</si>
  <si>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</si>
  <si>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</si>
  <si>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</si>
  <si>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</si>
  <si>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</si>
  <si>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</si>
  <si>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</si>
  <si>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</si>
  <si>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</si>
  <si>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</si>
  <si>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</si>
  <si>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</si>
  <si>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</si>
  <si>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</si>
  <si>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</si>
  <si>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</si>
  <si>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</si>
  <si>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</si>
  <si>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</si>
  <si>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</si>
  <si>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</si>
  <si>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</si>
  <si>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</si>
  <si>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</si>
  <si>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</si>
  <si>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</si>
  <si>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</si>
  <si>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</si>
  <si>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</si>
  <si>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</si>
  <si>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</si>
  <si>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</si>
  <si>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</si>
  <si>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</si>
  <si>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</si>
  <si>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</si>
  <si>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</si>
  <si>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</si>
  <si>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23009</t>
  </si>
  <si>
    <t>BEVER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</si>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</sst>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24897.391921128146</c:v>
                </c:pt>
                <c:pt idx="1">
                  <c:v>2417.1243561798483</c:v>
                </c:pt>
                <c:pt idx="2">
                  <c:v>165.88200000000001</c:v>
                </c:pt>
                <c:pt idx="3">
                  <c:v>1771.6107351619407</c:v>
                </c:pt>
                <c:pt idx="4">
                  <c:v>128.49627508834351</c:v>
                </c:pt>
                <c:pt idx="5">
                  <c:v>8028.8254249026368</c:v>
                </c:pt>
                <c:pt idx="6">
                  <c:v>128.03143497065699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24897.391921128146</c:v>
                </c:pt>
                <c:pt idx="1">
                  <c:v>2417.1243561798483</c:v>
                </c:pt>
                <c:pt idx="2">
                  <c:v>165.88200000000001</c:v>
                </c:pt>
                <c:pt idx="3">
                  <c:v>1771.6107351619407</c:v>
                </c:pt>
                <c:pt idx="4">
                  <c:v>128.49627508834351</c:v>
                </c:pt>
                <c:pt idx="5">
                  <c:v>8028.8254249026368</c:v>
                </c:pt>
                <c:pt idx="6">
                  <c:v>128.03143497065699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4625.646850689146</c:v>
                </c:pt>
                <c:pt idx="1">
                  <c:v>469.91810526482061</c:v>
                </c:pt>
                <c:pt idx="2">
                  <c:v>31.199683565552096</c:v>
                </c:pt>
                <c:pt idx="3">
                  <c:v>449.07442142778768</c:v>
                </c:pt>
                <c:pt idx="4">
                  <c:v>26.687496637874478</c:v>
                </c:pt>
                <c:pt idx="5">
                  <c:v>1984.8808342181333</c:v>
                </c:pt>
                <c:pt idx="6">
                  <c:v>32.42483681316051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4625.646850689146</c:v>
                </c:pt>
                <c:pt idx="1">
                  <c:v>469.91810526482061</c:v>
                </c:pt>
                <c:pt idx="2">
                  <c:v>31.199683565552096</c:v>
                </c:pt>
                <c:pt idx="3">
                  <c:v>449.07442142778768</c:v>
                </c:pt>
                <c:pt idx="4">
                  <c:v>26.687496637874478</c:v>
                </c:pt>
                <c:pt idx="5">
                  <c:v>1984.8808342181333</c:v>
                </c:pt>
                <c:pt idx="6">
                  <c:v>32.42483681316051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23009</v>
      </c>
      <c r="B6" s="392"/>
      <c r="C6" s="393"/>
    </row>
    <row r="7" spans="1:7" s="390" customFormat="1" ht="15.75" customHeight="1">
      <c r="A7" s="394" t="str">
        <f>txtMunicipality</f>
        <v>BEVER</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1222.0654319927046</v>
      </c>
      <c r="D10" s="689">
        <f ca="1">tertiair!C16</f>
        <v>0</v>
      </c>
      <c r="E10" s="689">
        <f ca="1">tertiair!D16</f>
        <v>1039.3790300848734</v>
      </c>
      <c r="F10" s="689">
        <f>tertiair!E16</f>
        <v>4.3593631869502341</v>
      </c>
      <c r="G10" s="689">
        <f ca="1">tertiair!F16</f>
        <v>225.92621102606847</v>
      </c>
      <c r="H10" s="689">
        <f>tertiair!G16</f>
        <v>0</v>
      </c>
      <c r="I10" s="689">
        <f>tertiair!H16</f>
        <v>0</v>
      </c>
      <c r="J10" s="689">
        <f>tertiair!I16</f>
        <v>0</v>
      </c>
      <c r="K10" s="689">
        <f>tertiair!J16</f>
        <v>2.503759594333179E-3</v>
      </c>
      <c r="L10" s="689">
        <f>tertiair!K16</f>
        <v>0</v>
      </c>
      <c r="M10" s="689">
        <f ca="1">tertiair!L16</f>
        <v>0</v>
      </c>
      <c r="N10" s="689">
        <f>tertiair!M16</f>
        <v>0</v>
      </c>
      <c r="O10" s="689">
        <f ca="1">tertiair!N16</f>
        <v>91.273816129657618</v>
      </c>
      <c r="P10" s="689">
        <f>tertiair!O16</f>
        <v>0</v>
      </c>
      <c r="Q10" s="690">
        <f>tertiair!P16</f>
        <v>0</v>
      </c>
      <c r="R10" s="692">
        <f ca="1">SUM(C10:Q10)</f>
        <v>2583.0063561798484</v>
      </c>
      <c r="S10" s="67"/>
    </row>
    <row r="11" spans="1:19" s="451" customFormat="1">
      <c r="A11" s="811" t="s">
        <v>224</v>
      </c>
      <c r="B11" s="816"/>
      <c r="C11" s="689">
        <f>huishoudens!B8</f>
        <v>4080.2108073108884</v>
      </c>
      <c r="D11" s="689">
        <f>huishoudens!C8</f>
        <v>0</v>
      </c>
      <c r="E11" s="689">
        <f>huishoudens!D8</f>
        <v>2587.6452430983559</v>
      </c>
      <c r="F11" s="689">
        <f>huishoudens!E8</f>
        <v>5376.9730049108939</v>
      </c>
      <c r="G11" s="689">
        <f>huishoudens!F8</f>
        <v>7543.1794373248085</v>
      </c>
      <c r="H11" s="689">
        <f>huishoudens!G8</f>
        <v>0</v>
      </c>
      <c r="I11" s="689">
        <f>huishoudens!H8</f>
        <v>0</v>
      </c>
      <c r="J11" s="689">
        <f>huishoudens!I8</f>
        <v>0</v>
      </c>
      <c r="K11" s="689">
        <f>huishoudens!J8</f>
        <v>285.0847358126677</v>
      </c>
      <c r="L11" s="689">
        <f>huishoudens!K8</f>
        <v>0</v>
      </c>
      <c r="M11" s="689">
        <f>huishoudens!L8</f>
        <v>0</v>
      </c>
      <c r="N11" s="689">
        <f>huishoudens!M8</f>
        <v>0</v>
      </c>
      <c r="O11" s="689">
        <f>huishoudens!N8</f>
        <v>4804.7865982542617</v>
      </c>
      <c r="P11" s="689">
        <f>huishoudens!O8</f>
        <v>61.502704800997982</v>
      </c>
      <c r="Q11" s="690">
        <f>huishoudens!P8</f>
        <v>158.00938961527535</v>
      </c>
      <c r="R11" s="692">
        <f>SUM(C11:Q11)</f>
        <v>24897.391921128146</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86.254258078221795</v>
      </c>
      <c r="D13" s="689">
        <f>industrie!C18</f>
        <v>0</v>
      </c>
      <c r="E13" s="689">
        <f>industrie!D18</f>
        <v>0</v>
      </c>
      <c r="F13" s="689">
        <f>industrie!E18</f>
        <v>0.87091116629626908</v>
      </c>
      <c r="G13" s="689">
        <f>industrie!F18</f>
        <v>38.378869851820753</v>
      </c>
      <c r="H13" s="689">
        <f>industrie!G18</f>
        <v>0</v>
      </c>
      <c r="I13" s="689">
        <f>industrie!H18</f>
        <v>0</v>
      </c>
      <c r="J13" s="689">
        <f>industrie!I18</f>
        <v>0</v>
      </c>
      <c r="K13" s="689">
        <f>industrie!J18</f>
        <v>5.5452729436379175E-2</v>
      </c>
      <c r="L13" s="689">
        <f>industrie!K18</f>
        <v>0</v>
      </c>
      <c r="M13" s="689">
        <f>industrie!L18</f>
        <v>0</v>
      </c>
      <c r="N13" s="689">
        <f>industrie!M18</f>
        <v>0</v>
      </c>
      <c r="O13" s="689">
        <f>industrie!N18</f>
        <v>2.9367832625683139</v>
      </c>
      <c r="P13" s="689">
        <f>industrie!O18</f>
        <v>0</v>
      </c>
      <c r="Q13" s="690">
        <f>industrie!P18</f>
        <v>0</v>
      </c>
      <c r="R13" s="692">
        <f>SUM(C13:Q13)</f>
        <v>128.49627508834351</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5388.5304973818147</v>
      </c>
      <c r="D16" s="725">
        <f t="shared" ref="D16:R16" ca="1" si="0">SUM(D9:D15)</f>
        <v>0</v>
      </c>
      <c r="E16" s="725">
        <f t="shared" ca="1" si="0"/>
        <v>3627.0242731832295</v>
      </c>
      <c r="F16" s="725">
        <f t="shared" si="0"/>
        <v>5382.2032792641403</v>
      </c>
      <c r="G16" s="725">
        <f t="shared" ca="1" si="0"/>
        <v>7807.4845182026984</v>
      </c>
      <c r="H16" s="725">
        <f t="shared" si="0"/>
        <v>0</v>
      </c>
      <c r="I16" s="725">
        <f t="shared" si="0"/>
        <v>0</v>
      </c>
      <c r="J16" s="725">
        <f t="shared" si="0"/>
        <v>0</v>
      </c>
      <c r="K16" s="725">
        <f t="shared" si="0"/>
        <v>285.14269230169839</v>
      </c>
      <c r="L16" s="725">
        <f t="shared" si="0"/>
        <v>0</v>
      </c>
      <c r="M16" s="725">
        <f t="shared" ca="1" si="0"/>
        <v>0</v>
      </c>
      <c r="N16" s="725">
        <f t="shared" si="0"/>
        <v>0</v>
      </c>
      <c r="O16" s="725">
        <f t="shared" ca="1" si="0"/>
        <v>4898.9971976464876</v>
      </c>
      <c r="P16" s="725">
        <f t="shared" si="0"/>
        <v>61.502704800997982</v>
      </c>
      <c r="Q16" s="725">
        <f t="shared" si="0"/>
        <v>158.00938961527535</v>
      </c>
      <c r="R16" s="725">
        <f t="shared" ca="1" si="0"/>
        <v>27608.894552396338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121.44133637887832</v>
      </c>
      <c r="I19" s="689">
        <f>transport!H54</f>
        <v>0</v>
      </c>
      <c r="J19" s="689">
        <f>transport!I54</f>
        <v>0</v>
      </c>
      <c r="K19" s="689">
        <f>transport!J54</f>
        <v>0</v>
      </c>
      <c r="L19" s="689">
        <f>transport!K54</f>
        <v>0</v>
      </c>
      <c r="M19" s="689">
        <f>transport!L54</f>
        <v>0</v>
      </c>
      <c r="N19" s="689">
        <f>transport!M54</f>
        <v>6.5900985917786832</v>
      </c>
      <c r="O19" s="689">
        <f>transport!N54</f>
        <v>0</v>
      </c>
      <c r="P19" s="689">
        <f>transport!O54</f>
        <v>0</v>
      </c>
      <c r="Q19" s="690">
        <f>transport!P54</f>
        <v>0</v>
      </c>
      <c r="R19" s="692">
        <f>SUM(C19:Q19)</f>
        <v>128.03143497065699</v>
      </c>
      <c r="S19" s="67"/>
    </row>
    <row r="20" spans="1:19" s="451" customFormat="1">
      <c r="A20" s="811" t="s">
        <v>306</v>
      </c>
      <c r="B20" s="816"/>
      <c r="C20" s="689">
        <f>transport!B14</f>
        <v>6.828422959106291</v>
      </c>
      <c r="D20" s="689">
        <f>transport!C14</f>
        <v>0</v>
      </c>
      <c r="E20" s="689">
        <f>transport!D14</f>
        <v>31.067739347476405</v>
      </c>
      <c r="F20" s="689">
        <f>transport!E14</f>
        <v>16.462297757306942</v>
      </c>
      <c r="G20" s="689">
        <f>transport!F14</f>
        <v>0</v>
      </c>
      <c r="H20" s="689">
        <f>transport!G14</f>
        <v>5551.3870698886203</v>
      </c>
      <c r="I20" s="689">
        <f>transport!H14</f>
        <v>1973.3475793304606</v>
      </c>
      <c r="J20" s="689">
        <f>transport!I14</f>
        <v>0</v>
      </c>
      <c r="K20" s="689">
        <f>transport!J14</f>
        <v>0</v>
      </c>
      <c r="L20" s="689">
        <f>transport!K14</f>
        <v>0</v>
      </c>
      <c r="M20" s="689">
        <f>transport!L14</f>
        <v>0</v>
      </c>
      <c r="N20" s="689">
        <f>transport!M14</f>
        <v>449.73231561966605</v>
      </c>
      <c r="O20" s="689">
        <f>transport!N14</f>
        <v>0</v>
      </c>
      <c r="P20" s="689">
        <f>transport!O14</f>
        <v>0</v>
      </c>
      <c r="Q20" s="690">
        <f>transport!P14</f>
        <v>0</v>
      </c>
      <c r="R20" s="692">
        <f>SUM(C20:Q20)</f>
        <v>8028.8254249026368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6.828422959106291</v>
      </c>
      <c r="D22" s="814">
        <f t="shared" ref="D22:R22" si="1">SUM(D18:D21)</f>
        <v>0</v>
      </c>
      <c r="E22" s="814">
        <f t="shared" si="1"/>
        <v>31.067739347476405</v>
      </c>
      <c r="F22" s="814">
        <f t="shared" si="1"/>
        <v>16.462297757306942</v>
      </c>
      <c r="G22" s="814">
        <f t="shared" si="1"/>
        <v>0</v>
      </c>
      <c r="H22" s="814">
        <f t="shared" si="1"/>
        <v>5672.8284062674984</v>
      </c>
      <c r="I22" s="814">
        <f t="shared" si="1"/>
        <v>1973.3475793304606</v>
      </c>
      <c r="J22" s="814">
        <f t="shared" si="1"/>
        <v>0</v>
      </c>
      <c r="K22" s="814">
        <f t="shared" si="1"/>
        <v>0</v>
      </c>
      <c r="L22" s="814">
        <f t="shared" si="1"/>
        <v>0</v>
      </c>
      <c r="M22" s="814">
        <f t="shared" si="1"/>
        <v>0</v>
      </c>
      <c r="N22" s="814">
        <f t="shared" si="1"/>
        <v>456.32241421144471</v>
      </c>
      <c r="O22" s="814">
        <f t="shared" si="1"/>
        <v>0</v>
      </c>
      <c r="P22" s="814">
        <f t="shared" si="1"/>
        <v>0</v>
      </c>
      <c r="Q22" s="814">
        <f t="shared" si="1"/>
        <v>0</v>
      </c>
      <c r="R22" s="814">
        <f t="shared" si="1"/>
        <v>8156.8568598732936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383.550737081151</v>
      </c>
      <c r="D24" s="689">
        <f>+landbouw!C8</f>
        <v>0</v>
      </c>
      <c r="E24" s="689">
        <f>+landbouw!D8</f>
        <v>28.685454928792637</v>
      </c>
      <c r="F24" s="689">
        <f>+landbouw!E8</f>
        <v>14.303780183769859</v>
      </c>
      <c r="G24" s="689">
        <f>+landbouw!F8</f>
        <v>1244.3868009300552</v>
      </c>
      <c r="H24" s="689">
        <f>+landbouw!G8</f>
        <v>0</v>
      </c>
      <c r="I24" s="689">
        <f>+landbouw!H8</f>
        <v>0</v>
      </c>
      <c r="J24" s="689">
        <f>+landbouw!I8</f>
        <v>0</v>
      </c>
      <c r="K24" s="689">
        <f>+landbouw!J8</f>
        <v>100.68396203817213</v>
      </c>
      <c r="L24" s="689">
        <f>+landbouw!K8</f>
        <v>0</v>
      </c>
      <c r="M24" s="689">
        <f>+landbouw!L8</f>
        <v>0</v>
      </c>
      <c r="N24" s="689">
        <f>+landbouw!M8</f>
        <v>0</v>
      </c>
      <c r="O24" s="689">
        <f>+landbouw!N8</f>
        <v>0</v>
      </c>
      <c r="P24" s="689">
        <f>+landbouw!O8</f>
        <v>0</v>
      </c>
      <c r="Q24" s="690">
        <f>+landbouw!P8</f>
        <v>0</v>
      </c>
      <c r="R24" s="692">
        <f>SUM(C24:Q24)</f>
        <v>1771.6107351619407</v>
      </c>
      <c r="S24" s="67"/>
    </row>
    <row r="25" spans="1:19" s="451" customFormat="1" ht="15" thickBot="1">
      <c r="A25" s="833" t="s">
        <v>714</v>
      </c>
      <c r="B25" s="947"/>
      <c r="C25" s="948">
        <f>IF(Onbekend_ele_kWh="---",0,Onbekend_ele_kWh)/1000+IF(REST_rest_ele_kWh="---",0,REST_rest_ele_kWh)/1000</f>
        <v>69.904129724576009</v>
      </c>
      <c r="D25" s="948"/>
      <c r="E25" s="948">
        <f>IF(onbekend_gas_kWh="---",0,onbekend_gas_kWh)/1000+IF(REST_rest_gas_kWh="---",0,REST_rest_gas_kWh)/1000</f>
        <v>58.230535213059603</v>
      </c>
      <c r="F25" s="948"/>
      <c r="G25" s="948"/>
      <c r="H25" s="948"/>
      <c r="I25" s="948"/>
      <c r="J25" s="948"/>
      <c r="K25" s="948"/>
      <c r="L25" s="948"/>
      <c r="M25" s="948"/>
      <c r="N25" s="948"/>
      <c r="O25" s="948"/>
      <c r="P25" s="948"/>
      <c r="Q25" s="949"/>
      <c r="R25" s="692">
        <f>SUM(C25:Q25)</f>
        <v>128.13466493763562</v>
      </c>
      <c r="S25" s="67"/>
    </row>
    <row r="26" spans="1:19" s="451" customFormat="1" ht="15.75" thickBot="1">
      <c r="A26" s="697" t="s">
        <v>715</v>
      </c>
      <c r="B26" s="819"/>
      <c r="C26" s="814">
        <f>SUM(C24:C25)</f>
        <v>453.45486680572702</v>
      </c>
      <c r="D26" s="814">
        <f t="shared" ref="D26:R26" si="2">SUM(D24:D25)</f>
        <v>0</v>
      </c>
      <c r="E26" s="814">
        <f t="shared" si="2"/>
        <v>86.915990141852234</v>
      </c>
      <c r="F26" s="814">
        <f t="shared" si="2"/>
        <v>14.303780183769859</v>
      </c>
      <c r="G26" s="814">
        <f t="shared" si="2"/>
        <v>1244.3868009300552</v>
      </c>
      <c r="H26" s="814">
        <f t="shared" si="2"/>
        <v>0</v>
      </c>
      <c r="I26" s="814">
        <f t="shared" si="2"/>
        <v>0</v>
      </c>
      <c r="J26" s="814">
        <f t="shared" si="2"/>
        <v>0</v>
      </c>
      <c r="K26" s="814">
        <f t="shared" si="2"/>
        <v>100.68396203817213</v>
      </c>
      <c r="L26" s="814">
        <f t="shared" si="2"/>
        <v>0</v>
      </c>
      <c r="M26" s="814">
        <f t="shared" si="2"/>
        <v>0</v>
      </c>
      <c r="N26" s="814">
        <f t="shared" si="2"/>
        <v>0</v>
      </c>
      <c r="O26" s="814">
        <f t="shared" si="2"/>
        <v>0</v>
      </c>
      <c r="P26" s="814">
        <f t="shared" si="2"/>
        <v>0</v>
      </c>
      <c r="Q26" s="814">
        <f t="shared" si="2"/>
        <v>0</v>
      </c>
      <c r="R26" s="814">
        <f t="shared" si="2"/>
        <v>1899.7454000995763</v>
      </c>
      <c r="S26" s="67"/>
    </row>
    <row r="27" spans="1:19" s="451" customFormat="1" ht="17.25" thickTop="1" thickBot="1">
      <c r="A27" s="698" t="s">
        <v>115</v>
      </c>
      <c r="B27" s="806"/>
      <c r="C27" s="699">
        <f ca="1">C22+C16+C26</f>
        <v>5848.8137871466479</v>
      </c>
      <c r="D27" s="699">
        <f t="shared" ref="D27:R27" ca="1" si="3">D22+D16+D26</f>
        <v>0</v>
      </c>
      <c r="E27" s="699">
        <f t="shared" ca="1" si="3"/>
        <v>3745.0080026725582</v>
      </c>
      <c r="F27" s="699">
        <f t="shared" si="3"/>
        <v>5412.9693572052174</v>
      </c>
      <c r="G27" s="699">
        <f t="shared" ca="1" si="3"/>
        <v>9051.8713191327533</v>
      </c>
      <c r="H27" s="699">
        <f t="shared" si="3"/>
        <v>5672.8284062674984</v>
      </c>
      <c r="I27" s="699">
        <f t="shared" si="3"/>
        <v>1973.3475793304606</v>
      </c>
      <c r="J27" s="699">
        <f t="shared" si="3"/>
        <v>0</v>
      </c>
      <c r="K27" s="699">
        <f t="shared" si="3"/>
        <v>385.82665433987052</v>
      </c>
      <c r="L27" s="699">
        <f t="shared" si="3"/>
        <v>0</v>
      </c>
      <c r="M27" s="699">
        <f t="shared" ca="1" si="3"/>
        <v>0</v>
      </c>
      <c r="N27" s="699">
        <f t="shared" si="3"/>
        <v>456.32241421144471</v>
      </c>
      <c r="O27" s="699">
        <f t="shared" ca="1" si="3"/>
        <v>4898.9971976464876</v>
      </c>
      <c r="P27" s="699">
        <f t="shared" si="3"/>
        <v>61.502704800997982</v>
      </c>
      <c r="Q27" s="699">
        <f t="shared" si="3"/>
        <v>158.00938961527535</v>
      </c>
      <c r="R27" s="699">
        <f t="shared" ca="1" si="3"/>
        <v>37665.496812369209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229.8504646349339</v>
      </c>
      <c r="D40" s="689">
        <f ca="1">tertiair!C20</f>
        <v>0</v>
      </c>
      <c r="E40" s="689">
        <f ca="1">tertiair!D20</f>
        <v>209.95456407714445</v>
      </c>
      <c r="F40" s="689">
        <f>tertiair!E20</f>
        <v>0.98957544343770321</v>
      </c>
      <c r="G40" s="689">
        <f ca="1">tertiair!F20</f>
        <v>60.322298343960284</v>
      </c>
      <c r="H40" s="689">
        <f>tertiair!G20</f>
        <v>0</v>
      </c>
      <c r="I40" s="689">
        <f>tertiair!H20</f>
        <v>0</v>
      </c>
      <c r="J40" s="689">
        <f>tertiair!I20</f>
        <v>0</v>
      </c>
      <c r="K40" s="689">
        <f>tertiair!J20</f>
        <v>8.8633089639394535E-4</v>
      </c>
      <c r="L40" s="689">
        <f>tertiair!K20</f>
        <v>0</v>
      </c>
      <c r="M40" s="689">
        <f ca="1">tertiair!L20</f>
        <v>0</v>
      </c>
      <c r="N40" s="689">
        <f>tertiair!M20</f>
        <v>0</v>
      </c>
      <c r="O40" s="689">
        <f ca="1">tertiair!N20</f>
        <v>0</v>
      </c>
      <c r="P40" s="689">
        <f>tertiair!O20</f>
        <v>0</v>
      </c>
      <c r="Q40" s="772">
        <f>tertiair!P20</f>
        <v>0</v>
      </c>
      <c r="R40" s="852">
        <f t="shared" ca="1" si="4"/>
        <v>501.11778883037277</v>
      </c>
    </row>
    <row r="41" spans="1:18">
      <c r="A41" s="824" t="s">
        <v>224</v>
      </c>
      <c r="B41" s="831"/>
      <c r="C41" s="689">
        <f ca="1">huishoudens!B12</f>
        <v>767.42073322509714</v>
      </c>
      <c r="D41" s="689">
        <f ca="1">huishoudens!C12</f>
        <v>0</v>
      </c>
      <c r="E41" s="689">
        <f>huishoudens!D12</f>
        <v>522.70433910586792</v>
      </c>
      <c r="F41" s="689">
        <f>huishoudens!E12</f>
        <v>1220.572872114773</v>
      </c>
      <c r="G41" s="689">
        <f>huishoudens!F12</f>
        <v>2014.0289097657239</v>
      </c>
      <c r="H41" s="689">
        <f>huishoudens!G12</f>
        <v>0</v>
      </c>
      <c r="I41" s="689">
        <f>huishoudens!H12</f>
        <v>0</v>
      </c>
      <c r="J41" s="689">
        <f>huishoudens!I12</f>
        <v>0</v>
      </c>
      <c r="K41" s="689">
        <f>huishoudens!J12</f>
        <v>100.91999647768436</v>
      </c>
      <c r="L41" s="689">
        <f>huishoudens!K12</f>
        <v>0</v>
      </c>
      <c r="M41" s="689">
        <f>huishoudens!L12</f>
        <v>0</v>
      </c>
      <c r="N41" s="689">
        <f>huishoudens!M12</f>
        <v>0</v>
      </c>
      <c r="O41" s="689">
        <f>huishoudens!N12</f>
        <v>0</v>
      </c>
      <c r="P41" s="689">
        <f>huishoudens!O12</f>
        <v>0</v>
      </c>
      <c r="Q41" s="772">
        <f>huishoudens!P12</f>
        <v>0</v>
      </c>
      <c r="R41" s="852">
        <f t="shared" ca="1" si="4"/>
        <v>4625.646850689146</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16.223011286468608</v>
      </c>
      <c r="D43" s="689">
        <f ca="1">industrie!C22</f>
        <v>0</v>
      </c>
      <c r="E43" s="689">
        <f>industrie!D22</f>
        <v>0</v>
      </c>
      <c r="F43" s="689">
        <f>industrie!E22</f>
        <v>0.19769683474925309</v>
      </c>
      <c r="G43" s="689">
        <f>industrie!F22</f>
        <v>10.247158250436142</v>
      </c>
      <c r="H43" s="689">
        <f>industrie!G22</f>
        <v>0</v>
      </c>
      <c r="I43" s="689">
        <f>industrie!H22</f>
        <v>0</v>
      </c>
      <c r="J43" s="689">
        <f>industrie!I22</f>
        <v>0</v>
      </c>
      <c r="K43" s="689">
        <f>industrie!J22</f>
        <v>1.9630266220478226E-2</v>
      </c>
      <c r="L43" s="689">
        <f>industrie!K22</f>
        <v>0</v>
      </c>
      <c r="M43" s="689">
        <f>industrie!L22</f>
        <v>0</v>
      </c>
      <c r="N43" s="689">
        <f>industrie!M22</f>
        <v>0</v>
      </c>
      <c r="O43" s="689">
        <f>industrie!N22</f>
        <v>0</v>
      </c>
      <c r="P43" s="689">
        <f>industrie!O22</f>
        <v>0</v>
      </c>
      <c r="Q43" s="772">
        <f>industrie!P22</f>
        <v>0</v>
      </c>
      <c r="R43" s="851">
        <f t="shared" ca="1" si="4"/>
        <v>26.687496637874478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1013.4942091464997</v>
      </c>
      <c r="D46" s="725">
        <f t="shared" ref="D46:Q46" ca="1" si="5">SUM(D39:D45)</f>
        <v>0</v>
      </c>
      <c r="E46" s="725">
        <f t="shared" ca="1" si="5"/>
        <v>732.6589031830124</v>
      </c>
      <c r="F46" s="725">
        <f t="shared" si="5"/>
        <v>1221.7601443929598</v>
      </c>
      <c r="G46" s="725">
        <f t="shared" ca="1" si="5"/>
        <v>2084.5983663601205</v>
      </c>
      <c r="H46" s="725">
        <f t="shared" si="5"/>
        <v>0</v>
      </c>
      <c r="I46" s="725">
        <f t="shared" si="5"/>
        <v>0</v>
      </c>
      <c r="J46" s="725">
        <f t="shared" si="5"/>
        <v>0</v>
      </c>
      <c r="K46" s="725">
        <f t="shared" si="5"/>
        <v>100.94051307480123</v>
      </c>
      <c r="L46" s="725">
        <f t="shared" si="5"/>
        <v>0</v>
      </c>
      <c r="M46" s="725">
        <f t="shared" ca="1" si="5"/>
        <v>0</v>
      </c>
      <c r="N46" s="725">
        <f t="shared" si="5"/>
        <v>0</v>
      </c>
      <c r="O46" s="725">
        <f t="shared" ca="1" si="5"/>
        <v>0</v>
      </c>
      <c r="P46" s="725">
        <f t="shared" si="5"/>
        <v>0</v>
      </c>
      <c r="Q46" s="725">
        <f t="shared" si="5"/>
        <v>0</v>
      </c>
      <c r="R46" s="725">
        <f ca="1">SUM(R39:R45)</f>
        <v>5153.4521361573934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32.42483681316051</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32.42483681316051</v>
      </c>
    </row>
    <row r="50" spans="1:18">
      <c r="A50" s="827" t="s">
        <v>306</v>
      </c>
      <c r="B50" s="837"/>
      <c r="C50" s="695">
        <f ca="1">transport!B18</f>
        <v>1.2843143654879199</v>
      </c>
      <c r="D50" s="695">
        <f>transport!C18</f>
        <v>0</v>
      </c>
      <c r="E50" s="695">
        <f>transport!D18</f>
        <v>6.2756833481902339</v>
      </c>
      <c r="F50" s="695">
        <f>transport!E18</f>
        <v>3.7369415909086761</v>
      </c>
      <c r="G50" s="695">
        <f>transport!F18</f>
        <v>0</v>
      </c>
      <c r="H50" s="695">
        <f>transport!G18</f>
        <v>1482.2203476602617</v>
      </c>
      <c r="I50" s="695">
        <f>transport!H18</f>
        <v>491.36354725328471</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1984.8808342181333</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1.2843143654879199</v>
      </c>
      <c r="D52" s="725">
        <f t="shared" ref="D52:Q52" ca="1" si="6">SUM(D48:D51)</f>
        <v>0</v>
      </c>
      <c r="E52" s="725">
        <f t="shared" si="6"/>
        <v>6.2756833481902339</v>
      </c>
      <c r="F52" s="725">
        <f t="shared" si="6"/>
        <v>3.7369415909086761</v>
      </c>
      <c r="G52" s="725">
        <f t="shared" si="6"/>
        <v>0</v>
      </c>
      <c r="H52" s="725">
        <f t="shared" si="6"/>
        <v>1514.6451844734222</v>
      </c>
      <c r="I52" s="725">
        <f t="shared" si="6"/>
        <v>491.36354725328471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2017.3056710312937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72.139603020618139</v>
      </c>
      <c r="D54" s="695">
        <f ca="1">+landbouw!C12</f>
        <v>0</v>
      </c>
      <c r="E54" s="695">
        <f>+landbouw!D12</f>
        <v>5.7944618956161129</v>
      </c>
      <c r="F54" s="695">
        <f>+landbouw!E12</f>
        <v>3.2469581017157583</v>
      </c>
      <c r="G54" s="695">
        <f>+landbouw!F12</f>
        <v>332.25127584832478</v>
      </c>
      <c r="H54" s="695">
        <f>+landbouw!G12</f>
        <v>0</v>
      </c>
      <c r="I54" s="695">
        <f>+landbouw!H12</f>
        <v>0</v>
      </c>
      <c r="J54" s="695">
        <f>+landbouw!I12</f>
        <v>0</v>
      </c>
      <c r="K54" s="695">
        <f>+landbouw!J12</f>
        <v>35.642122561512927</v>
      </c>
      <c r="L54" s="695">
        <f>+landbouw!K12</f>
        <v>0</v>
      </c>
      <c r="M54" s="695">
        <f>+landbouw!L12</f>
        <v>0</v>
      </c>
      <c r="N54" s="695">
        <f>+landbouw!M12</f>
        <v>0</v>
      </c>
      <c r="O54" s="695">
        <f>+landbouw!N12</f>
        <v>0</v>
      </c>
      <c r="P54" s="695">
        <f>+landbouw!O12</f>
        <v>0</v>
      </c>
      <c r="Q54" s="696">
        <f>+landbouw!P12</f>
        <v>0</v>
      </c>
      <c r="R54" s="724">
        <f ca="1">SUM(C54:Q54)</f>
        <v>449.07442142778768</v>
      </c>
    </row>
    <row r="55" spans="1:18" ht="15" thickBot="1">
      <c r="A55" s="827" t="s">
        <v>714</v>
      </c>
      <c r="B55" s="837"/>
      <c r="C55" s="695">
        <f ca="1">C25*'EF ele_warmte'!B12</f>
        <v>13.147820301974148</v>
      </c>
      <c r="D55" s="695"/>
      <c r="E55" s="695">
        <f>E25*EF_CO2_aardgas</f>
        <v>11.762568113038041</v>
      </c>
      <c r="F55" s="695"/>
      <c r="G55" s="695"/>
      <c r="H55" s="695"/>
      <c r="I55" s="695"/>
      <c r="J55" s="695"/>
      <c r="K55" s="695"/>
      <c r="L55" s="695"/>
      <c r="M55" s="695"/>
      <c r="N55" s="695"/>
      <c r="O55" s="695"/>
      <c r="P55" s="695"/>
      <c r="Q55" s="696"/>
      <c r="R55" s="724">
        <f ca="1">SUM(C55:Q55)</f>
        <v>24.910388415012189</v>
      </c>
    </row>
    <row r="56" spans="1:18" ht="15.75" thickBot="1">
      <c r="A56" s="825" t="s">
        <v>715</v>
      </c>
      <c r="B56" s="838"/>
      <c r="C56" s="725">
        <f ca="1">SUM(C54:C55)</f>
        <v>85.287423322592289</v>
      </c>
      <c r="D56" s="725">
        <f t="shared" ref="D56:Q56" ca="1" si="7">SUM(D54:D55)</f>
        <v>0</v>
      </c>
      <c r="E56" s="725">
        <f t="shared" si="7"/>
        <v>17.557030008654152</v>
      </c>
      <c r="F56" s="725">
        <f t="shared" si="7"/>
        <v>3.2469581017157583</v>
      </c>
      <c r="G56" s="725">
        <f t="shared" si="7"/>
        <v>332.25127584832478</v>
      </c>
      <c r="H56" s="725">
        <f t="shared" si="7"/>
        <v>0</v>
      </c>
      <c r="I56" s="725">
        <f t="shared" si="7"/>
        <v>0</v>
      </c>
      <c r="J56" s="725">
        <f t="shared" si="7"/>
        <v>0</v>
      </c>
      <c r="K56" s="725">
        <f t="shared" si="7"/>
        <v>35.642122561512927</v>
      </c>
      <c r="L56" s="725">
        <f t="shared" si="7"/>
        <v>0</v>
      </c>
      <c r="M56" s="725">
        <f t="shared" si="7"/>
        <v>0</v>
      </c>
      <c r="N56" s="725">
        <f t="shared" si="7"/>
        <v>0</v>
      </c>
      <c r="O56" s="725">
        <f t="shared" si="7"/>
        <v>0</v>
      </c>
      <c r="P56" s="725">
        <f t="shared" si="7"/>
        <v>0</v>
      </c>
      <c r="Q56" s="726">
        <f t="shared" si="7"/>
        <v>0</v>
      </c>
      <c r="R56" s="727">
        <f ca="1">SUM(R54:R55)</f>
        <v>473.98480984279985</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1100.0659468345798</v>
      </c>
      <c r="D61" s="733">
        <f t="shared" ref="D61:Q61" ca="1" si="8">D46+D52+D56</f>
        <v>0</v>
      </c>
      <c r="E61" s="733">
        <f t="shared" ca="1" si="8"/>
        <v>756.49161653985675</v>
      </c>
      <c r="F61" s="733">
        <f t="shared" si="8"/>
        <v>1228.7440440855842</v>
      </c>
      <c r="G61" s="733">
        <f t="shared" ca="1" si="8"/>
        <v>2416.8496422084454</v>
      </c>
      <c r="H61" s="733">
        <f t="shared" si="8"/>
        <v>1514.6451844734222</v>
      </c>
      <c r="I61" s="733">
        <f t="shared" si="8"/>
        <v>491.36354725328471</v>
      </c>
      <c r="J61" s="733">
        <f t="shared" si="8"/>
        <v>0</v>
      </c>
      <c r="K61" s="733">
        <f t="shared" si="8"/>
        <v>136.58263563631417</v>
      </c>
      <c r="L61" s="733">
        <f t="shared" si="8"/>
        <v>0</v>
      </c>
      <c r="M61" s="733">
        <f t="shared" ca="1" si="8"/>
        <v>0</v>
      </c>
      <c r="N61" s="733">
        <f t="shared" si="8"/>
        <v>0</v>
      </c>
      <c r="O61" s="733">
        <f t="shared" ca="1" si="8"/>
        <v>0</v>
      </c>
      <c r="P61" s="733">
        <f t="shared" si="8"/>
        <v>0</v>
      </c>
      <c r="Q61" s="733">
        <f t="shared" si="8"/>
        <v>0</v>
      </c>
      <c r="R61" s="733">
        <f ca="1">R46+R52+R56</f>
        <v>7644.7426170314875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0.18808359897729768</v>
      </c>
      <c r="D63" s="779">
        <f t="shared" ca="1" si="9"/>
        <v>0</v>
      </c>
      <c r="E63" s="973">
        <f t="shared" ca="1" si="9"/>
        <v>0.20200000000000001</v>
      </c>
      <c r="F63" s="779">
        <f t="shared" si="9"/>
        <v>0.22699999999999995</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871.13981956936345</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871.13981956936345</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4080.2108073108884</v>
      </c>
      <c r="C4" s="455">
        <f>huishoudens!C8</f>
        <v>0</v>
      </c>
      <c r="D4" s="455">
        <f>huishoudens!D8</f>
        <v>2587.6452430983559</v>
      </c>
      <c r="E4" s="455">
        <f>huishoudens!E8</f>
        <v>5376.9730049108939</v>
      </c>
      <c r="F4" s="455">
        <f>huishoudens!F8</f>
        <v>7543.1794373248085</v>
      </c>
      <c r="G4" s="455">
        <f>huishoudens!G8</f>
        <v>0</v>
      </c>
      <c r="H4" s="455">
        <f>huishoudens!H8</f>
        <v>0</v>
      </c>
      <c r="I4" s="455">
        <f>huishoudens!I8</f>
        <v>0</v>
      </c>
      <c r="J4" s="455">
        <f>huishoudens!J8</f>
        <v>285.0847358126677</v>
      </c>
      <c r="K4" s="455">
        <f>huishoudens!K8</f>
        <v>0</v>
      </c>
      <c r="L4" s="455">
        <f>huishoudens!L8</f>
        <v>0</v>
      </c>
      <c r="M4" s="455">
        <f>huishoudens!M8</f>
        <v>0</v>
      </c>
      <c r="N4" s="455">
        <f>huishoudens!N8</f>
        <v>4804.7865982542617</v>
      </c>
      <c r="O4" s="455">
        <f>huishoudens!O8</f>
        <v>61.502704800997982</v>
      </c>
      <c r="P4" s="456">
        <f>huishoudens!P8</f>
        <v>158.00938961527535</v>
      </c>
      <c r="Q4" s="457">
        <f>SUM(B4:P4)</f>
        <v>24897.391921128146</v>
      </c>
    </row>
    <row r="5" spans="1:17">
      <c r="A5" s="454" t="s">
        <v>155</v>
      </c>
      <c r="B5" s="455">
        <f ca="1">tertiair!B16</f>
        <v>1056.1834319927045</v>
      </c>
      <c r="C5" s="455">
        <f ca="1">tertiair!C16</f>
        <v>0</v>
      </c>
      <c r="D5" s="455">
        <f ca="1">tertiair!D16</f>
        <v>1039.3790300848734</v>
      </c>
      <c r="E5" s="455">
        <f>tertiair!E16</f>
        <v>4.3593631869502341</v>
      </c>
      <c r="F5" s="455">
        <f ca="1">tertiair!F16</f>
        <v>225.92621102606847</v>
      </c>
      <c r="G5" s="455">
        <f>tertiair!G16</f>
        <v>0</v>
      </c>
      <c r="H5" s="455">
        <f>tertiair!H16</f>
        <v>0</v>
      </c>
      <c r="I5" s="455">
        <f>tertiair!I16</f>
        <v>0</v>
      </c>
      <c r="J5" s="455">
        <f>tertiair!J16</f>
        <v>2.503759594333179E-3</v>
      </c>
      <c r="K5" s="455">
        <f>tertiair!K16</f>
        <v>0</v>
      </c>
      <c r="L5" s="455">
        <f ca="1">tertiair!L16</f>
        <v>0</v>
      </c>
      <c r="M5" s="455">
        <f>tertiair!M16</f>
        <v>0</v>
      </c>
      <c r="N5" s="455">
        <f ca="1">tertiair!N16</f>
        <v>91.273816129657618</v>
      </c>
      <c r="O5" s="455">
        <f>tertiair!O16</f>
        <v>0</v>
      </c>
      <c r="P5" s="456">
        <f>tertiair!P16</f>
        <v>0</v>
      </c>
      <c r="Q5" s="454">
        <f t="shared" ref="Q5:Q14" ca="1" si="0">SUM(B5:P5)</f>
        <v>2417.1243561798483</v>
      </c>
    </row>
    <row r="6" spans="1:17">
      <c r="A6" s="454" t="s">
        <v>193</v>
      </c>
      <c r="B6" s="455">
        <f>'openbare verlichting'!B8</f>
        <v>165.88200000000001</v>
      </c>
      <c r="C6" s="455"/>
      <c r="D6" s="455"/>
      <c r="E6" s="455"/>
      <c r="F6" s="455"/>
      <c r="G6" s="455"/>
      <c r="H6" s="455"/>
      <c r="I6" s="455"/>
      <c r="J6" s="455"/>
      <c r="K6" s="455"/>
      <c r="L6" s="455"/>
      <c r="M6" s="455"/>
      <c r="N6" s="455"/>
      <c r="O6" s="455"/>
      <c r="P6" s="456"/>
      <c r="Q6" s="454">
        <f t="shared" si="0"/>
        <v>165.88200000000001</v>
      </c>
    </row>
    <row r="7" spans="1:17">
      <c r="A7" s="454" t="s">
        <v>111</v>
      </c>
      <c r="B7" s="455">
        <f>landbouw!B8</f>
        <v>383.550737081151</v>
      </c>
      <c r="C7" s="455">
        <f>landbouw!C8</f>
        <v>0</v>
      </c>
      <c r="D7" s="455">
        <f>landbouw!D8</f>
        <v>28.685454928792637</v>
      </c>
      <c r="E7" s="455">
        <f>landbouw!E8</f>
        <v>14.303780183769859</v>
      </c>
      <c r="F7" s="455">
        <f>landbouw!F8</f>
        <v>1244.3868009300552</v>
      </c>
      <c r="G7" s="455">
        <f>landbouw!G8</f>
        <v>0</v>
      </c>
      <c r="H7" s="455">
        <f>landbouw!H8</f>
        <v>0</v>
      </c>
      <c r="I7" s="455">
        <f>landbouw!I8</f>
        <v>0</v>
      </c>
      <c r="J7" s="455">
        <f>landbouw!J8</f>
        <v>100.68396203817213</v>
      </c>
      <c r="K7" s="455">
        <f>landbouw!K8</f>
        <v>0</v>
      </c>
      <c r="L7" s="455">
        <f>landbouw!L8</f>
        <v>0</v>
      </c>
      <c r="M7" s="455">
        <f>landbouw!M8</f>
        <v>0</v>
      </c>
      <c r="N7" s="455">
        <f>landbouw!N8</f>
        <v>0</v>
      </c>
      <c r="O7" s="455">
        <f>landbouw!O8</f>
        <v>0</v>
      </c>
      <c r="P7" s="456">
        <f>landbouw!P8</f>
        <v>0</v>
      </c>
      <c r="Q7" s="454">
        <f t="shared" si="0"/>
        <v>1771.6107351619407</v>
      </c>
    </row>
    <row r="8" spans="1:17">
      <c r="A8" s="454" t="s">
        <v>626</v>
      </c>
      <c r="B8" s="455">
        <f>industrie!B18</f>
        <v>86.254258078221795</v>
      </c>
      <c r="C8" s="455">
        <f>industrie!C18</f>
        <v>0</v>
      </c>
      <c r="D8" s="455">
        <f>industrie!D18</f>
        <v>0</v>
      </c>
      <c r="E8" s="455">
        <f>industrie!E18</f>
        <v>0.87091116629626908</v>
      </c>
      <c r="F8" s="455">
        <f>industrie!F18</f>
        <v>38.378869851820753</v>
      </c>
      <c r="G8" s="455">
        <f>industrie!G18</f>
        <v>0</v>
      </c>
      <c r="H8" s="455">
        <f>industrie!H18</f>
        <v>0</v>
      </c>
      <c r="I8" s="455">
        <f>industrie!I18</f>
        <v>0</v>
      </c>
      <c r="J8" s="455">
        <f>industrie!J18</f>
        <v>5.5452729436379175E-2</v>
      </c>
      <c r="K8" s="455">
        <f>industrie!K18</f>
        <v>0</v>
      </c>
      <c r="L8" s="455">
        <f>industrie!L18</f>
        <v>0</v>
      </c>
      <c r="M8" s="455">
        <f>industrie!M18</f>
        <v>0</v>
      </c>
      <c r="N8" s="455">
        <f>industrie!N18</f>
        <v>2.9367832625683139</v>
      </c>
      <c r="O8" s="455">
        <f>industrie!O18</f>
        <v>0</v>
      </c>
      <c r="P8" s="456">
        <f>industrie!P18</f>
        <v>0</v>
      </c>
      <c r="Q8" s="454">
        <f t="shared" si="0"/>
        <v>128.49627508834351</v>
      </c>
    </row>
    <row r="9" spans="1:17" s="460" customFormat="1">
      <c r="A9" s="458" t="s">
        <v>552</v>
      </c>
      <c r="B9" s="459">
        <f>transport!B14</f>
        <v>6.828422959106291</v>
      </c>
      <c r="C9" s="459">
        <f>transport!C14</f>
        <v>0</v>
      </c>
      <c r="D9" s="459">
        <f>transport!D14</f>
        <v>31.067739347476405</v>
      </c>
      <c r="E9" s="459">
        <f>transport!E14</f>
        <v>16.462297757306942</v>
      </c>
      <c r="F9" s="459">
        <f>transport!F14</f>
        <v>0</v>
      </c>
      <c r="G9" s="459">
        <f>transport!G14</f>
        <v>5551.3870698886203</v>
      </c>
      <c r="H9" s="459">
        <f>transport!H14</f>
        <v>1973.3475793304606</v>
      </c>
      <c r="I9" s="459">
        <f>transport!I14</f>
        <v>0</v>
      </c>
      <c r="J9" s="459">
        <f>transport!J14</f>
        <v>0</v>
      </c>
      <c r="K9" s="459">
        <f>transport!K14</f>
        <v>0</v>
      </c>
      <c r="L9" s="459">
        <f>transport!L14</f>
        <v>0</v>
      </c>
      <c r="M9" s="459">
        <f>transport!M14</f>
        <v>449.73231561966605</v>
      </c>
      <c r="N9" s="459">
        <f>transport!N14</f>
        <v>0</v>
      </c>
      <c r="O9" s="459">
        <f>transport!O14</f>
        <v>0</v>
      </c>
      <c r="P9" s="459">
        <f>transport!P14</f>
        <v>0</v>
      </c>
      <c r="Q9" s="458">
        <f>SUM(B9:P9)</f>
        <v>8028.8254249026368</v>
      </c>
    </row>
    <row r="10" spans="1:17">
      <c r="A10" s="454" t="s">
        <v>542</v>
      </c>
      <c r="B10" s="455">
        <f>transport!B54</f>
        <v>0</v>
      </c>
      <c r="C10" s="455">
        <f>transport!C54</f>
        <v>0</v>
      </c>
      <c r="D10" s="455">
        <f>transport!D54</f>
        <v>0</v>
      </c>
      <c r="E10" s="455">
        <f>transport!E54</f>
        <v>0</v>
      </c>
      <c r="F10" s="455">
        <f>transport!F54</f>
        <v>0</v>
      </c>
      <c r="G10" s="455">
        <f>transport!G54</f>
        <v>121.44133637887832</v>
      </c>
      <c r="H10" s="455">
        <f>transport!H54</f>
        <v>0</v>
      </c>
      <c r="I10" s="455">
        <f>transport!I54</f>
        <v>0</v>
      </c>
      <c r="J10" s="455">
        <f>transport!J54</f>
        <v>0</v>
      </c>
      <c r="K10" s="455">
        <f>transport!K54</f>
        <v>0</v>
      </c>
      <c r="L10" s="455">
        <f>transport!L54</f>
        <v>0</v>
      </c>
      <c r="M10" s="455">
        <f>transport!M54</f>
        <v>6.5900985917786832</v>
      </c>
      <c r="N10" s="455">
        <f>transport!N54</f>
        <v>0</v>
      </c>
      <c r="O10" s="455">
        <f>transport!O54</f>
        <v>0</v>
      </c>
      <c r="P10" s="456">
        <f>transport!P54</f>
        <v>0</v>
      </c>
      <c r="Q10" s="454">
        <f t="shared" si="0"/>
        <v>128.03143497065699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69.904129724576009</v>
      </c>
      <c r="C14" s="462"/>
      <c r="D14" s="462">
        <f>'SEAP template'!E25</f>
        <v>58.230535213059603</v>
      </c>
      <c r="E14" s="462"/>
      <c r="F14" s="462"/>
      <c r="G14" s="462"/>
      <c r="H14" s="462"/>
      <c r="I14" s="462"/>
      <c r="J14" s="462"/>
      <c r="K14" s="462"/>
      <c r="L14" s="462"/>
      <c r="M14" s="462"/>
      <c r="N14" s="462"/>
      <c r="O14" s="462"/>
      <c r="P14" s="463"/>
      <c r="Q14" s="454">
        <f t="shared" si="0"/>
        <v>128.13466493763562</v>
      </c>
    </row>
    <row r="15" spans="1:17" s="466" customFormat="1">
      <c r="A15" s="464" t="s">
        <v>546</v>
      </c>
      <c r="B15" s="465">
        <f ca="1">SUM(B4:B14)</f>
        <v>5848.8137871466479</v>
      </c>
      <c r="C15" s="465">
        <f t="shared" ref="C15:Q15" ca="1" si="1">SUM(C4:C14)</f>
        <v>0</v>
      </c>
      <c r="D15" s="465">
        <f t="shared" ca="1" si="1"/>
        <v>3745.0080026725586</v>
      </c>
      <c r="E15" s="465">
        <f t="shared" si="1"/>
        <v>5412.9693572052174</v>
      </c>
      <c r="F15" s="465">
        <f t="shared" ca="1" si="1"/>
        <v>9051.8713191327533</v>
      </c>
      <c r="G15" s="465">
        <f t="shared" si="1"/>
        <v>5672.8284062674984</v>
      </c>
      <c r="H15" s="465">
        <f t="shared" si="1"/>
        <v>1973.3475793304606</v>
      </c>
      <c r="I15" s="465">
        <f t="shared" si="1"/>
        <v>0</v>
      </c>
      <c r="J15" s="465">
        <f t="shared" si="1"/>
        <v>385.82665433987052</v>
      </c>
      <c r="K15" s="465">
        <f t="shared" si="1"/>
        <v>0</v>
      </c>
      <c r="L15" s="465">
        <f t="shared" ca="1" si="1"/>
        <v>0</v>
      </c>
      <c r="M15" s="465">
        <f t="shared" si="1"/>
        <v>456.32241421144471</v>
      </c>
      <c r="N15" s="465">
        <f t="shared" ca="1" si="1"/>
        <v>4898.9971976464876</v>
      </c>
      <c r="O15" s="465">
        <f t="shared" si="1"/>
        <v>61.502704800997982</v>
      </c>
      <c r="P15" s="465">
        <f t="shared" si="1"/>
        <v>158.00938961527535</v>
      </c>
      <c r="Q15" s="465">
        <f t="shared" ca="1" si="1"/>
        <v>37665.496812369209</v>
      </c>
    </row>
    <row r="17" spans="1:17">
      <c r="A17" s="467" t="s">
        <v>547</v>
      </c>
      <c r="B17" s="784">
        <f ca="1">huishoudens!B10</f>
        <v>0.18808359897729768</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767.42073322509714</v>
      </c>
      <c r="C22" s="455">
        <f t="shared" ref="C22:C32" ca="1" si="3">C4*$C$17</f>
        <v>0</v>
      </c>
      <c r="D22" s="455">
        <f t="shared" ref="D22:D32" si="4">D4*$D$17</f>
        <v>522.70433910586792</v>
      </c>
      <c r="E22" s="455">
        <f t="shared" ref="E22:E32" si="5">E4*$E$17</f>
        <v>1220.572872114773</v>
      </c>
      <c r="F22" s="455">
        <f t="shared" ref="F22:F32" si="6">F4*$F$17</f>
        <v>2014.0289097657239</v>
      </c>
      <c r="G22" s="455">
        <f t="shared" ref="G22:G32" si="7">G4*$G$17</f>
        <v>0</v>
      </c>
      <c r="H22" s="455">
        <f t="shared" ref="H22:H32" si="8">H4*$H$17</f>
        <v>0</v>
      </c>
      <c r="I22" s="455">
        <f t="shared" ref="I22:I32" si="9">I4*$I$17</f>
        <v>0</v>
      </c>
      <c r="J22" s="455">
        <f t="shared" ref="J22:J32" si="10">J4*$J$17</f>
        <v>100.91999647768436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4625.646850689146</v>
      </c>
    </row>
    <row r="23" spans="1:17">
      <c r="A23" s="454" t="s">
        <v>155</v>
      </c>
      <c r="B23" s="455">
        <f t="shared" ca="1" si="2"/>
        <v>198.65078106938179</v>
      </c>
      <c r="C23" s="455">
        <f t="shared" ca="1" si="3"/>
        <v>0</v>
      </c>
      <c r="D23" s="455">
        <f t="shared" ca="1" si="4"/>
        <v>209.95456407714445</v>
      </c>
      <c r="E23" s="455">
        <f t="shared" si="5"/>
        <v>0.98957544343770321</v>
      </c>
      <c r="F23" s="455">
        <f t="shared" ca="1" si="6"/>
        <v>60.322298343960284</v>
      </c>
      <c r="G23" s="455">
        <f t="shared" si="7"/>
        <v>0</v>
      </c>
      <c r="H23" s="455">
        <f t="shared" si="8"/>
        <v>0</v>
      </c>
      <c r="I23" s="455">
        <f t="shared" si="9"/>
        <v>0</v>
      </c>
      <c r="J23" s="455">
        <f t="shared" si="10"/>
        <v>8.8633089639394535E-4</v>
      </c>
      <c r="K23" s="455">
        <f t="shared" si="11"/>
        <v>0</v>
      </c>
      <c r="L23" s="455">
        <f t="shared" ca="1" si="12"/>
        <v>0</v>
      </c>
      <c r="M23" s="455">
        <f t="shared" si="13"/>
        <v>0</v>
      </c>
      <c r="N23" s="455">
        <f t="shared" ca="1" si="14"/>
        <v>0</v>
      </c>
      <c r="O23" s="455">
        <f t="shared" si="15"/>
        <v>0</v>
      </c>
      <c r="P23" s="456">
        <f t="shared" si="16"/>
        <v>0</v>
      </c>
      <c r="Q23" s="454">
        <f t="shared" ref="Q23:Q31" ca="1" si="17">SUM(B23:P23)</f>
        <v>469.91810526482061</v>
      </c>
    </row>
    <row r="24" spans="1:17">
      <c r="A24" s="454" t="s">
        <v>193</v>
      </c>
      <c r="B24" s="455">
        <f t="shared" ca="1" si="2"/>
        <v>31.199683565552096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31.199683565552096</v>
      </c>
    </row>
    <row r="25" spans="1:17">
      <c r="A25" s="454" t="s">
        <v>111</v>
      </c>
      <c r="B25" s="455">
        <f t="shared" ca="1" si="2"/>
        <v>72.139603020618139</v>
      </c>
      <c r="C25" s="455">
        <f t="shared" ca="1" si="3"/>
        <v>0</v>
      </c>
      <c r="D25" s="455">
        <f t="shared" si="4"/>
        <v>5.7944618956161129</v>
      </c>
      <c r="E25" s="455">
        <f t="shared" si="5"/>
        <v>3.2469581017157583</v>
      </c>
      <c r="F25" s="455">
        <f t="shared" si="6"/>
        <v>332.25127584832478</v>
      </c>
      <c r="G25" s="455">
        <f t="shared" si="7"/>
        <v>0</v>
      </c>
      <c r="H25" s="455">
        <f t="shared" si="8"/>
        <v>0</v>
      </c>
      <c r="I25" s="455">
        <f t="shared" si="9"/>
        <v>0</v>
      </c>
      <c r="J25" s="455">
        <f t="shared" si="10"/>
        <v>35.642122561512927</v>
      </c>
      <c r="K25" s="455">
        <f t="shared" si="11"/>
        <v>0</v>
      </c>
      <c r="L25" s="455">
        <f t="shared" si="12"/>
        <v>0</v>
      </c>
      <c r="M25" s="455">
        <f t="shared" si="13"/>
        <v>0</v>
      </c>
      <c r="N25" s="455">
        <f t="shared" si="14"/>
        <v>0</v>
      </c>
      <c r="O25" s="455">
        <f t="shared" si="15"/>
        <v>0</v>
      </c>
      <c r="P25" s="456">
        <f t="shared" si="16"/>
        <v>0</v>
      </c>
      <c r="Q25" s="454">
        <f t="shared" ca="1" si="17"/>
        <v>449.07442142778768</v>
      </c>
    </row>
    <row r="26" spans="1:17">
      <c r="A26" s="454" t="s">
        <v>626</v>
      </c>
      <c r="B26" s="455">
        <f t="shared" ca="1" si="2"/>
        <v>16.223011286468608</v>
      </c>
      <c r="C26" s="455">
        <f t="shared" ca="1" si="3"/>
        <v>0</v>
      </c>
      <c r="D26" s="455">
        <f t="shared" si="4"/>
        <v>0</v>
      </c>
      <c r="E26" s="455">
        <f t="shared" si="5"/>
        <v>0.19769683474925309</v>
      </c>
      <c r="F26" s="455">
        <f t="shared" si="6"/>
        <v>10.247158250436142</v>
      </c>
      <c r="G26" s="455">
        <f t="shared" si="7"/>
        <v>0</v>
      </c>
      <c r="H26" s="455">
        <f t="shared" si="8"/>
        <v>0</v>
      </c>
      <c r="I26" s="455">
        <f t="shared" si="9"/>
        <v>0</v>
      </c>
      <c r="J26" s="455">
        <f t="shared" si="10"/>
        <v>1.9630266220478226E-2</v>
      </c>
      <c r="K26" s="455">
        <f t="shared" si="11"/>
        <v>0</v>
      </c>
      <c r="L26" s="455">
        <f t="shared" si="12"/>
        <v>0</v>
      </c>
      <c r="M26" s="455">
        <f t="shared" si="13"/>
        <v>0</v>
      </c>
      <c r="N26" s="455">
        <f t="shared" si="14"/>
        <v>0</v>
      </c>
      <c r="O26" s="455">
        <f t="shared" si="15"/>
        <v>0</v>
      </c>
      <c r="P26" s="456">
        <f t="shared" si="16"/>
        <v>0</v>
      </c>
      <c r="Q26" s="454">
        <f t="shared" ca="1" si="17"/>
        <v>26.687496637874478</v>
      </c>
    </row>
    <row r="27" spans="1:17" s="460" customFormat="1">
      <c r="A27" s="458" t="s">
        <v>552</v>
      </c>
      <c r="B27" s="778">
        <f t="shared" ca="1" si="2"/>
        <v>1.2843143654879199</v>
      </c>
      <c r="C27" s="459">
        <f t="shared" ca="1" si="3"/>
        <v>0</v>
      </c>
      <c r="D27" s="459">
        <f t="shared" si="4"/>
        <v>6.2756833481902339</v>
      </c>
      <c r="E27" s="459">
        <f t="shared" si="5"/>
        <v>3.7369415909086761</v>
      </c>
      <c r="F27" s="459">
        <f t="shared" si="6"/>
        <v>0</v>
      </c>
      <c r="G27" s="459">
        <f t="shared" si="7"/>
        <v>1482.2203476602617</v>
      </c>
      <c r="H27" s="459">
        <f t="shared" si="8"/>
        <v>491.36354725328471</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1984.8808342181333</v>
      </c>
    </row>
    <row r="28" spans="1:17" ht="16.5" customHeight="1">
      <c r="A28" s="454" t="s">
        <v>542</v>
      </c>
      <c r="B28" s="455">
        <f t="shared" ca="1" si="2"/>
        <v>0</v>
      </c>
      <c r="C28" s="455">
        <f t="shared" ca="1" si="3"/>
        <v>0</v>
      </c>
      <c r="D28" s="455">
        <f t="shared" si="4"/>
        <v>0</v>
      </c>
      <c r="E28" s="455">
        <f t="shared" si="5"/>
        <v>0</v>
      </c>
      <c r="F28" s="455">
        <f t="shared" si="6"/>
        <v>0</v>
      </c>
      <c r="G28" s="455">
        <f t="shared" si="7"/>
        <v>32.42483681316051</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32.42483681316051</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13.147820301974148</v>
      </c>
      <c r="C32" s="455">
        <f t="shared" ca="1" si="3"/>
        <v>0</v>
      </c>
      <c r="D32" s="455">
        <f t="shared" si="4"/>
        <v>11.762568113038041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24.910388415012189</v>
      </c>
    </row>
    <row r="33" spans="1:17" s="466" customFormat="1">
      <c r="A33" s="464" t="s">
        <v>546</v>
      </c>
      <c r="B33" s="465">
        <f ca="1">SUM(B22:B32)</f>
        <v>1100.0659468345798</v>
      </c>
      <c r="C33" s="465">
        <f t="shared" ref="C33:Q33" ca="1" si="19">SUM(C22:C32)</f>
        <v>0</v>
      </c>
      <c r="D33" s="465">
        <f t="shared" ca="1" si="19"/>
        <v>756.49161653985675</v>
      </c>
      <c r="E33" s="465">
        <f t="shared" si="19"/>
        <v>1228.7440440855842</v>
      </c>
      <c r="F33" s="465">
        <f t="shared" ca="1" si="19"/>
        <v>2416.8496422084454</v>
      </c>
      <c r="G33" s="465">
        <f t="shared" si="19"/>
        <v>1514.6451844734222</v>
      </c>
      <c r="H33" s="465">
        <f t="shared" si="19"/>
        <v>491.36354725328471</v>
      </c>
      <c r="I33" s="465">
        <f t="shared" si="19"/>
        <v>0</v>
      </c>
      <c r="J33" s="465">
        <f t="shared" si="19"/>
        <v>136.58263563631417</v>
      </c>
      <c r="K33" s="465">
        <f t="shared" si="19"/>
        <v>0</v>
      </c>
      <c r="L33" s="465">
        <f t="shared" ca="1" si="19"/>
        <v>0</v>
      </c>
      <c r="M33" s="465">
        <f t="shared" si="19"/>
        <v>0</v>
      </c>
      <c r="N33" s="465">
        <f t="shared" ca="1" si="19"/>
        <v>0</v>
      </c>
      <c r="O33" s="465">
        <f t="shared" si="19"/>
        <v>0</v>
      </c>
      <c r="P33" s="465">
        <f t="shared" si="19"/>
        <v>0</v>
      </c>
      <c r="Q33" s="465">
        <f t="shared" ca="1" si="19"/>
        <v>7644.7426170314857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871.13981956936345</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871.13981956936345</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0.18808359897729768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0.18808359897729768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0.18808359897729768</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0.18808359897729768</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885</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1454.41</v>
      </c>
      <c r="C14" s="332"/>
      <c r="D14" s="332"/>
      <c r="E14" s="332"/>
      <c r="F14" s="332"/>
    </row>
    <row r="15" spans="1:6">
      <c r="A15" s="1310" t="s">
        <v>183</v>
      </c>
      <c r="B15" s="1311">
        <v>16</v>
      </c>
      <c r="C15" s="332"/>
      <c r="D15" s="332"/>
      <c r="E15" s="332"/>
      <c r="F15" s="332"/>
    </row>
    <row r="16" spans="1:6">
      <c r="A16" s="1310" t="s">
        <v>6</v>
      </c>
      <c r="B16" s="1311">
        <v>312</v>
      </c>
      <c r="C16" s="332"/>
      <c r="D16" s="332"/>
      <c r="E16" s="332"/>
      <c r="F16" s="332"/>
    </row>
    <row r="17" spans="1:6">
      <c r="A17" s="1310" t="s">
        <v>7</v>
      </c>
      <c r="B17" s="1311">
        <v>744</v>
      </c>
      <c r="C17" s="332"/>
      <c r="D17" s="332"/>
      <c r="E17" s="332"/>
      <c r="F17" s="332"/>
    </row>
    <row r="18" spans="1:6">
      <c r="A18" s="1310" t="s">
        <v>8</v>
      </c>
      <c r="B18" s="1311">
        <v>772</v>
      </c>
      <c r="C18" s="332"/>
      <c r="D18" s="332"/>
      <c r="E18" s="332"/>
      <c r="F18" s="332"/>
    </row>
    <row r="19" spans="1:6">
      <c r="A19" s="1310" t="s">
        <v>9</v>
      </c>
      <c r="B19" s="1311">
        <v>662</v>
      </c>
      <c r="C19" s="332"/>
      <c r="D19" s="332"/>
      <c r="E19" s="332"/>
      <c r="F19" s="332"/>
    </row>
    <row r="20" spans="1:6">
      <c r="A20" s="1310" t="s">
        <v>10</v>
      </c>
      <c r="B20" s="1311">
        <v>602</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7</v>
      </c>
      <c r="C26" s="332"/>
      <c r="D26" s="332"/>
      <c r="E26" s="332"/>
      <c r="F26" s="332"/>
    </row>
    <row r="27" spans="1:6">
      <c r="A27" s="1310" t="s">
        <v>17</v>
      </c>
      <c r="B27" s="1311">
        <v>0</v>
      </c>
      <c r="C27" s="332"/>
      <c r="D27" s="332"/>
      <c r="E27" s="332"/>
      <c r="F27" s="332"/>
    </row>
    <row r="28" spans="1:6" s="43" customFormat="1">
      <c r="A28" s="1312" t="s">
        <v>18</v>
      </c>
      <c r="B28" s="1313">
        <v>22714</v>
      </c>
      <c r="C28" s="338"/>
      <c r="D28" s="338"/>
      <c r="E28" s="338"/>
      <c r="F28" s="338"/>
    </row>
    <row r="29" spans="1:6">
      <c r="A29" s="1312" t="s">
        <v>699</v>
      </c>
      <c r="B29" s="1313">
        <v>37</v>
      </c>
      <c r="C29" s="338"/>
      <c r="D29" s="338"/>
      <c r="E29" s="338"/>
      <c r="F29" s="338"/>
    </row>
    <row r="30" spans="1:6">
      <c r="A30" s="1305" t="s">
        <v>700</v>
      </c>
      <c r="B30" s="1314">
        <v>11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180</v>
      </c>
      <c r="D39" s="1311">
        <v>2865609.3500535502</v>
      </c>
      <c r="E39" s="1311">
        <v>783</v>
      </c>
      <c r="F39" s="1311">
        <v>3479448.9939207798</v>
      </c>
    </row>
    <row r="40" spans="1:6">
      <c r="A40" s="1310" t="s">
        <v>29</v>
      </c>
      <c r="B40" s="1310" t="s">
        <v>28</v>
      </c>
      <c r="C40" s="1311">
        <v>0</v>
      </c>
      <c r="D40" s="1311">
        <v>0</v>
      </c>
      <c r="E40" s="1311">
        <v>0</v>
      </c>
      <c r="F40" s="1311">
        <v>0</v>
      </c>
    </row>
    <row r="41" spans="1:6">
      <c r="A41" s="1310" t="s">
        <v>31</v>
      </c>
      <c r="B41" s="1310" t="s">
        <v>32</v>
      </c>
      <c r="C41" s="1311">
        <v>0</v>
      </c>
      <c r="D41" s="1311">
        <v>0</v>
      </c>
      <c r="E41" s="1311">
        <v>10</v>
      </c>
      <c r="F41" s="1311">
        <v>59092.310441757101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0</v>
      </c>
      <c r="F44" s="1311">
        <v>0</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0</v>
      </c>
      <c r="D48" s="1311">
        <v>0</v>
      </c>
      <c r="E48" s="1311">
        <v>3</v>
      </c>
      <c r="F48" s="1311">
        <v>27161.947636464702</v>
      </c>
    </row>
    <row r="49" spans="1:6">
      <c r="A49" s="1310" t="s">
        <v>31</v>
      </c>
      <c r="B49" s="1310" t="s">
        <v>39</v>
      </c>
      <c r="C49" s="1311">
        <v>0</v>
      </c>
      <c r="D49" s="1311">
        <v>0</v>
      </c>
      <c r="E49" s="1311">
        <v>0</v>
      </c>
      <c r="F49" s="1311">
        <v>0</v>
      </c>
    </row>
    <row r="50" spans="1:6">
      <c r="A50" s="1310" t="s">
        <v>31</v>
      </c>
      <c r="B50" s="1310" t="s">
        <v>40</v>
      </c>
      <c r="C50" s="1311">
        <v>0</v>
      </c>
      <c r="D50" s="1311">
        <v>0</v>
      </c>
      <c r="E50" s="1311">
        <v>0</v>
      </c>
      <c r="F50" s="1311">
        <v>0</v>
      </c>
    </row>
    <row r="51" spans="1:6">
      <c r="A51" s="1310" t="s">
        <v>41</v>
      </c>
      <c r="B51" s="1310" t="s">
        <v>42</v>
      </c>
      <c r="C51" s="1311">
        <v>0</v>
      </c>
      <c r="D51" s="1311">
        <v>0</v>
      </c>
      <c r="E51" s="1311">
        <v>30</v>
      </c>
      <c r="F51" s="1311">
        <v>383550.73708115099</v>
      </c>
    </row>
    <row r="52" spans="1:6">
      <c r="A52" s="1310" t="s">
        <v>41</v>
      </c>
      <c r="B52" s="1310" t="s">
        <v>28</v>
      </c>
      <c r="C52" s="1311">
        <v>2</v>
      </c>
      <c r="D52" s="1311">
        <v>31766.838237865599</v>
      </c>
      <c r="E52" s="1311">
        <v>0</v>
      </c>
      <c r="F52" s="1311">
        <v>0</v>
      </c>
    </row>
    <row r="53" spans="1:6">
      <c r="A53" s="1310" t="s">
        <v>43</v>
      </c>
      <c r="B53" s="1310" t="s">
        <v>44</v>
      </c>
      <c r="C53" s="1311">
        <v>4</v>
      </c>
      <c r="D53" s="1311">
        <v>58230.5352130596</v>
      </c>
      <c r="E53" s="1311">
        <v>21</v>
      </c>
      <c r="F53" s="1311">
        <v>69904.129724576007</v>
      </c>
    </row>
    <row r="54" spans="1:6">
      <c r="A54" s="1310" t="s">
        <v>45</v>
      </c>
      <c r="B54" s="1310" t="s">
        <v>46</v>
      </c>
      <c r="C54" s="1311">
        <v>0</v>
      </c>
      <c r="D54" s="1311">
        <v>0</v>
      </c>
      <c r="E54" s="1311">
        <v>1</v>
      </c>
      <c r="F54" s="1311">
        <v>165882</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0</v>
      </c>
      <c r="D57" s="1311">
        <v>0</v>
      </c>
      <c r="E57" s="1311">
        <v>9</v>
      </c>
      <c r="F57" s="1311">
        <v>253524.22048785599</v>
      </c>
    </row>
    <row r="58" spans="1:6">
      <c r="A58" s="1310" t="s">
        <v>48</v>
      </c>
      <c r="B58" s="1310" t="s">
        <v>50</v>
      </c>
      <c r="C58" s="1311">
        <v>6</v>
      </c>
      <c r="D58" s="1311">
        <v>86754.605134328798</v>
      </c>
      <c r="E58" s="1311">
        <v>11</v>
      </c>
      <c r="F58" s="1311">
        <v>64708.541537606499</v>
      </c>
    </row>
    <row r="59" spans="1:6">
      <c r="A59" s="1310" t="s">
        <v>48</v>
      </c>
      <c r="B59" s="1310" t="s">
        <v>51</v>
      </c>
      <c r="C59" s="1311">
        <v>10</v>
      </c>
      <c r="D59" s="1311">
        <v>209221.18535031</v>
      </c>
      <c r="E59" s="1311">
        <v>24</v>
      </c>
      <c r="F59" s="1311">
        <v>181595.403239368</v>
      </c>
    </row>
    <row r="60" spans="1:6">
      <c r="A60" s="1310" t="s">
        <v>48</v>
      </c>
      <c r="B60" s="1310" t="s">
        <v>52</v>
      </c>
      <c r="C60" s="1311">
        <v>7</v>
      </c>
      <c r="D60" s="1311">
        <v>270355.189825601</v>
      </c>
      <c r="E60" s="1311">
        <v>10</v>
      </c>
      <c r="F60" s="1311">
        <v>180157.01526830799</v>
      </c>
    </row>
    <row r="61" spans="1:6">
      <c r="A61" s="1310" t="s">
        <v>48</v>
      </c>
      <c r="B61" s="1310" t="s">
        <v>53</v>
      </c>
      <c r="C61" s="1311">
        <v>12</v>
      </c>
      <c r="D61" s="1311">
        <v>563114.49638994597</v>
      </c>
      <c r="E61" s="1311">
        <v>38</v>
      </c>
      <c r="F61" s="1311">
        <v>376198.251459566</v>
      </c>
    </row>
    <row r="62" spans="1:6">
      <c r="A62" s="1310" t="s">
        <v>48</v>
      </c>
      <c r="B62" s="1310" t="s">
        <v>54</v>
      </c>
      <c r="C62" s="1311">
        <v>0</v>
      </c>
      <c r="D62" s="1311">
        <v>0</v>
      </c>
      <c r="E62" s="1311">
        <v>0</v>
      </c>
      <c r="F62" s="1311">
        <v>0</v>
      </c>
    </row>
    <row r="63" spans="1:6">
      <c r="A63" s="1310" t="s">
        <v>48</v>
      </c>
      <c r="B63" s="1310" t="s">
        <v>28</v>
      </c>
      <c r="C63" s="1311">
        <v>1</v>
      </c>
      <c r="D63" s="1311">
        <v>21583.349528909799</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1</v>
      </c>
      <c r="F65" s="1311">
        <v>10368.583180289001</v>
      </c>
    </row>
    <row r="66" spans="1:6">
      <c r="A66" s="1310" t="s">
        <v>55</v>
      </c>
      <c r="B66" s="1310" t="s">
        <v>57</v>
      </c>
      <c r="C66" s="1311">
        <v>0</v>
      </c>
      <c r="D66" s="1311">
        <v>0</v>
      </c>
      <c r="E66" s="1311">
        <v>3</v>
      </c>
      <c r="F66" s="1311">
        <v>4794.8037537505998</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6331152</v>
      </c>
      <c r="E73" s="453"/>
      <c r="F73" s="332"/>
    </row>
    <row r="74" spans="1:6">
      <c r="A74" s="1310" t="s">
        <v>63</v>
      </c>
      <c r="B74" s="1310" t="s">
        <v>648</v>
      </c>
      <c r="C74" s="1324" t="s">
        <v>650</v>
      </c>
      <c r="D74" s="1325">
        <v>213978.59474410911</v>
      </c>
      <c r="E74" s="453"/>
      <c r="F74" s="332"/>
    </row>
    <row r="75" spans="1:6">
      <c r="A75" s="1310" t="s">
        <v>64</v>
      </c>
      <c r="B75" s="1310" t="s">
        <v>647</v>
      </c>
      <c r="C75" s="1324" t="s">
        <v>651</v>
      </c>
      <c r="D75" s="1325">
        <v>3777345</v>
      </c>
      <c r="E75" s="453"/>
      <c r="F75" s="332"/>
    </row>
    <row r="76" spans="1:6">
      <c r="A76" s="1310" t="s">
        <v>64</v>
      </c>
      <c r="B76" s="1310" t="s">
        <v>648</v>
      </c>
      <c r="C76" s="1324" t="s">
        <v>652</v>
      </c>
      <c r="D76" s="1325">
        <v>10887.594744109101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35512.810511781798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600.7618133901085</v>
      </c>
      <c r="C91" s="332"/>
      <c r="D91" s="332"/>
      <c r="E91" s="332"/>
      <c r="F91" s="332"/>
    </row>
    <row r="92" spans="1:6">
      <c r="A92" s="1305" t="s">
        <v>68</v>
      </c>
      <c r="B92" s="1306">
        <v>270.37800617925495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v>
      </c>
      <c r="C97" s="332"/>
      <c r="D97" s="332"/>
      <c r="E97" s="332"/>
      <c r="F97" s="332"/>
    </row>
    <row r="98" spans="1:6">
      <c r="A98" s="1310" t="s">
        <v>71</v>
      </c>
      <c r="B98" s="1311">
        <v>0</v>
      </c>
      <c r="C98" s="332"/>
      <c r="D98" s="332"/>
      <c r="E98" s="332"/>
      <c r="F98" s="332"/>
    </row>
    <row r="99" spans="1:6">
      <c r="A99" s="1310" t="s">
        <v>72</v>
      </c>
      <c r="B99" s="1311">
        <v>86</v>
      </c>
      <c r="C99" s="332"/>
      <c r="D99" s="332"/>
      <c r="E99" s="332"/>
      <c r="F99" s="332"/>
    </row>
    <row r="100" spans="1:6">
      <c r="A100" s="1310" t="s">
        <v>73</v>
      </c>
      <c r="B100" s="1311">
        <v>49</v>
      </c>
      <c r="C100" s="332"/>
      <c r="D100" s="332"/>
      <c r="E100" s="332"/>
      <c r="F100" s="332"/>
    </row>
    <row r="101" spans="1:6">
      <c r="A101" s="1310" t="s">
        <v>74</v>
      </c>
      <c r="B101" s="1311">
        <v>41</v>
      </c>
      <c r="C101" s="332"/>
      <c r="D101" s="332"/>
      <c r="E101" s="332"/>
      <c r="F101" s="332"/>
    </row>
    <row r="102" spans="1:6">
      <c r="A102" s="1310" t="s">
        <v>75</v>
      </c>
      <c r="B102" s="1311">
        <v>11</v>
      </c>
      <c r="C102" s="332"/>
      <c r="D102" s="332"/>
      <c r="E102" s="332"/>
      <c r="F102" s="332"/>
    </row>
    <row r="103" spans="1:6">
      <c r="A103" s="1310" t="s">
        <v>76</v>
      </c>
      <c r="B103" s="1311">
        <v>38</v>
      </c>
      <c r="C103" s="332"/>
      <c r="D103" s="332"/>
      <c r="E103" s="332"/>
      <c r="F103" s="332"/>
    </row>
    <row r="104" spans="1:6">
      <c r="A104" s="1310" t="s">
        <v>77</v>
      </c>
      <c r="B104" s="1311">
        <v>523</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5</v>
      </c>
      <c r="C123" s="1311">
        <v>8</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23</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10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5848.8137871466479</v>
      </c>
      <c r="C3" s="43" t="s">
        <v>169</v>
      </c>
      <c r="D3" s="43"/>
      <c r="E3" s="154"/>
      <c r="F3" s="43"/>
      <c r="G3" s="43"/>
      <c r="H3" s="43"/>
      <c r="I3" s="43"/>
      <c r="J3" s="43"/>
      <c r="K3" s="96"/>
    </row>
    <row r="4" spans="1:11">
      <c r="A4" s="360" t="s">
        <v>170</v>
      </c>
      <c r="B4" s="49">
        <f>IF(ISERROR('SEAP template'!B78+'SEAP template'!C78),0,'SEAP template'!B78+'SEAP template'!C78)</f>
        <v>871.13981956936345</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0.18808359897729768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165.88200000000001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165.88200000000001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0.18808359897729768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31.199683565552096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3479.4489939207797</v>
      </c>
      <c r="C5" s="17">
        <f>IF(ISERROR('Eigen informatie GS &amp; warmtenet'!B59),0,'Eigen informatie GS &amp; warmtenet'!B59)</f>
        <v>0</v>
      </c>
      <c r="D5" s="30">
        <f>(SUM(HH_hh_gas_kWh,HH_rest_gas_kWh)/1000)*0.903</f>
        <v>2587.6452430983559</v>
      </c>
      <c r="E5" s="17">
        <f>B46*B57</f>
        <v>5376.9730049108939</v>
      </c>
      <c r="F5" s="17">
        <f>B51*B62</f>
        <v>7543.1794373248085</v>
      </c>
      <c r="G5" s="18"/>
      <c r="H5" s="17"/>
      <c r="I5" s="17"/>
      <c r="J5" s="17">
        <f>B50*B61+C50*C61</f>
        <v>285.0847358126677</v>
      </c>
      <c r="K5" s="17"/>
      <c r="L5" s="17"/>
      <c r="M5" s="17"/>
      <c r="N5" s="17">
        <f>B48*B59+C48*C59</f>
        <v>4804.7865982542617</v>
      </c>
      <c r="O5" s="17">
        <f>B69*B70*B71</f>
        <v>61.502704800997982</v>
      </c>
      <c r="P5" s="17">
        <f>B77*B78*B79/1000-B77*B78*B79/1000/B80</f>
        <v>158.00938961527535</v>
      </c>
    </row>
    <row r="6" spans="1:16">
      <c r="A6" s="16" t="s">
        <v>612</v>
      </c>
      <c r="B6" s="786">
        <f>kWh_PV_kleiner_dan_10kW</f>
        <v>600.7618133901085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4080.2108073108884</v>
      </c>
      <c r="C8" s="21">
        <f>C5</f>
        <v>0</v>
      </c>
      <c r="D8" s="21">
        <f>D5</f>
        <v>2587.6452430983559</v>
      </c>
      <c r="E8" s="21">
        <f>E5</f>
        <v>5376.9730049108939</v>
      </c>
      <c r="F8" s="21">
        <f>F5</f>
        <v>7543.1794373248085</v>
      </c>
      <c r="G8" s="21"/>
      <c r="H8" s="21"/>
      <c r="I8" s="21"/>
      <c r="J8" s="21">
        <f>J5</f>
        <v>285.0847358126677</v>
      </c>
      <c r="K8" s="21"/>
      <c r="L8" s="21">
        <f>L5</f>
        <v>0</v>
      </c>
      <c r="M8" s="21">
        <f>M5</f>
        <v>0</v>
      </c>
      <c r="N8" s="21">
        <f>N5</f>
        <v>4804.7865982542617</v>
      </c>
      <c r="O8" s="21">
        <f>O5</f>
        <v>61.502704800997982</v>
      </c>
      <c r="P8" s="21">
        <f>P5</f>
        <v>158.00938961527535</v>
      </c>
    </row>
    <row r="9" spans="1:16">
      <c r="B9" s="19"/>
      <c r="C9" s="19"/>
      <c r="D9" s="258"/>
      <c r="E9" s="19"/>
      <c r="F9" s="19"/>
      <c r="G9" s="19"/>
      <c r="H9" s="19"/>
      <c r="I9" s="19"/>
      <c r="J9" s="19"/>
      <c r="K9" s="19"/>
      <c r="L9" s="19"/>
      <c r="M9" s="19"/>
      <c r="N9" s="19"/>
      <c r="O9" s="19"/>
      <c r="P9" s="19"/>
    </row>
    <row r="10" spans="1:16">
      <c r="A10" s="24" t="s">
        <v>213</v>
      </c>
      <c r="B10" s="25">
        <f ca="1">'EF ele_warmte'!B12</f>
        <v>0.18808359897729768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767.42073322509714</v>
      </c>
      <c r="C12" s="23">
        <f ca="1">C10*C8</f>
        <v>0</v>
      </c>
      <c r="D12" s="23">
        <f>D8*D10</f>
        <v>522.70433910586792</v>
      </c>
      <c r="E12" s="23">
        <f>E10*E8</f>
        <v>1220.572872114773</v>
      </c>
      <c r="F12" s="23">
        <f>F10*F8</f>
        <v>2014.0289097657239</v>
      </c>
      <c r="G12" s="23"/>
      <c r="H12" s="23"/>
      <c r="I12" s="23"/>
      <c r="J12" s="23">
        <f>J10*J8</f>
        <v>100.91999647768436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v>
      </c>
      <c r="C18" s="166" t="s">
        <v>110</v>
      </c>
      <c r="D18" s="228"/>
      <c r="E18" s="15"/>
    </row>
    <row r="19" spans="1:7">
      <c r="A19" s="171" t="s">
        <v>71</v>
      </c>
      <c r="B19" s="37">
        <f>aantalw2001_ander</f>
        <v>0</v>
      </c>
      <c r="C19" s="166" t="s">
        <v>110</v>
      </c>
      <c r="D19" s="229"/>
      <c r="E19" s="15"/>
    </row>
    <row r="20" spans="1:7">
      <c r="A20" s="171" t="s">
        <v>72</v>
      </c>
      <c r="B20" s="37">
        <f>aantalw2001_propaan</f>
        <v>86</v>
      </c>
      <c r="C20" s="167">
        <f>IF(ISERROR(B20/SUM($B$20,$B$21,$B$22)*100),0,B20/SUM($B$20,$B$21,$B$22)*100)</f>
        <v>48.863636363636367</v>
      </c>
      <c r="D20" s="229"/>
      <c r="E20" s="15"/>
    </row>
    <row r="21" spans="1:7">
      <c r="A21" s="171" t="s">
        <v>73</v>
      </c>
      <c r="B21" s="37">
        <f>aantalw2001_elektriciteit</f>
        <v>49</v>
      </c>
      <c r="C21" s="167">
        <f>IF(ISERROR(B21/SUM($B$20,$B$21,$B$22)*100),0,B21/SUM($B$20,$B$21,$B$22)*100)</f>
        <v>27.84090909090909</v>
      </c>
      <c r="D21" s="229"/>
      <c r="E21" s="15"/>
    </row>
    <row r="22" spans="1:7">
      <c r="A22" s="171" t="s">
        <v>74</v>
      </c>
      <c r="B22" s="37">
        <f>aantalw2001_hout</f>
        <v>41</v>
      </c>
      <c r="C22" s="167">
        <f>IF(ISERROR(B22/SUM($B$20,$B$21,$B$22)*100),0,B22/SUM($B$20,$B$21,$B$22)*100)</f>
        <v>23.295454545454543</v>
      </c>
      <c r="D22" s="229"/>
      <c r="E22" s="15"/>
    </row>
    <row r="23" spans="1:7">
      <c r="A23" s="171" t="s">
        <v>75</v>
      </c>
      <c r="B23" s="37">
        <f>aantalw2001_niet_gespec</f>
        <v>11</v>
      </c>
      <c r="C23" s="166" t="s">
        <v>110</v>
      </c>
      <c r="D23" s="228"/>
      <c r="E23" s="15"/>
    </row>
    <row r="24" spans="1:7">
      <c r="A24" s="171" t="s">
        <v>76</v>
      </c>
      <c r="B24" s="37">
        <f>aantalw2001_steenkool</f>
        <v>38</v>
      </c>
      <c r="C24" s="166" t="s">
        <v>110</v>
      </c>
      <c r="D24" s="229"/>
      <c r="E24" s="15"/>
    </row>
    <row r="25" spans="1:7">
      <c r="A25" s="171" t="s">
        <v>77</v>
      </c>
      <c r="B25" s="37">
        <f>aantalw2001_stookolie</f>
        <v>523</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885</v>
      </c>
      <c r="C28" s="36"/>
      <c r="D28" s="228"/>
    </row>
    <row r="29" spans="1:7" s="15" customFormat="1">
      <c r="A29" s="230" t="s">
        <v>839</v>
      </c>
      <c r="B29" s="37">
        <f>SUM(HH_hh_gas_aantal,HH_rest_gas_aantal)</f>
        <v>180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180</v>
      </c>
      <c r="C32" s="167">
        <f>IF(ISERROR(B32/SUM($B$32,$B$34,$B$35,$B$36,$B$38,$B$39)*100),0,B32/SUM($B$32,$B$34,$B$35,$B$36,$B$38,$B$39)*100)</f>
        <v>20.689655172413794</v>
      </c>
      <c r="D32" s="233"/>
      <c r="G32" s="15"/>
    </row>
    <row r="33" spans="1:7">
      <c r="A33" s="171" t="s">
        <v>71</v>
      </c>
      <c r="B33" s="34" t="s">
        <v>110</v>
      </c>
      <c r="C33" s="167"/>
      <c r="D33" s="233"/>
      <c r="G33" s="15"/>
    </row>
    <row r="34" spans="1:7">
      <c r="A34" s="171" t="s">
        <v>72</v>
      </c>
      <c r="B34" s="33">
        <f>IF((($B$28-$B$32-$B$39-$B$77-$B$38)*C20/100)&lt;0,0,($B$28-$B$32-$B$39-$B$77-$B$38)*C20/100)</f>
        <v>149.52272727272728</v>
      </c>
      <c r="C34" s="167">
        <f>IF(ISERROR(B34/SUM($B$32,$B$34,$B$35,$B$36,$B$38,$B$39)*100),0,B34/SUM($B$32,$B$34,$B$35,$B$36,$B$38,$B$39)*100)</f>
        <v>17.186520376175547</v>
      </c>
      <c r="D34" s="233"/>
      <c r="G34" s="15"/>
    </row>
    <row r="35" spans="1:7">
      <c r="A35" s="171" t="s">
        <v>73</v>
      </c>
      <c r="B35" s="33">
        <f>IF((($B$28-$B$32-$B$39-$B$77-$B$38)*C21/100)&lt;0,0,($B$28-$B$32-$B$39-$B$77-$B$38)*C21/100)</f>
        <v>85.193181818181813</v>
      </c>
      <c r="C35" s="167">
        <f>IF(ISERROR(B35/SUM($B$32,$B$34,$B$35,$B$36,$B$38,$B$39)*100),0,B35/SUM($B$32,$B$34,$B$35,$B$36,$B$38,$B$39)*100)</f>
        <v>9.7923197492163006</v>
      </c>
      <c r="D35" s="233"/>
      <c r="G35" s="15"/>
    </row>
    <row r="36" spans="1:7">
      <c r="A36" s="171" t="s">
        <v>74</v>
      </c>
      <c r="B36" s="33">
        <f>IF((($B$28-$B$32-$B$39-$B$77-$B$38)*C22/100)&lt;0,0,($B$28-$B$32-$B$39-$B$77-$B$38)*C22/100)</f>
        <v>71.284090909090907</v>
      </c>
      <c r="C36" s="167">
        <f>IF(ISERROR(B36/SUM($B$32,$B$34,$B$35,$B$36,$B$38,$B$39)*100),0,B36/SUM($B$32,$B$34,$B$35,$B$36,$B$38,$B$39)*100)</f>
        <v>8.1935736677115987</v>
      </c>
      <c r="D36" s="233"/>
      <c r="G36" s="15"/>
    </row>
    <row r="37" spans="1:7">
      <c r="A37" s="171" t="s">
        <v>75</v>
      </c>
      <c r="B37" s="34" t="s">
        <v>110</v>
      </c>
      <c r="C37" s="167"/>
      <c r="D37" s="173"/>
      <c r="G37" s="15"/>
    </row>
    <row r="38" spans="1:7">
      <c r="A38" s="171" t="s">
        <v>76</v>
      </c>
      <c r="B38" s="33">
        <f>IF((B24-(B29-B18)*0.1)&lt;0,0,B24-(B29-B18)*0.1)</f>
        <v>20.3</v>
      </c>
      <c r="C38" s="167">
        <f>IF(ISERROR(B38/SUM($B$32,$B$34,$B$35,$B$36,$B$38,$B$39)*100),0,B38/SUM($B$32,$B$34,$B$35,$B$36,$B$38,$B$39)*100)</f>
        <v>2.3333333333333335</v>
      </c>
      <c r="D38" s="234"/>
      <c r="G38" s="15"/>
    </row>
    <row r="39" spans="1:7">
      <c r="A39" s="171" t="s">
        <v>77</v>
      </c>
      <c r="B39" s="33">
        <f>IF((B25-(B29-B18))&lt;0,0,B25-(B29-B18)*0.9)</f>
        <v>363.7</v>
      </c>
      <c r="C39" s="167">
        <f>IF(ISERROR(B39/SUM($B$32,$B$34,$B$35,$B$36,$B$38,$B$39)*100),0,B39/SUM($B$32,$B$34,$B$35,$B$36,$B$38,$B$39)*100)</f>
        <v>41.804597701149426</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180</v>
      </c>
      <c r="C44" s="34" t="s">
        <v>110</v>
      </c>
      <c r="D44" s="174"/>
    </row>
    <row r="45" spans="1:7">
      <c r="A45" s="171" t="s">
        <v>71</v>
      </c>
      <c r="B45" s="33" t="str">
        <f t="shared" si="0"/>
        <v>-</v>
      </c>
      <c r="C45" s="34" t="s">
        <v>110</v>
      </c>
      <c r="D45" s="174"/>
    </row>
    <row r="46" spans="1:7">
      <c r="A46" s="171" t="s">
        <v>72</v>
      </c>
      <c r="B46" s="33">
        <f t="shared" si="0"/>
        <v>149.52272727272728</v>
      </c>
      <c r="C46" s="34" t="s">
        <v>110</v>
      </c>
      <c r="D46" s="174"/>
    </row>
    <row r="47" spans="1:7">
      <c r="A47" s="171" t="s">
        <v>73</v>
      </c>
      <c r="B47" s="33">
        <f t="shared" si="0"/>
        <v>85.193181818181813</v>
      </c>
      <c r="C47" s="34" t="s">
        <v>110</v>
      </c>
      <c r="D47" s="174"/>
    </row>
    <row r="48" spans="1:7">
      <c r="A48" s="171" t="s">
        <v>74</v>
      </c>
      <c r="B48" s="33">
        <f t="shared" si="0"/>
        <v>71.284090909090907</v>
      </c>
      <c r="C48" s="33">
        <f>B48*10</f>
        <v>712.84090909090901</v>
      </c>
      <c r="D48" s="234"/>
    </row>
    <row r="49" spans="1:6">
      <c r="A49" s="171" t="s">
        <v>75</v>
      </c>
      <c r="B49" s="33" t="str">
        <f t="shared" si="0"/>
        <v>-</v>
      </c>
      <c r="C49" s="34" t="s">
        <v>110</v>
      </c>
      <c r="D49" s="234"/>
    </row>
    <row r="50" spans="1:6">
      <c r="A50" s="171" t="s">
        <v>76</v>
      </c>
      <c r="B50" s="33">
        <f t="shared" si="0"/>
        <v>20.3</v>
      </c>
      <c r="C50" s="33">
        <f>B50*2</f>
        <v>40.6</v>
      </c>
      <c r="D50" s="234"/>
    </row>
    <row r="51" spans="1:6">
      <c r="A51" s="171" t="s">
        <v>77</v>
      </c>
      <c r="B51" s="33">
        <f t="shared" si="0"/>
        <v>363.7</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15</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1056.1834319927045</v>
      </c>
      <c r="C5" s="17">
        <f>IF(ISERROR('Eigen informatie GS &amp; warmtenet'!B60),0,'Eigen informatie GS &amp; warmtenet'!B60)</f>
        <v>0</v>
      </c>
      <c r="D5" s="30">
        <f>SUM(D6:D12)</f>
        <v>1039.3790300848734</v>
      </c>
      <c r="E5" s="17">
        <f>SUM(E6:E12)</f>
        <v>4.3593631869502341</v>
      </c>
      <c r="F5" s="17">
        <f>SUM(F6:F12)</f>
        <v>225.92621102606847</v>
      </c>
      <c r="G5" s="18"/>
      <c r="H5" s="17"/>
      <c r="I5" s="17"/>
      <c r="J5" s="17">
        <f>SUM(J6:J12)</f>
        <v>2.503759594333179E-3</v>
      </c>
      <c r="K5" s="17"/>
      <c r="L5" s="17"/>
      <c r="M5" s="17"/>
      <c r="N5" s="17">
        <f>SUM(N6:N12)</f>
        <v>91.273816129657618</v>
      </c>
      <c r="O5" s="17">
        <f>B38*B39*B40</f>
        <v>0</v>
      </c>
      <c r="P5" s="17">
        <f>B46*B47*B48/1000-B46*B47*B48/1000/B49</f>
        <v>0</v>
      </c>
      <c r="R5" s="32"/>
    </row>
    <row r="6" spans="1:18">
      <c r="A6" s="32" t="s">
        <v>53</v>
      </c>
      <c r="B6" s="37">
        <f>B26</f>
        <v>376.19825145956599</v>
      </c>
      <c r="C6" s="33"/>
      <c r="D6" s="37">
        <f>IF(ISERROR(TER_kantoor_gas_kWh/1000),0,TER_kantoor_gas_kWh/1000)*0.903</f>
        <v>508.49239024012127</v>
      </c>
      <c r="E6" s="33">
        <f>$C$26*'E Balans VL '!I12/100/3.6*1000000</f>
        <v>9.0128158960592647E-2</v>
      </c>
      <c r="F6" s="33">
        <f>$C$26*('E Balans VL '!L12+'E Balans VL '!N12)/100/3.6*1000000</f>
        <v>35.674438329260433</v>
      </c>
      <c r="G6" s="34"/>
      <c r="H6" s="33"/>
      <c r="I6" s="33"/>
      <c r="J6" s="33">
        <f>$C$26*('E Balans VL '!D12+'E Balans VL '!E12)/100/3.6*1000000</f>
        <v>0</v>
      </c>
      <c r="K6" s="33"/>
      <c r="L6" s="33"/>
      <c r="M6" s="33"/>
      <c r="N6" s="33">
        <f>$C$26*'E Balans VL '!Y12/100/3.6*1000000</f>
        <v>0.19108925337753097</v>
      </c>
      <c r="O6" s="33"/>
      <c r="P6" s="33"/>
      <c r="R6" s="32"/>
    </row>
    <row r="7" spans="1:18">
      <c r="A7" s="32" t="s">
        <v>52</v>
      </c>
      <c r="B7" s="37">
        <f t="shared" ref="B7:B12" si="0">B27</f>
        <v>180.15701526830799</v>
      </c>
      <c r="C7" s="33"/>
      <c r="D7" s="37">
        <f>IF(ISERROR(TER_horeca_gas_kWh/1000),0,TER_horeca_gas_kWh/1000)*0.903</f>
        <v>244.13073641251773</v>
      </c>
      <c r="E7" s="33">
        <f>$C$27*'E Balans VL '!I9/100/3.6*1000000</f>
        <v>0</v>
      </c>
      <c r="F7" s="33">
        <f>$C$27*('E Balans VL '!L9+'E Balans VL '!N9)/100/3.6*1000000</f>
        <v>14.772451758833439</v>
      </c>
      <c r="G7" s="34"/>
      <c r="H7" s="33"/>
      <c r="I7" s="33"/>
      <c r="J7" s="33">
        <f>$C$27*('E Balans VL '!D9+'E Balans VL '!E9)/100/3.6*1000000</f>
        <v>0</v>
      </c>
      <c r="K7" s="33"/>
      <c r="L7" s="33"/>
      <c r="M7" s="33"/>
      <c r="N7" s="33">
        <f>$C$27*'E Balans VL '!Y9/100/3.6*1000000</f>
        <v>5.5225363357807637E-2</v>
      </c>
      <c r="O7" s="33"/>
      <c r="P7" s="33"/>
      <c r="R7" s="32"/>
    </row>
    <row r="8" spans="1:18">
      <c r="A8" s="6" t="s">
        <v>51</v>
      </c>
      <c r="B8" s="37">
        <f t="shared" si="0"/>
        <v>181.59540323936798</v>
      </c>
      <c r="C8" s="33"/>
      <c r="D8" s="37">
        <f>IF(ISERROR(TER_handel_gas_kWh/1000),0,TER_handel_gas_kWh/1000)*0.903</f>
        <v>188.92673037132994</v>
      </c>
      <c r="E8" s="33">
        <f>$C$28*'E Balans VL '!I13/100/3.6*1000000</f>
        <v>0.63820859085536663</v>
      </c>
      <c r="F8" s="33">
        <f>$C$28*('E Balans VL '!L13+'E Balans VL '!N13)/100/3.6*1000000</f>
        <v>16.615653281493074</v>
      </c>
      <c r="G8" s="34"/>
      <c r="H8" s="33"/>
      <c r="I8" s="33"/>
      <c r="J8" s="33">
        <f>$C$28*('E Balans VL '!D13+'E Balans VL '!E13)/100/3.6*1000000</f>
        <v>0</v>
      </c>
      <c r="K8" s="33"/>
      <c r="L8" s="33"/>
      <c r="M8" s="33"/>
      <c r="N8" s="33">
        <f>$C$28*'E Balans VL '!Y13/100/3.6*1000000</f>
        <v>6.5766037078604775E-2</v>
      </c>
      <c r="O8" s="33"/>
      <c r="P8" s="33"/>
      <c r="R8" s="32"/>
    </row>
    <row r="9" spans="1:18">
      <c r="A9" s="32" t="s">
        <v>50</v>
      </c>
      <c r="B9" s="37">
        <f t="shared" si="0"/>
        <v>64.708541537606493</v>
      </c>
      <c r="C9" s="33"/>
      <c r="D9" s="37">
        <f>IF(ISERROR(TER_gezond_gas_kWh/1000),0,TER_gezond_gas_kWh/1000)*0.903</f>
        <v>78.33940843629891</v>
      </c>
      <c r="E9" s="33">
        <f>$C$29*'E Balans VL '!I10/100/3.6*1000000</f>
        <v>0</v>
      </c>
      <c r="F9" s="33">
        <f>$C$29*('E Balans VL '!L10+'E Balans VL '!N10)/100/3.6*1000000</f>
        <v>7.9320789529090412</v>
      </c>
      <c r="G9" s="34"/>
      <c r="H9" s="33"/>
      <c r="I9" s="33"/>
      <c r="J9" s="33">
        <f>$C$29*('E Balans VL '!D10+'E Balans VL '!E10)/100/3.6*1000000</f>
        <v>0</v>
      </c>
      <c r="K9" s="33"/>
      <c r="L9" s="33"/>
      <c r="M9" s="33"/>
      <c r="N9" s="33">
        <f>$C$29*'E Balans VL '!Y10/100/3.6*1000000</f>
        <v>0.4771804013797904</v>
      </c>
      <c r="O9" s="33"/>
      <c r="P9" s="33"/>
      <c r="R9" s="32"/>
    </row>
    <row r="10" spans="1:18">
      <c r="A10" s="32" t="s">
        <v>49</v>
      </c>
      <c r="B10" s="37">
        <f t="shared" si="0"/>
        <v>253.52422048785598</v>
      </c>
      <c r="C10" s="33"/>
      <c r="D10" s="37">
        <f>IF(ISERROR(TER_ander_gas_kWh/1000),0,TER_ander_gas_kWh/1000)*0.903</f>
        <v>0</v>
      </c>
      <c r="E10" s="33">
        <f>$C$30*'E Balans VL '!I14/100/3.6*1000000</f>
        <v>3.6310264371342749</v>
      </c>
      <c r="F10" s="33">
        <f>$C$30*('E Balans VL '!L14+'E Balans VL '!N14)/100/3.6*1000000</f>
        <v>150.93158870357249</v>
      </c>
      <c r="G10" s="34"/>
      <c r="H10" s="33"/>
      <c r="I10" s="33"/>
      <c r="J10" s="33">
        <f>$C$30*('E Balans VL '!D14+'E Balans VL '!E14)/100/3.6*1000000</f>
        <v>2.503759594333179E-3</v>
      </c>
      <c r="K10" s="33"/>
      <c r="L10" s="33"/>
      <c r="M10" s="33"/>
      <c r="N10" s="33">
        <f>$C$30*'E Balans VL '!Y14/100/3.6*1000000</f>
        <v>90.484555074463884</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IF(ISERROR(TER_rest_gas_kWh/1000),0,TER_rest_gas_kWh/1000)*0.903</f>
        <v>19.489764624605549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1056.1834319927045</v>
      </c>
      <c r="C16" s="21">
        <f t="shared" ca="1" si="1"/>
        <v>0</v>
      </c>
      <c r="D16" s="21">
        <f t="shared" ca="1" si="1"/>
        <v>1039.3790300848734</v>
      </c>
      <c r="E16" s="21">
        <f t="shared" si="1"/>
        <v>4.3593631869502341</v>
      </c>
      <c r="F16" s="21">
        <f t="shared" ca="1" si="1"/>
        <v>225.92621102606847</v>
      </c>
      <c r="G16" s="21">
        <f t="shared" si="1"/>
        <v>0</v>
      </c>
      <c r="H16" s="21">
        <f t="shared" si="1"/>
        <v>0</v>
      </c>
      <c r="I16" s="21">
        <f t="shared" si="1"/>
        <v>0</v>
      </c>
      <c r="J16" s="21">
        <f t="shared" si="1"/>
        <v>2.503759594333179E-3</v>
      </c>
      <c r="K16" s="21">
        <f t="shared" si="1"/>
        <v>0</v>
      </c>
      <c r="L16" s="21">
        <f t="shared" ca="1" si="1"/>
        <v>0</v>
      </c>
      <c r="M16" s="21">
        <f t="shared" si="1"/>
        <v>0</v>
      </c>
      <c r="N16" s="21">
        <f t="shared" ca="1" si="1"/>
        <v>91.273816129657618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0.18808359897729768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198.65078106938179</v>
      </c>
      <c r="C20" s="23">
        <f t="shared" ref="C20:P20" ca="1" si="2">C16*C18</f>
        <v>0</v>
      </c>
      <c r="D20" s="23">
        <f t="shared" ca="1" si="2"/>
        <v>209.95456407714445</v>
      </c>
      <c r="E20" s="23">
        <f t="shared" si="2"/>
        <v>0.98957544343770321</v>
      </c>
      <c r="F20" s="23">
        <f t="shared" ca="1" si="2"/>
        <v>60.322298343960284</v>
      </c>
      <c r="G20" s="23">
        <f t="shared" si="2"/>
        <v>0</v>
      </c>
      <c r="H20" s="23">
        <f t="shared" si="2"/>
        <v>0</v>
      </c>
      <c r="I20" s="23">
        <f t="shared" si="2"/>
        <v>0</v>
      </c>
      <c r="J20" s="23">
        <f t="shared" si="2"/>
        <v>8.8633089639394535E-4</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376.19825145956599</v>
      </c>
      <c r="C26" s="39">
        <f>IF(ISERROR(B26*3.6/1000000/'E Balans VL '!Z12*100),0,B26*3.6/1000000/'E Balans VL '!Z12*100)</f>
        <v>1.0609786914568594E-2</v>
      </c>
      <c r="D26" s="237" t="s">
        <v>702</v>
      </c>
      <c r="F26" s="6"/>
    </row>
    <row r="27" spans="1:18">
      <c r="A27" s="231" t="s">
        <v>52</v>
      </c>
      <c r="B27" s="33">
        <f>IF(ISERROR(TER_horeca_ele_kWh/1000),0,TER_horeca_ele_kWh/1000)</f>
        <v>180.15701526830799</v>
      </c>
      <c r="C27" s="39">
        <f>IF(ISERROR(B27*3.6/1000000/'E Balans VL '!Z9*100),0,B27*3.6/1000000/'E Balans VL '!Z9*100)</f>
        <v>1.3356429511361689E-2</v>
      </c>
      <c r="D27" s="237" t="s">
        <v>702</v>
      </c>
      <c r="F27" s="6"/>
    </row>
    <row r="28" spans="1:18">
      <c r="A28" s="171" t="s">
        <v>51</v>
      </c>
      <c r="B28" s="33">
        <f>IF(ISERROR(TER_handel_ele_kWh/1000),0,TER_handel_ele_kWh/1000)</f>
        <v>181.59540323936798</v>
      </c>
      <c r="C28" s="39">
        <f>IF(ISERROR(B28*3.6/1000000/'E Balans VL '!Z13*100),0,B28*3.6/1000000/'E Balans VL '!Z13*100)</f>
        <v>5.4401665218601885E-3</v>
      </c>
      <c r="D28" s="237" t="s">
        <v>702</v>
      </c>
      <c r="F28" s="6"/>
    </row>
    <row r="29" spans="1:18">
      <c r="A29" s="231" t="s">
        <v>50</v>
      </c>
      <c r="B29" s="33">
        <f>IF(ISERROR(TER_gezond_ele_kWh/1000),0,TER_gezond_ele_kWh/1000)</f>
        <v>64.708541537606493</v>
      </c>
      <c r="C29" s="39">
        <f>IF(ISERROR(B29*3.6/1000000/'E Balans VL '!Z10*100),0,B29*3.6/1000000/'E Balans VL '!Z10*100)</f>
        <v>6.3984059496292088E-3</v>
      </c>
      <c r="D29" s="237" t="s">
        <v>702</v>
      </c>
      <c r="F29" s="6"/>
    </row>
    <row r="30" spans="1:18">
      <c r="A30" s="231" t="s">
        <v>49</v>
      </c>
      <c r="B30" s="33">
        <f>IF(ISERROR(TER_ander_ele_kWh/1000),0,TER_ander_ele_kWh/1000)</f>
        <v>253.52422048785598</v>
      </c>
      <c r="C30" s="39">
        <f>IF(ISERROR(B30*3.6/1000000/'E Balans VL '!Z14*100),0,B30*3.6/1000000/'E Balans VL '!Z14*100)</f>
        <v>1.0254305505801416E-2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86.254258078221795</v>
      </c>
      <c r="C5" s="17">
        <f>IF(ISERROR('Eigen informatie GS &amp; warmtenet'!B61),0,'Eigen informatie GS &amp; warmtenet'!B61)</f>
        <v>0</v>
      </c>
      <c r="D5" s="30">
        <f>SUM(D6:D15)</f>
        <v>0</v>
      </c>
      <c r="E5" s="17">
        <f>SUM(E6:E15)</f>
        <v>0.87091116629626908</v>
      </c>
      <c r="F5" s="17">
        <f>SUM(F6:F15)</f>
        <v>38.378869851820753</v>
      </c>
      <c r="G5" s="18"/>
      <c r="H5" s="17"/>
      <c r="I5" s="17"/>
      <c r="J5" s="17">
        <f>SUM(J6:J15)</f>
        <v>5.5452729436379175E-2</v>
      </c>
      <c r="K5" s="17"/>
      <c r="L5" s="17"/>
      <c r="M5" s="17"/>
      <c r="N5" s="17">
        <f>SUM(N6:N15)</f>
        <v>2.9367832625683139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ISERROR(IND_metaal_Gas_kWH/1000),0,IND_metaal_Gas_kWH/1000)*0.903</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59.0923104417571</v>
      </c>
      <c r="C9" s="33"/>
      <c r="D9" s="37">
        <f>IF( ISERROR(IND_andere_gas_kWh/1000),0,IND_andere_gas_kWh/1000)*0.903</f>
        <v>0</v>
      </c>
      <c r="E9" s="33">
        <f>C31*'E Balans VL '!I19/100/3.6*1000000</f>
        <v>0.18627292858439906</v>
      </c>
      <c r="F9" s="33">
        <f>C31*'E Balans VL '!L19/100/3.6*1000000+C31*'E Balans VL '!N19/100/3.6*1000000</f>
        <v>36.173827106012538</v>
      </c>
      <c r="G9" s="34"/>
      <c r="H9" s="33"/>
      <c r="I9" s="33"/>
      <c r="J9" s="40">
        <f>C31*'E Balans VL '!D19/100/3.6*1000000+C31*'E Balans VL '!E19/100/3.6*1000000</f>
        <v>0</v>
      </c>
      <c r="K9" s="33"/>
      <c r="L9" s="33"/>
      <c r="M9" s="33"/>
      <c r="N9" s="33">
        <f>C31*'E Balans VL '!Y19/100/3.6*1000000</f>
        <v>2.4778208135948669</v>
      </c>
      <c r="O9" s="33"/>
      <c r="P9" s="33"/>
      <c r="R9" s="32"/>
    </row>
    <row r="10" spans="1:18">
      <c r="A10" s="6" t="s">
        <v>40</v>
      </c>
      <c r="B10" s="37">
        <f t="shared" si="0"/>
        <v>0</v>
      </c>
      <c r="C10" s="33"/>
      <c r="D10" s="37">
        <f>IF( ISERROR(IND_voed_gas_kWh/1000),0,IND_voed_gas_kWh/1000)*0.903</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27.161947636464703</v>
      </c>
      <c r="C15" s="33"/>
      <c r="D15" s="37">
        <f>IF( ISERROR(IND_rest_gas_kWh/1000),0,IND_rest_gas_kWh/1000)*0.903</f>
        <v>0</v>
      </c>
      <c r="E15" s="33">
        <f>C37*'E Balans VL '!I15/100/3.6*1000000</f>
        <v>0.68463823771187005</v>
      </c>
      <c r="F15" s="33">
        <f>C37*'E Balans VL '!L15/100/3.6*1000000+C37*'E Balans VL '!N15/100/3.6*1000000</f>
        <v>2.2050427458082127</v>
      </c>
      <c r="G15" s="34"/>
      <c r="H15" s="33"/>
      <c r="I15" s="33"/>
      <c r="J15" s="40">
        <f>C37*'E Balans VL '!D15/100/3.6*1000000+C37*'E Balans VL '!E15/100/3.6*1000000</f>
        <v>5.5452729436379175E-2</v>
      </c>
      <c r="K15" s="33"/>
      <c r="L15" s="33"/>
      <c r="M15" s="33"/>
      <c r="N15" s="33">
        <f>C37*'E Balans VL '!Y15/100/3.6*1000000</f>
        <v>0.45896244897344673</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86.254258078221795</v>
      </c>
      <c r="C18" s="21">
        <f>C5+C16</f>
        <v>0</v>
      </c>
      <c r="D18" s="21">
        <f>MAX((D5+D16),0)</f>
        <v>0</v>
      </c>
      <c r="E18" s="21">
        <f>MAX((E5+E16),0)</f>
        <v>0.87091116629626908</v>
      </c>
      <c r="F18" s="21">
        <f>MAX((F5+F16),0)</f>
        <v>38.378869851820753</v>
      </c>
      <c r="G18" s="21"/>
      <c r="H18" s="21"/>
      <c r="I18" s="21"/>
      <c r="J18" s="21">
        <f>MAX((J5+J16),0)</f>
        <v>5.5452729436379175E-2</v>
      </c>
      <c r="K18" s="21"/>
      <c r="L18" s="21">
        <f>MAX((L5+L16),0)</f>
        <v>0</v>
      </c>
      <c r="M18" s="21"/>
      <c r="N18" s="21">
        <f>MAX((N5+N16),0)</f>
        <v>2.9367832625683139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0.18808359897729768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16.223011286468608</v>
      </c>
      <c r="C22" s="23">
        <f ca="1">C18*C20</f>
        <v>0</v>
      </c>
      <c r="D22" s="23">
        <f>D18*D20</f>
        <v>0</v>
      </c>
      <c r="E22" s="23">
        <f>E18*E20</f>
        <v>0.19769683474925309</v>
      </c>
      <c r="F22" s="23">
        <f>F18*F20</f>
        <v>10.247158250436142</v>
      </c>
      <c r="G22" s="23"/>
      <c r="H22" s="23"/>
      <c r="I22" s="23"/>
      <c r="J22" s="23">
        <f>J18*J20</f>
        <v>1.9630266220478226E-2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0</v>
      </c>
      <c r="C30" s="39">
        <f>IF(ISERROR(B30*3.6/1000000/'E Balans VL '!Z18*100),0,B30*3.6/1000000/'E Balans VL '!Z18*100)</f>
        <v>0</v>
      </c>
      <c r="D30" s="237" t="s">
        <v>702</v>
      </c>
    </row>
    <row r="31" spans="1:18">
      <c r="A31" s="6" t="s">
        <v>32</v>
      </c>
      <c r="B31" s="37">
        <f>IF( ISERROR(IND_ander_ele_kWh/1000),0,IND_ander_ele_kWh/1000)</f>
        <v>59.0923104417571</v>
      </c>
      <c r="C31" s="39">
        <f>IF(ISERROR(B31*3.6/1000000/'E Balans VL '!Z19*100),0,B31*3.6/1000000/'E Balans VL '!Z19*100)</f>
        <v>1.9940626696743637E-3</v>
      </c>
      <c r="D31" s="237" t="s">
        <v>702</v>
      </c>
    </row>
    <row r="32" spans="1:18">
      <c r="A32" s="171" t="s">
        <v>40</v>
      </c>
      <c r="B32" s="37">
        <f>IF( ISERROR(IND_voed_ele_kWh/1000),0,IND_voed_ele_kWh/1000)</f>
        <v>0</v>
      </c>
      <c r="C32" s="39">
        <f>IF(ISERROR(B32*3.6/1000000/'E Balans VL '!Z20*100),0,B32*3.6/1000000/'E Balans VL '!Z20*100)</f>
        <v>0</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27.161947636464703</v>
      </c>
      <c r="C37" s="39">
        <f>IF(ISERROR(B37*3.6/1000000/'E Balans VL '!Z15*100),0,B37*3.6/1000000/'E Balans VL '!Z15*100)</f>
        <v>1.0179019196956805E-4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383.550737081151</v>
      </c>
      <c r="C5" s="17">
        <f>'Eigen informatie GS &amp; warmtenet'!B62</f>
        <v>0</v>
      </c>
      <c r="D5" s="30">
        <f>IF(ISERROR(SUM(LB_lb_gas_kWh,LB_rest_gas_kWh)/1000),0,SUM(LB_lb_gas_kWh,LB_rest_gas_kWh)/1000)*0.903</f>
        <v>28.685454928792637</v>
      </c>
      <c r="E5" s="17">
        <f>B17*'E Balans VL '!I25/3.6*1000000/100</f>
        <v>14.303780183769859</v>
      </c>
      <c r="F5" s="17">
        <f>B17*('E Balans VL '!L25/3.6*1000000+'E Balans VL '!N25/3.6*1000000)/100</f>
        <v>1244.3868009300552</v>
      </c>
      <c r="G5" s="18"/>
      <c r="H5" s="17"/>
      <c r="I5" s="17"/>
      <c r="J5" s="17">
        <f>('E Balans VL '!D25+'E Balans VL '!E25)/3.6*1000000*landbouw!B17/100</f>
        <v>100.68396203817213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383.550737081151</v>
      </c>
      <c r="C8" s="21">
        <f>C5+C6</f>
        <v>0</v>
      </c>
      <c r="D8" s="21">
        <f>MAX((D5+D6),0)</f>
        <v>28.685454928792637</v>
      </c>
      <c r="E8" s="21">
        <f>MAX((E5+E6),0)</f>
        <v>14.303780183769859</v>
      </c>
      <c r="F8" s="21">
        <f>MAX((F5+F6),0)</f>
        <v>1244.3868009300552</v>
      </c>
      <c r="G8" s="21"/>
      <c r="H8" s="21"/>
      <c r="I8" s="21"/>
      <c r="J8" s="21">
        <f>MAX((J5+J6),0)</f>
        <v>100.68396203817213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0.18808359897729768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72.139603020618139</v>
      </c>
      <c r="C12" s="23">
        <f ca="1">C8*C10</f>
        <v>0</v>
      </c>
      <c r="D12" s="23">
        <f>D8*D10</f>
        <v>5.7944618956161129</v>
      </c>
      <c r="E12" s="23">
        <f>E8*E10</f>
        <v>3.2469581017157583</v>
      </c>
      <c r="F12" s="23">
        <f>F8*F10</f>
        <v>332.25127584832478</v>
      </c>
      <c r="G12" s="23"/>
      <c r="H12" s="23"/>
      <c r="I12" s="23"/>
      <c r="J12" s="23">
        <f>J8*J10</f>
        <v>35.642122561512927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5.2679692855407953E-2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204.83428793470563</v>
      </c>
      <c r="C26" s="247">
        <f>B26*'GWP N2O_CH4'!B5</f>
        <v>4301.5200466288179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21.370355251229658</v>
      </c>
      <c r="C27" s="247">
        <f>B27*'GWP N2O_CH4'!B5</f>
        <v>448.77746027582282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2.7915705047078463</v>
      </c>
      <c r="C28" s="247">
        <f>B28*'GWP N2O_CH4'!B4</f>
        <v>865.38685645943235</v>
      </c>
      <c r="D28" s="50"/>
    </row>
    <row r="29" spans="1:4">
      <c r="A29" s="41" t="s">
        <v>276</v>
      </c>
      <c r="B29" s="247">
        <f>B34*'ha_N2O bodem landbouw'!B4</f>
        <v>9.4415786375673374</v>
      </c>
      <c r="C29" s="247">
        <f>B29*'GWP N2O_CH4'!B4</f>
        <v>2926.8893776458744</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2.1517627348739991E-3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2.4582322652782648E-5</v>
      </c>
      <c r="C5" s="440" t="s">
        <v>210</v>
      </c>
      <c r="D5" s="425">
        <f>SUM(D6:D11)</f>
        <v>1.1184386165091507E-4</v>
      </c>
      <c r="E5" s="425">
        <f>SUM(E6:E11)</f>
        <v>5.9264271926304987E-5</v>
      </c>
      <c r="F5" s="438" t="s">
        <v>210</v>
      </c>
      <c r="G5" s="425">
        <f>SUM(G6:G11)</f>
        <v>1.9984993451599032E-2</v>
      </c>
      <c r="H5" s="425">
        <f>SUM(H6:H11)</f>
        <v>7.1040512855896579E-3</v>
      </c>
      <c r="I5" s="440" t="s">
        <v>210</v>
      </c>
      <c r="J5" s="440" t="s">
        <v>210</v>
      </c>
      <c r="K5" s="440" t="s">
        <v>210</v>
      </c>
      <c r="L5" s="440" t="s">
        <v>210</v>
      </c>
      <c r="M5" s="425">
        <f>SUM(M6:M11)</f>
        <v>1.6190363362307977E-3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1.5396395846762398E-5</v>
      </c>
      <c r="C6" s="426"/>
      <c r="D6" s="893">
        <f>vkm_GW_PW*SUMIFS(TableVerdeelsleutelVkm[CNG],TableVerdeelsleutelVkm[Voertuigtype],"Lichte voertuigen")*SUMIFS(TableECFTransport[EnergieConsumptieFactor (PJ per km)],TableECFTransport[Index],CONCATENATE($A6,"_CNG_CNG"))</f>
        <v>5.5607083282324577E-5</v>
      </c>
      <c r="E6" s="893">
        <f>vkm_GW_PW*SUMIFS(TableVerdeelsleutelVkm[LPG],TableVerdeelsleutelVkm[Voertuigtype],"Lichte voertuigen")*SUMIFS(TableECFTransport[EnergieConsumptieFactor (PJ per km)],TableECFTransport[Index],CONCATENATE($A6,"_LPG_LPG"))</f>
        <v>3.0221022403618817E-5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9.404595969942189E-3</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3.559261961566593E-3</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7.7692192456434378E-4</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2.04409565694012E-3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2.1519305030889786E-8</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1.1508578723235522E-4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9.1859268060202496E-6</v>
      </c>
      <c r="C8" s="426"/>
      <c r="D8" s="428">
        <f>vkm_NGW_PW*SUMIFS(TableVerdeelsleutelVkm[CNG],TableVerdeelsleutelVkm[Voertuigtype],"Lichte voertuigen")*SUMIFS(TableECFTransport[EnergieConsumptieFactor (PJ per km)],TableECFTransport[Index],CONCATENATE($A8,"_CNG_CNG"))</f>
        <v>5.6236778368590497E-5</v>
      </c>
      <c r="E8" s="428">
        <f>vkm_NGW_PW*SUMIFS(TableVerdeelsleutelVkm[LPG],TableVerdeelsleutelVkm[Voertuigtype],"Lichte voertuigen")*SUMIFS(TableECFTransport[EnergieConsumptieFactor (PJ per km)],TableECFTransport[Index],CONCATENATE($A8,"_LPG_LPG"))</f>
        <v>2.904324952268617E-5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8.4109322299306243E-3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3.544765887717829E-3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7.1997007836212138E-4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1.2536959478609897E-4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1.9170002045660928E-9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7.0585460719772696E-6</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6.828422959106291</v>
      </c>
      <c r="C14" s="21"/>
      <c r="D14" s="21">
        <f t="shared" ref="D14:M14" si="0">((D5)*10^9/3600)+D12</f>
        <v>31.067739347476405</v>
      </c>
      <c r="E14" s="21">
        <f t="shared" si="0"/>
        <v>16.462297757306942</v>
      </c>
      <c r="F14" s="21"/>
      <c r="G14" s="21">
        <f t="shared" si="0"/>
        <v>5551.3870698886203</v>
      </c>
      <c r="H14" s="21">
        <f t="shared" si="0"/>
        <v>1973.3475793304606</v>
      </c>
      <c r="I14" s="21"/>
      <c r="J14" s="21"/>
      <c r="K14" s="21"/>
      <c r="L14" s="21"/>
      <c r="M14" s="21">
        <f t="shared" si="0"/>
        <v>449.73231561966605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0.18808359897729768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1.2843143654879199</v>
      </c>
      <c r="C18" s="23"/>
      <c r="D18" s="23">
        <f t="shared" ref="D18:M18" si="1">D14*D16</f>
        <v>6.2756833481902339</v>
      </c>
      <c r="E18" s="23">
        <f t="shared" si="1"/>
        <v>3.7369415909086761</v>
      </c>
      <c r="F18" s="23"/>
      <c r="G18" s="23">
        <f t="shared" si="1"/>
        <v>1482.2203476602617</v>
      </c>
      <c r="H18" s="23">
        <f t="shared" si="1"/>
        <v>491.36354725328471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4.3718881096396192E-4</v>
      </c>
      <c r="H50" s="321">
        <f t="shared" si="2"/>
        <v>0</v>
      </c>
      <c r="I50" s="321">
        <f t="shared" si="2"/>
        <v>0</v>
      </c>
      <c r="J50" s="321">
        <f t="shared" si="2"/>
        <v>0</v>
      </c>
      <c r="K50" s="321">
        <f t="shared" si="2"/>
        <v>0</v>
      </c>
      <c r="L50" s="321">
        <f t="shared" si="2"/>
        <v>0</v>
      </c>
      <c r="M50" s="321">
        <f t="shared" si="2"/>
        <v>2.372435493040326E-5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4.3718881096396192E-4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2.372435493040326E-5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121.44133637887832</v>
      </c>
      <c r="H54" s="21">
        <f t="shared" si="3"/>
        <v>0</v>
      </c>
      <c r="I54" s="21">
        <f t="shared" si="3"/>
        <v>0</v>
      </c>
      <c r="J54" s="21">
        <f t="shared" si="3"/>
        <v>0</v>
      </c>
      <c r="K54" s="21">
        <f t="shared" si="3"/>
        <v>0</v>
      </c>
      <c r="L54" s="21">
        <f t="shared" si="3"/>
        <v>0</v>
      </c>
      <c r="M54" s="21">
        <f t="shared" si="3"/>
        <v>6.5900985917786832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0.18808359897729768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32.42483681316051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871.13981956936345</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871.13981956936345</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2020-06-20T15:19:10Z</dcterms:modified>
</cp:coreProperties>
</file>