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0" i="13"/>
  <c r="C12" i="13" s="1"/>
  <c r="C29" i="20"/>
  <c r="C56" i="22"/>
  <c r="C58" i="22" s="1"/>
  <c r="D49" i="14" s="1"/>
  <c r="D52" i="14" s="1"/>
  <c r="C20" i="16"/>
  <c r="C22" i="16" s="1"/>
  <c r="D43" i="14" s="1"/>
  <c r="C17" i="49"/>
  <c r="C17" i="19"/>
  <c r="C19" i="19" s="1"/>
  <c r="D39" i="14" s="1"/>
  <c r="C18" i="15"/>
  <c r="C20" i="15" s="1"/>
  <c r="D40" i="14"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<sst xmlns="http://schemas.openxmlformats.org/spreadsheetml/2006/main" count="2401" uniqueCount="886">
  <si>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</si>
  <si>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</si>
  <si>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</si>
  <si>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</si>
  <si>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</si>
  <si>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</si>
  <si>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</si>
  <si>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</si>
  <si>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</si>
  <si>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</si>
  <si>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</si>
  <si>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</si>
  <si>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</si>
  <si>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</si>
  <si>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</si>
  <si>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</si>
  <si>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</si>
  <si>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</si>
  <si>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</si>
  <si>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</si>
  <si>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</si>
  <si>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</si>
  <si>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</si>
  <si>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</si>
  <si>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</si>
  <si>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</si>
  <si>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</si>
  <si>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</si>
  <si>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</si>
  <si>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</si>
  <si>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</si>
  <si>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</si>
  <si>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</si>
  <si>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</si>
  <si>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</si>
  <si>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</si>
  <si>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</si>
  <si>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</si>
  <si>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</si>
  <si>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</si>
  <si>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</si>
  <si>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</si>
  <si>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</si>
  <si>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</si>
  <si>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</si>
  <si>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</si>
  <si>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</si>
  <si>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</si>
  <si>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</si>
  <si>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</si>
  <si>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</si>
  <si>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</si>
  <si>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</si>
  <si>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</si>
  <si>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</si>
  <si>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</si>
  <si>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</si>
  <si>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</si>
  <si>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</si>
  <si>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</si>
  <si>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</si>
  <si>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</si>
  <si>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</si>
  <si>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</si>
  <si>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</si>
  <si>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</si>
  <si>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</si>
  <si>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</si>
  <si>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</si>
  <si>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</si>
  <si>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</si>
  <si>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</si>
  <si>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</si>
  <si>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</si>
  <si>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</si>
  <si>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</si>
  <si>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</si>
  <si>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</si>
  <si>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</si>
  <si>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</si>
  <si>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</si>
  <si>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</si>
  <si>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</si>
  <si>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</si>
  <si>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</si>
  <si>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</si>
  <si>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</si>
  <si>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</si>
  <si>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</si>
  <si>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</si>
  <si>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</si>
  <si>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</si>
  <si>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</si>
  <si>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</si>
  <si>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</si>
  <si>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</si>
  <si>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</si>
  <si>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</si>
  <si>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</si>
  <si>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</si>
  <si>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</si>
  <si>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</si>
  <si>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</si>
  <si>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</si>
  <si>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</si>
  <si>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</si>
  <si>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</si>
  <si>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</si>
  <si>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</si>
  <si>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</si>
  <si>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</si>
  <si>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</si>
  <si>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</si>
  <si>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</si>
  <si>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</si>
  <si>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</si>
  <si>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</si>
  <si>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</si>
  <si>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</si>
  <si>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</si>
  <si>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</si>
  <si>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</si>
  <si>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</si>
  <si>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</si>
  <si>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</si>
  <si>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</si>
  <si>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</si>
  <si>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</si>
  <si>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</si>
  <si>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</si>
  <si>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</si>
  <si>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</si>
  <si>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</si>
  <si>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</si>
  <si>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</si>
  <si>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</si>
  <si>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</si>
  <si>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</si>
  <si>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</si>
  <si>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</si>
  <si>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</si>
  <si>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</si>
  <si>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</si>
  <si>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</si>
  <si>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</si>
  <si>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</si>
  <si>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</si>
  <si>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</si>
  <si>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</si>
  <si>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</si>
  <si>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</si>
  <si>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</si>
  <si>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</si>
  <si>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</si>
  <si>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</si>
  <si>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</si>
  <si>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</si>
  <si>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</si>
  <si>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</si>
  <si>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</si>
  <si>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</si>
  <si>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</si>
  <si>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</si>
  <si>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</si>
  <si>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</si>
  <si>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</si>
  <si>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</si>
  <si>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</si>
  <si>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</si>
  <si>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</si>
  <si>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</si>
  <si>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</si>
  <si>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</si>
  <si>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</si>
  <si>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</si>
  <si>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</si>
  <si>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</si>
  <si>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</si>
  <si>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</si>
  <si>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</si>
  <si>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</si>
  <si>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</si>
  <si>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</si>
  <si>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</si>
  <si>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</si>
  <si>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</si>
  <si>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</si>
  <si>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</si>
  <si>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</si>
  <si>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</si>
  <si>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</si>
  <si>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</si>
  <si>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</si>
  <si>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</si>
  <si>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</si>
  <si>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</si>
  <si>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</si>
  <si>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</si>
  <si>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</si>
  <si>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</si>
  <si>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</si>
  <si>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</si>
  <si>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</si>
  <si>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</si>
  <si>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</si>
  <si>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</si>
  <si>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</si>
  <si>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</si>
  <si>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</si>
  <si>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</si>
  <si>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</si>
  <si>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</si>
  <si>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</si>
  <si>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</si>
  <si>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</si>
  <si>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</si>
  <si>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</si>
  <si>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</si>
  <si>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</si>
  <si>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</si>
  <si>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</si>
  <si>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</si>
  <si>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</si>
  <si>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</si>
  <si>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</si>
  <si>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</si>
  <si>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</si>
  <si>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</si>
  <si>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</si>
  <si>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</si>
  <si>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</si>
  <si>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</si>
  <si>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</si>
  <si>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</si>
  <si>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</si>
  <si>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</si>
  <si>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</si>
  <si>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</si>
  <si>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</si>
  <si>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</si>
  <si>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</si>
  <si>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</si>
  <si>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</si>
  <si>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</si>
  <si>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</si>
  <si>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</si>
  <si>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</si>
  <si>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</si>
  <si>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</si>
  <si>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</si>
  <si>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</si>
  <si>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</si>
  <si>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</si>
  <si>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</si>
  <si>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</si>
  <si>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</si>
  <si>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</si>
  <si>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</si>
  <si>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</si>
  <si>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</si>
  <si>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</si>
  <si>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</si>
  <si>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</si>
  <si>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</si>
  <si>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</si>
  <si>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</si>
  <si>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</si>
  <si>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</si>
  <si>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</si>
  <si>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</si>
  <si>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</si>
  <si>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</si>
  <si>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</si>
  <si>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</si>
  <si>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</si>
  <si>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</si>
  <si>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</si>
  <si>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</si>
  <si>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</si>
  <si>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</si>
  <si>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</si>
  <si>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</si>
  <si>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</si>
  <si>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</si>
  <si>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</si>
  <si>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</si>
  <si>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</si>
  <si>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</si>
  <si>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</si>
  <si>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</si>
  <si>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</si>
  <si>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</si>
  <si>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</si>
  <si>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</si>
  <si>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</si>
  <si>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</si>
  <si>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</si>
  <si>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</si>
  <si>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</si>
  <si>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</si>
  <si>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</si>
  <si>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</si>
  <si>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</si>
  <si>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</si>
  <si>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</si>
  <si>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</si>
  <si>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</si>
  <si>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</si>
  <si>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</si>
  <si>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</si>
  <si>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</si>
  <si>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</si>
  <si>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</si>
  <si>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</si>
  <si>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</si>
  <si>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</si>
  <si>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</si>
  <si>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</si>
  <si>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</si>
  <si>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</si>
  <si>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</si>
  <si>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</si>
  <si>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</si>
  <si>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</si>
  <si>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</si>
  <si>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</si>
  <si>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</si>
  <si>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</si>
  <si>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</si>
  <si>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</si>
  <si>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</si>
  <si>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</si>
  <si>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</si>
  <si>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</si>
  <si>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</si>
  <si>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</si>
  <si>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</si>
  <si>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</si>
  <si>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</si>
  <si>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</si>
  <si>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</si>
  <si>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</si>
  <si>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</si>
  <si>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</si>
  <si>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</si>
  <si>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</si>
  <si>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</si>
  <si>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</si>
  <si>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</si>
  <si>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</si>
  <si>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</si>
  <si>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</si>
  <si>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</si>
  <si>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</si>
  <si>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</si>
  <si>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</si>
  <si>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</si>
  <si>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</si>
  <si>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</si>
  <si>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</si>
  <si>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</si>
  <si>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</si>
  <si>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</si>
  <si>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</si>
  <si>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</si>
  <si>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</si>
  <si>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</si>
  <si>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</si>
  <si>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</si>
  <si>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</si>
  <si>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</si>
  <si>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</si>
  <si>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</si>
  <si>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</si>
  <si>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</si>
  <si>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</si>
  <si>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</si>
  <si>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</si>
  <si>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</si>
  <si>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</si>
  <si>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</si>
  <si>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</si>
  <si>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</si>
  <si>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</si>
  <si>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</si>
  <si>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</si>
  <si>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</si>
  <si>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</si>
  <si>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</si>
  <si>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</si>
  <si>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</si>
  <si>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</si>
  <si>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</si>
  <si>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</si>
  <si>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</si>
  <si>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</si>
  <si>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</si>
  <si>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</si>
  <si>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</si>
  <si>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</si>
  <si>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</si>
  <si>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</si>
  <si>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</si>
  <si>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</si>
  <si>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</si>
  <si>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</si>
  <si>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</si>
  <si>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</si>
  <si>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</si>
  <si>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</si>
  <si>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</si>
  <si>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</si>
  <si>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</si>
  <si>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</si>
  <si>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</si>
  <si>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</si>
  <si>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</si>
  <si>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</si>
  <si>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</si>
  <si>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</si>
  <si>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</si>
  <si>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</si>
  <si>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</si>
  <si>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</si>
  <si>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</si>
  <si>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</si>
  <si>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</si>
  <si>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</si>
  <si>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</si>
  <si>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</si>
  <si>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</si>
  <si>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</si>
  <si>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</si>
  <si>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</si>
  <si>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</si>
  <si>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</si>
  <si>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</si>
  <si>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</si>
  <si>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</si>
  <si>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</si>
  <si>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</si>
  <si>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</si>
  <si>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</si>
  <si>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</si>
  <si>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</si>
  <si>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</si>
  <si>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</si>
  <si>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</si>
  <si>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</si>
  <si>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</si>
  <si>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</si>
  <si>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</si>
  <si>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</si>
  <si>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</si>
  <si>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</si>
  <si>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</si>
  <si>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</si>
  <si>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</si>
  <si>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</si>
  <si>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</si>
  <si>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</si>
  <si>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</si>
  <si>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</si>
  <si>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</si>
  <si>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</si>
  <si>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</si>
  <si>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</si>
  <si>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</si>
  <si>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</si>
  <si>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</si>
  <si>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</si>
  <si>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</si>
  <si>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</si>
  <si>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</si>
  <si>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</si>
  <si>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</si>
  <si>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</si>
  <si>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</si>
  <si>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</si>
  <si>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</si>
  <si>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</si>
  <si>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</si>
  <si>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</si>
  <si>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</si>
  <si>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</si>
  <si>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</si>
  <si>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</si>
  <si>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</si>
  <si>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</si>
  <si>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</si>
  <si>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</si>
  <si>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</si>
  <si>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</si>
  <si>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</si>
  <si>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</si>
  <si>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</si>
  <si>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</si>
  <si>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</si>
  <si>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</si>
  <si>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</si>
  <si>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</si>
  <si>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</si>
  <si>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</si>
  <si>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</si>
  <si>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</si>
  <si>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</si>
  <si>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</si>
  <si>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</si>
  <si>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</si>
  <si>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</si>
  <si>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</si>
  <si>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</si>
  <si>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</si>
  <si>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</si>
  <si>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</si>
  <si>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</si>
  <si>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</si>
  <si>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</si>
  <si>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</si>
  <si>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</si>
  <si>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</si>
  <si>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</si>
  <si>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</si>
  <si>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</si>
  <si>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</si>
  <si>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</si>
  <si>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</si>
  <si>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</si>
  <si>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</si>
  <si>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</si>
  <si>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</si>
  <si>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</si>
  <si>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</si>
  <si>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</si>
  <si>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</si>
  <si>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</si>
  <si>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</si>
  <si>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</si>
  <si>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</si>
  <si>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</si>
  <si>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</si>
  <si>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</si>
  <si>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</si>
  <si>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</si>
  <si>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</si>
  <si>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</si>
  <si>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</si>
  <si>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</si>
  <si>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</si>
  <si>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</si>
  <si>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</si>
  <si>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</si>
  <si>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</si>
  <si>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</si>
  <si>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</si>
  <si>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</si>
  <si>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</si>
  <si>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</si>
  <si>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</si>
  <si>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</si>
  <si>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</si>
  <si>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</si>
  <si>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</si>
  <si>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</si>
  <si>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</si>
  <si>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</si>
  <si>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</si>
  <si>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</si>
  <si>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</si>
  <si>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</si>
  <si>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</si>
  <si>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</si>
  <si>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</si>
  <si>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</si>
  <si>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</si>
  <si>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</si>
  <si>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</si>
  <si>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</si>
  <si>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</si>
  <si>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</si>
  <si>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</si>
  <si>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</si>
  <si>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</si>
  <si>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</si>
  <si>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</si>
  <si>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</si>
  <si>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</si>
  <si>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</si>
  <si>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</si>
  <si>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</si>
  <si>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</si>
  <si>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</si>
  <si>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</si>
  <si>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</si>
  <si>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</si>
  <si>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</si>
  <si>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</si>
  <si>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</si>
  <si>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</si>
  <si>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</si>
  <si>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</si>
  <si>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</si>
  <si>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</si>
  <si>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</si>
  <si>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</si>
  <si>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</si>
  <si>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</si>
  <si>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</si>
  <si>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</si>
  <si>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</si>
  <si>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</si>
  <si>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</si>
  <si>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</si>
  <si>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</si>
  <si>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</si>
  <si>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</si>
  <si>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</si>
  <si>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</si>
  <si>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</si>
  <si>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</si>
  <si>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</si>
  <si>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</si>
  <si>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</si>
  <si>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</si>
  <si>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</si>
  <si>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</si>
  <si>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</si>
  <si>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</si>
  <si>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</si>
  <si>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</si>
  <si>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</si>
  <si>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</si>
  <si>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</si>
  <si>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</si>
  <si>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</si>
  <si>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</si>
  <si>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</si>
  <si>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</si>
  <si>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</si>
  <si>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</si>
  <si>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</si>
  <si>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</si>
  <si>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</si>
  <si>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</si>
  <si>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</si>
  <si>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</si>
  <si>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</si>
  <si>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</si>
  <si>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</si>
  <si>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</si>
  <si>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</si>
  <si>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</si>
  <si>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</si>
  <si>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</si>
  <si>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</si>
  <si>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</si>
  <si>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</si>
  <si>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</si>
  <si>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</si>
  <si>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</si>
  <si>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</si>
  <si>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</si>
  <si>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</si>
  <si>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</si>
  <si>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</si>
  <si>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</si>
  <si>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</si>
  <si>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</si>
  <si>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</si>
  <si>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</si>
  <si>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</si>
  <si>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</si>
  <si>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</si>
  <si>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</si>
  <si>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</si>
  <si>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</si>
  <si>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</si>
  <si>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</si>
  <si>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</si>
  <si>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</si>
  <si>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</si>
  <si>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</si>
  <si>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</si>
  <si>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</si>
  <si>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</si>
  <si>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</si>
  <si>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</si>
  <si>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</si>
  <si>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</si>
  <si>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</si>
  <si>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</si>
  <si>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</si>
  <si>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</si>
  <si>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</si>
  <si>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</si>
  <si>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</si>
  <si>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</si>
  <si>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</si>
  <si>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</si>
  <si>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</si>
  <si>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</si>
  <si>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</si>
  <si>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</si>
  <si>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</si>
  <si>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</si>
  <si>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</si>
  <si>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</si>
  <si>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</si>
  <si>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</si>
  <si>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</si>
  <si>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</si>
  <si>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</si>
  <si>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</si>
  <si>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</si>
  <si>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</si>
  <si>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</si>
  <si>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</si>
  <si>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</si>
  <si>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</si>
  <si>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</si>
  <si>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</si>
  <si>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</si>
  <si>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</si>
  <si>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</si>
  <si>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</si>
  <si>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</si>
  <si>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</si>
  <si>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</si>
  <si>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</si>
  <si>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</si>
  <si>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</si>
  <si>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</si>
  <si>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</si>
  <si>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</si>
  <si>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</si>
  <si>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</si>
  <si>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</si>
  <si>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</si>
  <si>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</si>
  <si>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</si>
  <si>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</si>
  <si>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</si>
  <si>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</si>
  <si>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</si>
  <si>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</si>
  <si>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</si>
  <si>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</si>
  <si>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</si>
  <si>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</si>
  <si>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</si>
  <si>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</si>
  <si>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</si>
  <si>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</si>
  <si>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</si>
  <si>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</si>
  <si>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</si>
  <si>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</si>
  <si>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</si>
  <si>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</si>
  <si>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</si>
  <si>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</si>
  <si>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</si>
  <si>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</si>
  <si>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</si>
  <si>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</si>
  <si>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</si>
  <si>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</si>
  <si>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</si>
  <si>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</si>
  <si>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</si>
  <si>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</si>
  <si>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</si>
  <si>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</si>
  <si>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</si>
  <si>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</si>
  <si>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</si>
  <si>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</si>
  <si>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</si>
  <si>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</si>
  <si>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</si>
  <si>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</si>
  <si>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</si>
  <si>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</si>
  <si>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</si>
  <si>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</si>
  <si>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</si>
  <si>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</si>
  <si>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</si>
  <si>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</si>
  <si>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</si>
  <si>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</si>
  <si>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</si>
  <si>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</si>
  <si>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</si>
  <si>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</si>
  <si>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</si>
  <si>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</si>
  <si>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</si>
  <si>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</si>
  <si>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</si>
  <si>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</si>
  <si>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</si>
  <si>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</si>
  <si>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</si>
  <si>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</si>
  <si>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</si>
  <si>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</si>
  <si>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</si>
  <si>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</si>
  <si>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</si>
  <si>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</si>
  <si>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</si>
  <si>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</si>
  <si>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</si>
  <si>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</si>
  <si>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</si>
  <si>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</si>
  <si>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</si>
  <si>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</si>
  <si>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</si>
  <si>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</si>
  <si>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</si>
  <si>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</si>
  <si>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</si>
  <si>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</si>
  <si>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</si>
  <si>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</si>
  <si>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</si>
  <si>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</si>
  <si>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</si>
  <si>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</si>
  <si>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</si>
  <si>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</si>
  <si>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</si>
  <si>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</si>
  <si>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</si>
  <si>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</si>
  <si>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</si>
  <si>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</si>
  <si>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</si>
  <si>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</si>
  <si>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</si>
  <si>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</si>
  <si>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</si>
  <si>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</si>
  <si>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</si>
  <si>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</si>
  <si>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</si>
  <si>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</si>
  <si>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</si>
  <si>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</si>
  <si>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</si>
  <si>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</si>
  <si>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</si>
  <si>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</si>
  <si>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</si>
  <si>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</si>
  <si>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</si>
  <si>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</si>
  <si>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</si>
  <si>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</si>
  <si>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</si>
  <si>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13049</t>
  </si>
  <si>
    <t>WESTERLO</t>
  </si>
  <si>
    <t>referentietaak LNE (2017); Jaarverslag De Lijn</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</si>
  <si>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</si>
  <si>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</si>
  <si>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</si>
  <si>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</si>
  <si>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</si>
  <si>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</si>
  <si>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</si>
  <si>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</si>
  <si>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</si>
  <si>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</si>
  <si>
    <t>Broodboetiek</t>
  </si>
  <si>
    <t>WKK-0831</t>
  </si>
  <si>
    <t>Brandstofcel</t>
  </si>
  <si>
    <t>Mechelsestraat 22</t>
  </si>
  <si>
    <t>IVEKA (via EANDIS)</t>
  </si>
  <si>
    <t>AGB Westerlo</t>
  </si>
  <si>
    <t>Westerlo</t>
  </si>
  <si>
    <t>WKK-0884</t>
  </si>
  <si>
    <t>Interne verbrandingsmotor</t>
  </si>
  <si>
    <t>Kasteelpark 6</t>
  </si>
  <si>
    <t>andere gemeenschaps-, sociale en persoonlijke dienstverlening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</si>
</sst>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215486.68786101189</c:v>
                </c:pt>
                <c:pt idx="1">
                  <c:v>84001.034769610298</c:v>
                </c:pt>
                <c:pt idx="2">
                  <c:v>2031.2650000000001</c:v>
                </c:pt>
                <c:pt idx="3">
                  <c:v>24988.477989786592</c:v>
                </c:pt>
                <c:pt idx="4">
                  <c:v>236910.86891519561</c:v>
                </c:pt>
                <c:pt idx="5">
                  <c:v>210957.39886520576</c:v>
                </c:pt>
                <c:pt idx="6">
                  <c:v>1774.8672578978369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215486.68786101189</c:v>
                </c:pt>
                <c:pt idx="1">
                  <c:v>84001.034769610298</c:v>
                </c:pt>
                <c:pt idx="2">
                  <c:v>2031.2650000000001</c:v>
                </c:pt>
                <c:pt idx="3">
                  <c:v>24988.477989786592</c:v>
                </c:pt>
                <c:pt idx="4">
                  <c:v>236910.86891519561</c:v>
                </c:pt>
                <c:pt idx="5">
                  <c:v>210957.39886520576</c:v>
                </c:pt>
                <c:pt idx="6">
                  <c:v>1774.8672578978369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37009.257827040587</c:v>
                </c:pt>
                <c:pt idx="1">
                  <c:v>16204.962035724317</c:v>
                </c:pt>
                <c:pt idx="2">
                  <c:v>374.40090311173157</c:v>
                </c:pt>
                <c:pt idx="3">
                  <c:v>6214.5435825514351</c:v>
                </c:pt>
                <c:pt idx="4">
                  <c:v>46013.349918295164</c:v>
                </c:pt>
                <c:pt idx="5">
                  <c:v>52443.461780444472</c:v>
                </c:pt>
                <c:pt idx="6">
                  <c:v>449.4972755366573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37009.257827040587</c:v>
                </c:pt>
                <c:pt idx="1">
                  <c:v>16204.962035724317</c:v>
                </c:pt>
                <c:pt idx="2">
                  <c:v>374.40090311173157</c:v>
                </c:pt>
                <c:pt idx="3">
                  <c:v>6214.5435825514351</c:v>
                </c:pt>
                <c:pt idx="4">
                  <c:v>46013.349918295164</c:v>
                </c:pt>
                <c:pt idx="5">
                  <c:v>52443.461780444472</c:v>
                </c:pt>
                <c:pt idx="6">
                  <c:v>449.4972755366573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13049</v>
      </c>
      <c r="B6" s="392"/>
      <c r="C6" s="393"/>
    </row>
    <row r="7" spans="1:7" s="390" customFormat="1" ht="15.75" customHeight="1">
      <c r="A7" s="394" t="str">
        <f>txtMunicipality</f>
        <v>WESTERLO</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0.18431908348331288</v>
      </c>
      <c r="C17" s="504">
        <f ca="1">'EF ele_warmte'!B22</f>
        <v>0.23754702386081475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0.18431908348331288</v>
      </c>
      <c r="C29" s="505">
        <f ca="1">'EF ele_warmte'!B22</f>
        <v>0.23754702386081475</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10377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2256.5500000000002</v>
      </c>
      <c r="C14" s="332"/>
      <c r="D14" s="332"/>
      <c r="E14" s="332"/>
      <c r="F14" s="332"/>
    </row>
    <row r="15" spans="1:6">
      <c r="A15" s="1310" t="s">
        <v>183</v>
      </c>
      <c r="B15" s="1311">
        <v>3690</v>
      </c>
      <c r="C15" s="332"/>
      <c r="D15" s="332"/>
      <c r="E15" s="332"/>
      <c r="F15" s="332"/>
    </row>
    <row r="16" spans="1:6">
      <c r="A16" s="1310" t="s">
        <v>6</v>
      </c>
      <c r="B16" s="1311">
        <v>1949</v>
      </c>
      <c r="C16" s="332"/>
      <c r="D16" s="332"/>
      <c r="E16" s="332"/>
      <c r="F16" s="332"/>
    </row>
    <row r="17" spans="1:6">
      <c r="A17" s="1310" t="s">
        <v>7</v>
      </c>
      <c r="B17" s="1311">
        <v>158</v>
      </c>
      <c r="C17" s="332"/>
      <c r="D17" s="332"/>
      <c r="E17" s="332"/>
      <c r="F17" s="332"/>
    </row>
    <row r="18" spans="1:6">
      <c r="A18" s="1310" t="s">
        <v>8</v>
      </c>
      <c r="B18" s="1311">
        <v>1037</v>
      </c>
      <c r="C18" s="332"/>
      <c r="D18" s="332"/>
      <c r="E18" s="332"/>
      <c r="F18" s="332"/>
    </row>
    <row r="19" spans="1:6">
      <c r="A19" s="1310" t="s">
        <v>9</v>
      </c>
      <c r="B19" s="1311">
        <v>1110</v>
      </c>
      <c r="C19" s="332"/>
      <c r="D19" s="332"/>
      <c r="E19" s="332"/>
      <c r="F19" s="332"/>
    </row>
    <row r="20" spans="1:6">
      <c r="A20" s="1310" t="s">
        <v>10</v>
      </c>
      <c r="B20" s="1311">
        <v>1036</v>
      </c>
      <c r="C20" s="332"/>
      <c r="D20" s="332"/>
      <c r="E20" s="332"/>
      <c r="F20" s="332"/>
    </row>
    <row r="21" spans="1:6">
      <c r="A21" s="1310" t="s">
        <v>11</v>
      </c>
      <c r="B21" s="1311">
        <v>1515</v>
      </c>
      <c r="C21" s="332"/>
      <c r="D21" s="332"/>
      <c r="E21" s="332"/>
      <c r="F21" s="332"/>
    </row>
    <row r="22" spans="1:6">
      <c r="A22" s="1310" t="s">
        <v>12</v>
      </c>
      <c r="B22" s="1311">
        <v>2792</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258</v>
      </c>
      <c r="C25" s="332"/>
      <c r="D25" s="332"/>
      <c r="E25" s="332"/>
      <c r="F25" s="332"/>
    </row>
    <row r="26" spans="1:6">
      <c r="A26" s="1310" t="s">
        <v>16</v>
      </c>
      <c r="B26" s="1311">
        <v>67</v>
      </c>
      <c r="C26" s="332"/>
      <c r="D26" s="332"/>
      <c r="E26" s="332"/>
      <c r="F26" s="332"/>
    </row>
    <row r="27" spans="1:6">
      <c r="A27" s="1310" t="s">
        <v>17</v>
      </c>
      <c r="B27" s="1311">
        <v>4</v>
      </c>
      <c r="C27" s="332"/>
      <c r="D27" s="332"/>
      <c r="E27" s="332"/>
      <c r="F27" s="332"/>
    </row>
    <row r="28" spans="1:6" s="43" customFormat="1">
      <c r="A28" s="1312" t="s">
        <v>18</v>
      </c>
      <c r="B28" s="1313">
        <v>5989</v>
      </c>
      <c r="C28" s="338"/>
      <c r="D28" s="338"/>
      <c r="E28" s="338"/>
      <c r="F28" s="338"/>
    </row>
    <row r="29" spans="1:6">
      <c r="A29" s="1312" t="s">
        <v>699</v>
      </c>
      <c r="B29" s="1313">
        <v>248</v>
      </c>
      <c r="C29" s="338"/>
      <c r="D29" s="338"/>
      <c r="E29" s="338"/>
      <c r="F29" s="338"/>
    </row>
    <row r="30" spans="1:6">
      <c r="A30" s="1305" t="s">
        <v>700</v>
      </c>
      <c r="B30" s="1314">
        <v>67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255941.12659791601</v>
      </c>
      <c r="E36" s="1311">
        <v>5</v>
      </c>
      <c r="F36" s="1311">
        <v>35833.1523012408</v>
      </c>
    </row>
    <row r="37" spans="1:6">
      <c r="A37" s="1310" t="s">
        <v>24</v>
      </c>
      <c r="B37" s="1310" t="s">
        <v>27</v>
      </c>
      <c r="C37" s="1311">
        <v>0</v>
      </c>
      <c r="D37" s="1311">
        <v>0</v>
      </c>
      <c r="E37" s="1311">
        <v>0</v>
      </c>
      <c r="F37" s="1311">
        <v>0</v>
      </c>
    </row>
    <row r="38" spans="1:6">
      <c r="A38" s="1310" t="s">
        <v>24</v>
      </c>
      <c r="B38" s="1310" t="s">
        <v>28</v>
      </c>
      <c r="C38" s="1311">
        <v>1</v>
      </c>
      <c r="D38" s="1311">
        <v>11710.2563171286</v>
      </c>
      <c r="E38" s="1311">
        <v>2</v>
      </c>
      <c r="F38" s="1311">
        <v>17033.386277652298</v>
      </c>
    </row>
    <row r="39" spans="1:6">
      <c r="A39" s="1310" t="s">
        <v>29</v>
      </c>
      <c r="B39" s="1310" t="s">
        <v>30</v>
      </c>
      <c r="C39" s="1311">
        <v>6862</v>
      </c>
      <c r="D39" s="1311">
        <v>108222762.5138</v>
      </c>
      <c r="E39" s="1311">
        <v>10305</v>
      </c>
      <c r="F39" s="1311">
        <v>31749258.929616101</v>
      </c>
    </row>
    <row r="40" spans="1:6">
      <c r="A40" s="1310" t="s">
        <v>29</v>
      </c>
      <c r="B40" s="1310" t="s">
        <v>28</v>
      </c>
      <c r="C40" s="1311">
        <v>1</v>
      </c>
      <c r="D40" s="1311">
        <v>16908.248600202602</v>
      </c>
      <c r="E40" s="1311">
        <v>1</v>
      </c>
      <c r="F40" s="1311">
        <v>1361.006903988</v>
      </c>
    </row>
    <row r="41" spans="1:6">
      <c r="A41" s="1310" t="s">
        <v>31</v>
      </c>
      <c r="B41" s="1310" t="s">
        <v>32</v>
      </c>
      <c r="C41" s="1311">
        <v>85</v>
      </c>
      <c r="D41" s="1311">
        <v>22009031.257053401</v>
      </c>
      <c r="E41" s="1311">
        <v>190</v>
      </c>
      <c r="F41" s="1311">
        <v>20769863.568787899</v>
      </c>
    </row>
    <row r="42" spans="1:6">
      <c r="A42" s="1310" t="s">
        <v>31</v>
      </c>
      <c r="B42" s="1310" t="s">
        <v>33</v>
      </c>
      <c r="C42" s="1311">
        <v>7</v>
      </c>
      <c r="D42" s="1311">
        <v>29230883.4865763</v>
      </c>
      <c r="E42" s="1311">
        <v>8</v>
      </c>
      <c r="F42" s="1311">
        <v>39839928.588295899</v>
      </c>
    </row>
    <row r="43" spans="1:6">
      <c r="A43" s="1310" t="s">
        <v>31</v>
      </c>
      <c r="B43" s="1310" t="s">
        <v>34</v>
      </c>
      <c r="C43" s="1311">
        <v>0</v>
      </c>
      <c r="D43" s="1311">
        <v>0</v>
      </c>
      <c r="E43" s="1311">
        <v>0</v>
      </c>
      <c r="F43" s="1311">
        <v>0</v>
      </c>
    </row>
    <row r="44" spans="1:6">
      <c r="A44" s="1310" t="s">
        <v>31</v>
      </c>
      <c r="B44" s="1310" t="s">
        <v>35</v>
      </c>
      <c r="C44" s="1311">
        <v>13</v>
      </c>
      <c r="D44" s="1311">
        <v>771510.23027760105</v>
      </c>
      <c r="E44" s="1311">
        <v>35</v>
      </c>
      <c r="F44" s="1311">
        <v>62885512.5680198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8</v>
      </c>
      <c r="D47" s="1311">
        <v>124437.38671650901</v>
      </c>
      <c r="E47" s="1311">
        <v>8</v>
      </c>
      <c r="F47" s="1311">
        <v>61829.279244202698</v>
      </c>
    </row>
    <row r="48" spans="1:6">
      <c r="A48" s="1310" t="s">
        <v>31</v>
      </c>
      <c r="B48" s="1310" t="s">
        <v>28</v>
      </c>
      <c r="C48" s="1311">
        <v>2</v>
      </c>
      <c r="D48" s="1311">
        <v>3341443.9849898298</v>
      </c>
      <c r="E48" s="1311">
        <v>2</v>
      </c>
      <c r="F48" s="1311">
        <v>1265999.6930490299</v>
      </c>
    </row>
    <row r="49" spans="1:6">
      <c r="A49" s="1310" t="s">
        <v>31</v>
      </c>
      <c r="B49" s="1310" t="s">
        <v>39</v>
      </c>
      <c r="C49" s="1311">
        <v>4</v>
      </c>
      <c r="D49" s="1311">
        <v>106261.084130437</v>
      </c>
      <c r="E49" s="1311">
        <v>4</v>
      </c>
      <c r="F49" s="1311">
        <v>27404.068100396598</v>
      </c>
    </row>
    <row r="50" spans="1:6">
      <c r="A50" s="1310" t="s">
        <v>31</v>
      </c>
      <c r="B50" s="1310" t="s">
        <v>40</v>
      </c>
      <c r="C50" s="1311">
        <v>18</v>
      </c>
      <c r="D50" s="1311">
        <v>19253134.946862999</v>
      </c>
      <c r="E50" s="1311">
        <v>24</v>
      </c>
      <c r="F50" s="1311">
        <v>21489748.159922399</v>
      </c>
    </row>
    <row r="51" spans="1:6">
      <c r="A51" s="1310" t="s">
        <v>41</v>
      </c>
      <c r="B51" s="1310" t="s">
        <v>42</v>
      </c>
      <c r="C51" s="1311">
        <v>11</v>
      </c>
      <c r="D51" s="1311">
        <v>16310469.627199201</v>
      </c>
      <c r="E51" s="1311">
        <v>71</v>
      </c>
      <c r="F51" s="1311">
        <v>3842560.2341817901</v>
      </c>
    </row>
    <row r="52" spans="1:6">
      <c r="A52" s="1310" t="s">
        <v>41</v>
      </c>
      <c r="B52" s="1310" t="s">
        <v>28</v>
      </c>
      <c r="C52" s="1311">
        <v>0</v>
      </c>
      <c r="D52" s="1311">
        <v>0</v>
      </c>
      <c r="E52" s="1311">
        <v>0</v>
      </c>
      <c r="F52" s="1311">
        <v>0</v>
      </c>
    </row>
    <row r="53" spans="1:6">
      <c r="A53" s="1310" t="s">
        <v>43</v>
      </c>
      <c r="B53" s="1310" t="s">
        <v>44</v>
      </c>
      <c r="C53" s="1311">
        <v>98</v>
      </c>
      <c r="D53" s="1311">
        <v>3447573.34716465</v>
      </c>
      <c r="E53" s="1311">
        <v>282</v>
      </c>
      <c r="F53" s="1311">
        <v>985105.22707328096</v>
      </c>
    </row>
    <row r="54" spans="1:6">
      <c r="A54" s="1310" t="s">
        <v>45</v>
      </c>
      <c r="B54" s="1310" t="s">
        <v>46</v>
      </c>
      <c r="C54" s="1311">
        <v>0</v>
      </c>
      <c r="D54" s="1311">
        <v>0</v>
      </c>
      <c r="E54" s="1311">
        <v>1</v>
      </c>
      <c r="F54" s="1311">
        <v>2031265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143</v>
      </c>
      <c r="D57" s="1311">
        <v>12419867.785447801</v>
      </c>
      <c r="E57" s="1311">
        <v>240</v>
      </c>
      <c r="F57" s="1311">
        <v>8725760.2248411309</v>
      </c>
    </row>
    <row r="58" spans="1:6">
      <c r="A58" s="1310" t="s">
        <v>48</v>
      </c>
      <c r="B58" s="1310" t="s">
        <v>50</v>
      </c>
      <c r="C58" s="1311">
        <v>50</v>
      </c>
      <c r="D58" s="1311">
        <v>2926075.92400451</v>
      </c>
      <c r="E58" s="1311">
        <v>72</v>
      </c>
      <c r="F58" s="1311">
        <v>1025129.76514392</v>
      </c>
    </row>
    <row r="59" spans="1:6">
      <c r="A59" s="1310" t="s">
        <v>48</v>
      </c>
      <c r="B59" s="1310" t="s">
        <v>51</v>
      </c>
      <c r="C59" s="1311">
        <v>134</v>
      </c>
      <c r="D59" s="1311">
        <v>6546724.5652711298</v>
      </c>
      <c r="E59" s="1311">
        <v>251</v>
      </c>
      <c r="F59" s="1311">
        <v>13584637.8574294</v>
      </c>
    </row>
    <row r="60" spans="1:6">
      <c r="A60" s="1310" t="s">
        <v>48</v>
      </c>
      <c r="B60" s="1310" t="s">
        <v>52</v>
      </c>
      <c r="C60" s="1311">
        <v>83</v>
      </c>
      <c r="D60" s="1311">
        <v>4843695.2976673199</v>
      </c>
      <c r="E60" s="1311">
        <v>114</v>
      </c>
      <c r="F60" s="1311">
        <v>3324134.4861703701</v>
      </c>
    </row>
    <row r="61" spans="1:6">
      <c r="A61" s="1310" t="s">
        <v>48</v>
      </c>
      <c r="B61" s="1310" t="s">
        <v>53</v>
      </c>
      <c r="C61" s="1311">
        <v>192</v>
      </c>
      <c r="D61" s="1311">
        <v>9329262.3626397103</v>
      </c>
      <c r="E61" s="1311">
        <v>380</v>
      </c>
      <c r="F61" s="1311">
        <v>9006278.41181954</v>
      </c>
    </row>
    <row r="62" spans="1:6">
      <c r="A62" s="1310" t="s">
        <v>48</v>
      </c>
      <c r="B62" s="1310" t="s">
        <v>54</v>
      </c>
      <c r="C62" s="1311">
        <v>20</v>
      </c>
      <c r="D62" s="1311">
        <v>4163966.5455407701</v>
      </c>
      <c r="E62" s="1311">
        <v>22</v>
      </c>
      <c r="F62" s="1311">
        <v>1009315.81356175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18283.2478467744</v>
      </c>
      <c r="E65" s="1311">
        <v>0</v>
      </c>
      <c r="F65" s="1311">
        <v>0</v>
      </c>
    </row>
    <row r="66" spans="1:6">
      <c r="A66" s="1310" t="s">
        <v>55</v>
      </c>
      <c r="B66" s="1310" t="s">
        <v>57</v>
      </c>
      <c r="C66" s="1311">
        <v>0</v>
      </c>
      <c r="D66" s="1311">
        <v>0</v>
      </c>
      <c r="E66" s="1311">
        <v>14</v>
      </c>
      <c r="F66" s="1311">
        <v>300695.00599030202</v>
      </c>
    </row>
    <row r="67" spans="1:6">
      <c r="A67" s="1312" t="s">
        <v>55</v>
      </c>
      <c r="B67" s="1312" t="s">
        <v>58</v>
      </c>
      <c r="C67" s="1311">
        <v>0</v>
      </c>
      <c r="D67" s="1311">
        <v>0</v>
      </c>
      <c r="E67" s="1311">
        <v>0</v>
      </c>
      <c r="F67" s="1311">
        <v>0</v>
      </c>
    </row>
    <row r="68" spans="1:6">
      <c r="A68" s="1305" t="s">
        <v>55</v>
      </c>
      <c r="B68" s="1305" t="s">
        <v>59</v>
      </c>
      <c r="C68" s="1314">
        <v>3</v>
      </c>
      <c r="D68" s="1314">
        <v>921271.60750394</v>
      </c>
      <c r="E68" s="1314">
        <v>17</v>
      </c>
      <c r="F68" s="1314">
        <v>395853.07509378501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117083935</v>
      </c>
      <c r="E73" s="453"/>
      <c r="F73" s="332"/>
    </row>
    <row r="74" spans="1:6">
      <c r="A74" s="1310" t="s">
        <v>63</v>
      </c>
      <c r="B74" s="1310" t="s">
        <v>648</v>
      </c>
      <c r="C74" s="1324" t="s">
        <v>650</v>
      </c>
      <c r="D74" s="1325">
        <v>7116571.4647740321</v>
      </c>
      <c r="E74" s="453"/>
      <c r="F74" s="332"/>
    </row>
    <row r="75" spans="1:6">
      <c r="A75" s="1310" t="s">
        <v>64</v>
      </c>
      <c r="B75" s="1310" t="s">
        <v>647</v>
      </c>
      <c r="C75" s="1324" t="s">
        <v>651</v>
      </c>
      <c r="D75" s="1325">
        <v>21642311</v>
      </c>
      <c r="E75" s="453"/>
      <c r="F75" s="332"/>
    </row>
    <row r="76" spans="1:6">
      <c r="A76" s="1310" t="s">
        <v>64</v>
      </c>
      <c r="B76" s="1310" t="s">
        <v>648</v>
      </c>
      <c r="C76" s="1324" t="s">
        <v>652</v>
      </c>
      <c r="D76" s="1325">
        <v>325323.46477403247</v>
      </c>
      <c r="E76" s="453"/>
      <c r="F76" s="332"/>
    </row>
    <row r="77" spans="1:6">
      <c r="A77" s="1310" t="s">
        <v>65</v>
      </c>
      <c r="B77" s="1310" t="s">
        <v>647</v>
      </c>
      <c r="C77" s="1324" t="s">
        <v>653</v>
      </c>
      <c r="D77" s="1325">
        <v>91436361</v>
      </c>
      <c r="E77" s="453"/>
      <c r="F77" s="332"/>
    </row>
    <row r="78" spans="1:6">
      <c r="A78" s="1305" t="s">
        <v>65</v>
      </c>
      <c r="B78" s="1305" t="s">
        <v>648</v>
      </c>
      <c r="C78" s="1305" t="s">
        <v>654</v>
      </c>
      <c r="D78" s="1326">
        <v>14133488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492305.070451935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21261.827789682968</v>
      </c>
      <c r="C90" s="332"/>
      <c r="D90" s="332"/>
      <c r="E90" s="332"/>
      <c r="F90" s="332"/>
    </row>
    <row r="91" spans="1:6">
      <c r="A91" s="1310" t="s">
        <v>67</v>
      </c>
      <c r="B91" s="1311">
        <v>9346.3704987663896</v>
      </c>
      <c r="C91" s="332"/>
      <c r="D91" s="332"/>
      <c r="E91" s="332"/>
      <c r="F91" s="332"/>
    </row>
    <row r="92" spans="1:6">
      <c r="A92" s="1305" t="s">
        <v>68</v>
      </c>
      <c r="B92" s="1306">
        <v>8232.1223308686458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3611</v>
      </c>
      <c r="C97" s="332"/>
      <c r="D97" s="332"/>
      <c r="E97" s="332"/>
      <c r="F97" s="332"/>
    </row>
    <row r="98" spans="1:6">
      <c r="A98" s="1310" t="s">
        <v>71</v>
      </c>
      <c r="B98" s="1311">
        <v>8</v>
      </c>
      <c r="C98" s="332"/>
      <c r="D98" s="332"/>
      <c r="E98" s="332"/>
      <c r="F98" s="332"/>
    </row>
    <row r="99" spans="1:6">
      <c r="A99" s="1310" t="s">
        <v>72</v>
      </c>
      <c r="B99" s="1311">
        <v>95</v>
      </c>
      <c r="C99" s="332"/>
      <c r="D99" s="332"/>
      <c r="E99" s="332"/>
      <c r="F99" s="332"/>
    </row>
    <row r="100" spans="1:6">
      <c r="A100" s="1310" t="s">
        <v>73</v>
      </c>
      <c r="B100" s="1311">
        <v>255</v>
      </c>
      <c r="C100" s="332"/>
      <c r="D100" s="332"/>
      <c r="E100" s="332"/>
      <c r="F100" s="332"/>
    </row>
    <row r="101" spans="1:6">
      <c r="A101" s="1310" t="s">
        <v>74</v>
      </c>
      <c r="B101" s="1311">
        <v>106</v>
      </c>
      <c r="C101" s="332"/>
      <c r="D101" s="332"/>
      <c r="E101" s="332"/>
      <c r="F101" s="332"/>
    </row>
    <row r="102" spans="1:6">
      <c r="A102" s="1310" t="s">
        <v>75</v>
      </c>
      <c r="B102" s="1311">
        <v>81</v>
      </c>
      <c r="C102" s="332"/>
      <c r="D102" s="332"/>
      <c r="E102" s="332"/>
      <c r="F102" s="332"/>
    </row>
    <row r="103" spans="1:6">
      <c r="A103" s="1310" t="s">
        <v>76</v>
      </c>
      <c r="B103" s="1311">
        <v>196</v>
      </c>
      <c r="C103" s="332"/>
      <c r="D103" s="332"/>
      <c r="E103" s="332"/>
      <c r="F103" s="332"/>
    </row>
    <row r="104" spans="1:6">
      <c r="A104" s="1310" t="s">
        <v>77</v>
      </c>
      <c r="B104" s="1311">
        <v>3988</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3</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138</v>
      </c>
      <c r="C123" s="1311">
        <v>38</v>
      </c>
      <c r="D123" s="332"/>
      <c r="E123" s="332"/>
      <c r="F123" s="332"/>
    </row>
    <row r="124" spans="1:6" s="43" customFormat="1">
      <c r="A124" s="1312" t="s">
        <v>88</v>
      </c>
      <c r="B124" s="1333">
        <v>4</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204</v>
      </c>
      <c r="C129" s="332"/>
      <c r="D129" s="332"/>
      <c r="E129" s="332"/>
      <c r="F129" s="332"/>
    </row>
    <row r="130" spans="1:6">
      <c r="A130" s="1310" t="s">
        <v>294</v>
      </c>
      <c r="B130" s="1311">
        <v>5</v>
      </c>
      <c r="C130" s="332"/>
      <c r="D130" s="332"/>
      <c r="E130" s="332"/>
      <c r="F130" s="332"/>
    </row>
    <row r="131" spans="1:6">
      <c r="A131" s="1310" t="s">
        <v>295</v>
      </c>
      <c r="B131" s="1311">
        <v>0</v>
      </c>
      <c r="C131" s="332"/>
      <c r="D131" s="332"/>
      <c r="E131" s="332"/>
      <c r="F131" s="332"/>
    </row>
    <row r="132" spans="1:6">
      <c r="A132" s="1305" t="s">
        <v>296</v>
      </c>
      <c r="B132" s="1306">
        <v>68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231475.94125562679</v>
      </c>
      <c r="C3" s="43" t="s">
        <v>169</v>
      </c>
      <c r="D3" s="43"/>
      <c r="E3" s="154"/>
      <c r="F3" s="43"/>
      <c r="G3" s="43"/>
      <c r="H3" s="43"/>
      <c r="I3" s="43"/>
      <c r="J3" s="43"/>
      <c r="K3" s="96"/>
    </row>
    <row r="4" spans="1:11">
      <c r="A4" s="360" t="s">
        <v>170</v>
      </c>
      <c r="B4" s="49">
        <f>IF(ISERROR('SEAP template'!B78+'SEAP template'!C78),0,'SEAP template'!B78+'SEAP template'!C78)</f>
        <v>44458.320619318001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1334.5391800500574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0.18431908348331288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1906.5235226526459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8025.8783783783783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0.23754702386081475</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2031.2650000000001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2031.2650000000001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0.18431908348331288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374.40090311173157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31750.619936520088</v>
      </c>
      <c r="C5" s="17">
        <f>IF(ISERROR('Eigen informatie GS &amp; warmtenet'!B59),0,'Eigen informatie GS &amp; warmtenet'!B59)</f>
        <v>0</v>
      </c>
      <c r="D5" s="30">
        <f>(SUM(HH_hh_gas_kWh,HH_rest_gas_kWh)/1000)*0.903</f>
        <v>97740.422698447379</v>
      </c>
      <c r="E5" s="17">
        <f>B46*B57</f>
        <v>16802.734155337144</v>
      </c>
      <c r="F5" s="17">
        <f>B51*B62</f>
        <v>22009.408905386543</v>
      </c>
      <c r="G5" s="18"/>
      <c r="H5" s="17"/>
      <c r="I5" s="17"/>
      <c r="J5" s="17">
        <f>B50*B61+C50*C61</f>
        <v>0</v>
      </c>
      <c r="K5" s="17"/>
      <c r="L5" s="17"/>
      <c r="M5" s="17"/>
      <c r="N5" s="17">
        <f>B48*B59+C48*C59</f>
        <v>35140.914406410069</v>
      </c>
      <c r="O5" s="17">
        <f>B69*B70*B71</f>
        <v>484.08580553043578</v>
      </c>
      <c r="P5" s="17">
        <f>B77*B78*B79/1000-B77*B78*B79/1000/B80</f>
        <v>2212.1314546138551</v>
      </c>
    </row>
    <row r="6" spans="1:16">
      <c r="A6" s="16" t="s">
        <v>612</v>
      </c>
      <c r="B6" s="786">
        <f>kWh_PV_kleiner_dan_10kW</f>
        <v>9346.3704987663896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41096.990435286476</v>
      </c>
      <c r="C8" s="21">
        <f>C5</f>
        <v>0</v>
      </c>
      <c r="D8" s="21">
        <f>D5</f>
        <v>97740.422698447379</v>
      </c>
      <c r="E8" s="21">
        <f>E5</f>
        <v>16802.734155337144</v>
      </c>
      <c r="F8" s="21">
        <f>F5</f>
        <v>22009.408905386543</v>
      </c>
      <c r="G8" s="21"/>
      <c r="H8" s="21"/>
      <c r="I8" s="21"/>
      <c r="J8" s="21">
        <f>J5</f>
        <v>0</v>
      </c>
      <c r="K8" s="21"/>
      <c r="L8" s="21">
        <f>L5</f>
        <v>0</v>
      </c>
      <c r="M8" s="21">
        <f>M5</f>
        <v>0</v>
      </c>
      <c r="N8" s="21">
        <f>N5</f>
        <v>35140.914406410069</v>
      </c>
      <c r="O8" s="21">
        <f>O5</f>
        <v>484.08580553043578</v>
      </c>
      <c r="P8" s="21">
        <f>P5</f>
        <v>2212.1314546138551</v>
      </c>
    </row>
    <row r="9" spans="1:16">
      <c r="B9" s="19"/>
      <c r="C9" s="19"/>
      <c r="D9" s="258"/>
      <c r="E9" s="19"/>
      <c r="F9" s="19"/>
      <c r="G9" s="19"/>
      <c r="H9" s="19"/>
      <c r="I9" s="19"/>
      <c r="J9" s="19"/>
      <c r="K9" s="19"/>
      <c r="L9" s="19"/>
      <c r="M9" s="19"/>
      <c r="N9" s="19"/>
      <c r="O9" s="19"/>
      <c r="P9" s="19"/>
    </row>
    <row r="10" spans="1:16">
      <c r="A10" s="24" t="s">
        <v>213</v>
      </c>
      <c r="B10" s="25">
        <f ca="1">'EF ele_warmte'!B12</f>
        <v>0.18431908348331288</v>
      </c>
      <c r="C10" s="25">
        <f ca="1">'EF ele_warmte'!B22</f>
        <v>0.23754702386081475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7574.9596109544791</v>
      </c>
      <c r="C12" s="23">
        <f ca="1">C10*C8</f>
        <v>0</v>
      </c>
      <c r="D12" s="23">
        <f>D8*D10</f>
        <v>19743.565385086371</v>
      </c>
      <c r="E12" s="23">
        <f>E10*E8</f>
        <v>3814.2206532615319</v>
      </c>
      <c r="F12" s="23">
        <f>F10*F8</f>
        <v>5876.5121777382074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3611</v>
      </c>
      <c r="C18" s="166" t="s">
        <v>110</v>
      </c>
      <c r="D18" s="228"/>
      <c r="E18" s="15"/>
    </row>
    <row r="19" spans="1:7">
      <c r="A19" s="171" t="s">
        <v>71</v>
      </c>
      <c r="B19" s="37">
        <f>aantalw2001_ander</f>
        <v>8</v>
      </c>
      <c r="C19" s="166" t="s">
        <v>110</v>
      </c>
      <c r="D19" s="229"/>
      <c r="E19" s="15"/>
    </row>
    <row r="20" spans="1:7">
      <c r="A20" s="171" t="s">
        <v>72</v>
      </c>
      <c r="B20" s="37">
        <f>aantalw2001_propaan</f>
        <v>95</v>
      </c>
      <c r="C20" s="167">
        <f>IF(ISERROR(B20/SUM($B$20,$B$21,$B$22)*100),0,B20/SUM($B$20,$B$21,$B$22)*100)</f>
        <v>20.833333333333336</v>
      </c>
      <c r="D20" s="229"/>
      <c r="E20" s="15"/>
    </row>
    <row r="21" spans="1:7">
      <c r="A21" s="171" t="s">
        <v>73</v>
      </c>
      <c r="B21" s="37">
        <f>aantalw2001_elektriciteit</f>
        <v>255</v>
      </c>
      <c r="C21" s="167">
        <f>IF(ISERROR(B21/SUM($B$20,$B$21,$B$22)*100),0,B21/SUM($B$20,$B$21,$B$22)*100)</f>
        <v>55.921052631578952</v>
      </c>
      <c r="D21" s="229"/>
      <c r="E21" s="15"/>
    </row>
    <row r="22" spans="1:7">
      <c r="A22" s="171" t="s">
        <v>74</v>
      </c>
      <c r="B22" s="37">
        <f>aantalw2001_hout</f>
        <v>106</v>
      </c>
      <c r="C22" s="167">
        <f>IF(ISERROR(B22/SUM($B$20,$B$21,$B$22)*100),0,B22/SUM($B$20,$B$21,$B$22)*100)</f>
        <v>23.245614035087719</v>
      </c>
      <c r="D22" s="229"/>
      <c r="E22" s="15"/>
    </row>
    <row r="23" spans="1:7">
      <c r="A23" s="171" t="s">
        <v>75</v>
      </c>
      <c r="B23" s="37">
        <f>aantalw2001_niet_gespec</f>
        <v>81</v>
      </c>
      <c r="C23" s="166" t="s">
        <v>110</v>
      </c>
      <c r="D23" s="228"/>
      <c r="E23" s="15"/>
    </row>
    <row r="24" spans="1:7">
      <c r="A24" s="171" t="s">
        <v>76</v>
      </c>
      <c r="B24" s="37">
        <f>aantalw2001_steenkool</f>
        <v>196</v>
      </c>
      <c r="C24" s="166" t="s">
        <v>110</v>
      </c>
      <c r="D24" s="229"/>
      <c r="E24" s="15"/>
    </row>
    <row r="25" spans="1:7">
      <c r="A25" s="171" t="s">
        <v>77</v>
      </c>
      <c r="B25" s="37">
        <f>aantalw2001_stookolie</f>
        <v>3988</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10377</v>
      </c>
      <c r="C28" s="36"/>
      <c r="D28" s="228"/>
    </row>
    <row r="29" spans="1:7" s="15" customFormat="1">
      <c r="A29" s="230" t="s">
        <v>839</v>
      </c>
      <c r="B29" s="37">
        <f>SUM(HH_hh_gas_aantal,HH_rest_gas_aantal)</f>
        <v>6863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6863</v>
      </c>
      <c r="C32" s="167">
        <f>IF(ISERROR(B32/SUM($B$32,$B$34,$B$35,$B$36,$B$38,$B$39)*100),0,B32/SUM($B$32,$B$34,$B$35,$B$36,$B$38,$B$39)*100)</f>
        <v>67.502704829349852</v>
      </c>
      <c r="D32" s="233"/>
      <c r="G32" s="15"/>
    </row>
    <row r="33" spans="1:7">
      <c r="A33" s="171" t="s">
        <v>71</v>
      </c>
      <c r="B33" s="34" t="s">
        <v>110</v>
      </c>
      <c r="C33" s="167"/>
      <c r="D33" s="233"/>
      <c r="G33" s="15"/>
    </row>
    <row r="34" spans="1:7">
      <c r="A34" s="171" t="s">
        <v>72</v>
      </c>
      <c r="B34" s="33">
        <f>IF((($B$28-$B$32-$B$39-$B$77-$B$38)*C20/100)&lt;0,0,($B$28-$B$32-$B$39-$B$77-$B$38)*C20/100)</f>
        <v>467.25000000000006</v>
      </c>
      <c r="C34" s="167">
        <f>IF(ISERROR(B34/SUM($B$32,$B$34,$B$35,$B$36,$B$38,$B$39)*100),0,B34/SUM($B$32,$B$34,$B$35,$B$36,$B$38,$B$39)*100)</f>
        <v>4.5957509589849517</v>
      </c>
      <c r="D34" s="233"/>
      <c r="G34" s="15"/>
    </row>
    <row r="35" spans="1:7">
      <c r="A35" s="171" t="s">
        <v>73</v>
      </c>
      <c r="B35" s="33">
        <f>IF((($B$28-$B$32-$B$39-$B$77-$B$38)*C21/100)&lt;0,0,($B$28-$B$32-$B$39-$B$77-$B$38)*C21/100)</f>
        <v>1254.1973684210527</v>
      </c>
      <c r="C35" s="167">
        <f>IF(ISERROR(B35/SUM($B$32,$B$34,$B$35,$B$36,$B$38,$B$39)*100),0,B35/SUM($B$32,$B$34,$B$35,$B$36,$B$38,$B$39)*100)</f>
        <v>12.335963100433291</v>
      </c>
      <c r="D35" s="233"/>
      <c r="G35" s="15"/>
    </row>
    <row r="36" spans="1:7">
      <c r="A36" s="171" t="s">
        <v>74</v>
      </c>
      <c r="B36" s="33">
        <f>IF((($B$28-$B$32-$B$39-$B$77-$B$38)*C22/100)&lt;0,0,($B$28-$B$32-$B$39-$B$77-$B$38)*C22/100)</f>
        <v>521.35263157894735</v>
      </c>
      <c r="C36" s="167">
        <f>IF(ISERROR(B36/SUM($B$32,$B$34,$B$35,$B$36,$B$38,$B$39)*100),0,B36/SUM($B$32,$B$34,$B$35,$B$36,$B$38,$B$39)*100)</f>
        <v>5.1278905437095244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1061.1999999999998</v>
      </c>
      <c r="C39" s="167">
        <f>IF(ISERROR(B39/SUM($B$32,$B$34,$B$35,$B$36,$B$38,$B$39)*100),0,B39/SUM($B$32,$B$34,$B$35,$B$36,$B$38,$B$39)*100)</f>
        <v>10.437690567522374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6863</v>
      </c>
      <c r="C44" s="34" t="s">
        <v>110</v>
      </c>
      <c r="D44" s="174"/>
    </row>
    <row r="45" spans="1:7">
      <c r="A45" s="171" t="s">
        <v>71</v>
      </c>
      <c r="B45" s="33" t="str">
        <f t="shared" si="0"/>
        <v>-</v>
      </c>
      <c r="C45" s="34" t="s">
        <v>110</v>
      </c>
      <c r="D45" s="174"/>
    </row>
    <row r="46" spans="1:7">
      <c r="A46" s="171" t="s">
        <v>72</v>
      </c>
      <c r="B46" s="33">
        <f t="shared" si="0"/>
        <v>467.25000000000006</v>
      </c>
      <c r="C46" s="34" t="s">
        <v>110</v>
      </c>
      <c r="D46" s="174"/>
    </row>
    <row r="47" spans="1:7">
      <c r="A47" s="171" t="s">
        <v>73</v>
      </c>
      <c r="B47" s="33">
        <f t="shared" si="0"/>
        <v>1254.1973684210527</v>
      </c>
      <c r="C47" s="34" t="s">
        <v>110</v>
      </c>
      <c r="D47" s="174"/>
    </row>
    <row r="48" spans="1:7">
      <c r="A48" s="171" t="s">
        <v>74</v>
      </c>
      <c r="B48" s="33">
        <f t="shared" si="0"/>
        <v>521.35263157894735</v>
      </c>
      <c r="C48" s="33">
        <f>B48*10</f>
        <v>5213.5263157894733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1061.1999999999998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36675.25655896611</v>
      </c>
      <c r="C5" s="17">
        <f>IF(ISERROR('Eigen informatie GS &amp; warmtenet'!B60),0,'Eigen informatie GS &amp; warmtenet'!B60)</f>
        <v>0</v>
      </c>
      <c r="D5" s="30">
        <f>SUM(D6:D12)</f>
        <v>36327.322009955831</v>
      </c>
      <c r="E5" s="17">
        <f>SUM(E6:E12)</f>
        <v>174.87241421808596</v>
      </c>
      <c r="F5" s="17">
        <f>SUM(F6:F12)</f>
        <v>7808.0008607502068</v>
      </c>
      <c r="G5" s="18"/>
      <c r="H5" s="17"/>
      <c r="I5" s="17"/>
      <c r="J5" s="17">
        <f>SUM(J6:J12)</f>
        <v>8.6174038278300613E-2</v>
      </c>
      <c r="K5" s="17"/>
      <c r="L5" s="17"/>
      <c r="M5" s="17"/>
      <c r="N5" s="17">
        <f>SUM(N6:N12)</f>
        <v>3135.1996370417619</v>
      </c>
      <c r="O5" s="17">
        <f>B38*B39*B40</f>
        <v>24.486303829205774</v>
      </c>
      <c r="P5" s="17">
        <f>B46*B47*B48/1000-B46*B47*B48/1000/B49</f>
        <v>0</v>
      </c>
      <c r="R5" s="32"/>
    </row>
    <row r="6" spans="1:18">
      <c r="A6" s="32" t="s">
        <v>53</v>
      </c>
      <c r="B6" s="37">
        <f>B26</f>
        <v>9006.2784118195395</v>
      </c>
      <c r="C6" s="33"/>
      <c r="D6" s="37">
        <f>IF(ISERROR(TER_kantoor_gas_kWh/1000),0,TER_kantoor_gas_kWh/1000)*0.903</f>
        <v>8424.3239134636588</v>
      </c>
      <c r="E6" s="33">
        <f>$C$26*'E Balans VL '!I12/100/3.6*1000000</f>
        <v>2.1576902316651765</v>
      </c>
      <c r="F6" s="33">
        <f>$C$26*('E Balans VL '!L12+'E Balans VL '!N12)/100/3.6*1000000</f>
        <v>854.05480363626464</v>
      </c>
      <c r="G6" s="34"/>
      <c r="H6" s="33"/>
      <c r="I6" s="33"/>
      <c r="J6" s="33">
        <f>$C$26*('E Balans VL '!D12+'E Balans VL '!E12)/100/3.6*1000000</f>
        <v>0</v>
      </c>
      <c r="K6" s="33"/>
      <c r="L6" s="33"/>
      <c r="M6" s="33"/>
      <c r="N6" s="33">
        <f>$C$26*'E Balans VL '!Y12/100/3.6*1000000</f>
        <v>4.5747235951992327</v>
      </c>
      <c r="O6" s="33"/>
      <c r="P6" s="33"/>
      <c r="R6" s="32"/>
    </row>
    <row r="7" spans="1:18">
      <c r="A7" s="32" t="s">
        <v>52</v>
      </c>
      <c r="B7" s="37">
        <f t="shared" ref="B7:B12" si="0">B27</f>
        <v>3324.1344861703701</v>
      </c>
      <c r="C7" s="33"/>
      <c r="D7" s="37">
        <f>IF(ISERROR(TER_horeca_gas_kWh/1000),0,TER_horeca_gas_kWh/1000)*0.903</f>
        <v>4373.8568537935898</v>
      </c>
      <c r="E7" s="33">
        <f>$C$27*'E Balans VL '!I9/100/3.6*1000000</f>
        <v>0</v>
      </c>
      <c r="F7" s="33">
        <f>$C$27*('E Balans VL '!L9+'E Balans VL '!N9)/100/3.6*1000000</f>
        <v>272.57121385860734</v>
      </c>
      <c r="G7" s="34"/>
      <c r="H7" s="33"/>
      <c r="I7" s="33"/>
      <c r="J7" s="33">
        <f>$C$27*('E Balans VL '!D9+'E Balans VL '!E9)/100/3.6*1000000</f>
        <v>0</v>
      </c>
      <c r="K7" s="33"/>
      <c r="L7" s="33"/>
      <c r="M7" s="33"/>
      <c r="N7" s="33">
        <f>$C$27*'E Balans VL '!Y9/100/3.6*1000000</f>
        <v>1.0189807739408716</v>
      </c>
      <c r="O7" s="33"/>
      <c r="P7" s="33"/>
      <c r="R7" s="32"/>
    </row>
    <row r="8" spans="1:18">
      <c r="A8" s="6" t="s">
        <v>51</v>
      </c>
      <c r="B8" s="37">
        <f t="shared" si="0"/>
        <v>13584.637857429399</v>
      </c>
      <c r="C8" s="33"/>
      <c r="D8" s="37">
        <f>IF(ISERROR(TER_handel_gas_kWh/1000),0,TER_handel_gas_kWh/1000)*0.903</f>
        <v>5911.6922824398307</v>
      </c>
      <c r="E8" s="33">
        <f>$C$28*'E Balans VL '!I13/100/3.6*1000000</f>
        <v>47.742577342899146</v>
      </c>
      <c r="F8" s="33">
        <f>$C$28*('E Balans VL '!L13+'E Balans VL '!N13)/100/3.6*1000000</f>
        <v>1242.9699682219634</v>
      </c>
      <c r="G8" s="34"/>
      <c r="H8" s="33"/>
      <c r="I8" s="33"/>
      <c r="J8" s="33">
        <f>$C$28*('E Balans VL '!D13+'E Balans VL '!E13)/100/3.6*1000000</f>
        <v>0</v>
      </c>
      <c r="K8" s="33"/>
      <c r="L8" s="33"/>
      <c r="M8" s="33"/>
      <c r="N8" s="33">
        <f>$C$28*'E Balans VL '!Y13/100/3.6*1000000</f>
        <v>4.9197709914137215</v>
      </c>
      <c r="O8" s="33"/>
      <c r="P8" s="33"/>
      <c r="R8" s="32"/>
    </row>
    <row r="9" spans="1:18">
      <c r="A9" s="32" t="s">
        <v>50</v>
      </c>
      <c r="B9" s="37">
        <f t="shared" si="0"/>
        <v>1025.1297651439199</v>
      </c>
      <c r="C9" s="33"/>
      <c r="D9" s="37">
        <f>IF(ISERROR(TER_gezond_gas_kWh/1000),0,TER_gezond_gas_kWh/1000)*0.903</f>
        <v>2642.2465593760726</v>
      </c>
      <c r="E9" s="33">
        <f>$C$29*'E Balans VL '!I10/100/3.6*1000000</f>
        <v>0</v>
      </c>
      <c r="F9" s="33">
        <f>$C$29*('E Balans VL '!L10+'E Balans VL '!N10)/100/3.6*1000000</f>
        <v>125.66208480178719</v>
      </c>
      <c r="G9" s="34"/>
      <c r="H9" s="33"/>
      <c r="I9" s="33"/>
      <c r="J9" s="33">
        <f>$C$29*('E Balans VL '!D10+'E Balans VL '!E10)/100/3.6*1000000</f>
        <v>0</v>
      </c>
      <c r="K9" s="33"/>
      <c r="L9" s="33"/>
      <c r="M9" s="33"/>
      <c r="N9" s="33">
        <f>$C$29*'E Balans VL '!Y10/100/3.6*1000000</f>
        <v>7.5596176513027311</v>
      </c>
      <c r="O9" s="33"/>
      <c r="P9" s="33"/>
      <c r="R9" s="32"/>
    </row>
    <row r="10" spans="1:18">
      <c r="A10" s="32" t="s">
        <v>49</v>
      </c>
      <c r="B10" s="37">
        <f t="shared" si="0"/>
        <v>8725.7602248411313</v>
      </c>
      <c r="C10" s="33"/>
      <c r="D10" s="37">
        <f>IF(ISERROR(TER_ander_gas_kWh/1000),0,TER_ander_gas_kWh/1000)*0.903</f>
        <v>11215.140610259365</v>
      </c>
      <c r="E10" s="33">
        <f>$C$30*'E Balans VL '!I14/100/3.6*1000000</f>
        <v>124.97214664352165</v>
      </c>
      <c r="F10" s="33">
        <f>$C$30*('E Balans VL '!L14+'E Balans VL '!N14)/100/3.6*1000000</f>
        <v>5194.7417522768737</v>
      </c>
      <c r="G10" s="34"/>
      <c r="H10" s="33"/>
      <c r="I10" s="33"/>
      <c r="J10" s="33">
        <f>$C$30*('E Balans VL '!D14+'E Balans VL '!E14)/100/3.6*1000000</f>
        <v>8.6174038278300613E-2</v>
      </c>
      <c r="K10" s="33"/>
      <c r="L10" s="33"/>
      <c r="M10" s="33"/>
      <c r="N10" s="33">
        <f>$C$30*'E Balans VL '!Y14/100/3.6*1000000</f>
        <v>3114.2844265998788</v>
      </c>
      <c r="O10" s="33"/>
      <c r="P10" s="33"/>
      <c r="R10" s="32"/>
    </row>
    <row r="11" spans="1:18">
      <c r="A11" s="32" t="s">
        <v>54</v>
      </c>
      <c r="B11" s="37">
        <f t="shared" si="0"/>
        <v>1009.31581356175</v>
      </c>
      <c r="C11" s="33"/>
      <c r="D11" s="37">
        <f>IF(ISERROR(TER_onderwijs_gas_kWh/1000),0,TER_onderwijs_gas_kWh/1000)*0.903</f>
        <v>3760.0617906233156</v>
      </c>
      <c r="E11" s="33">
        <f>$C$31*'E Balans VL '!I11/100/3.6*1000000</f>
        <v>0</v>
      </c>
      <c r="F11" s="33">
        <f>$C$31*('E Balans VL '!L11+'E Balans VL '!N11)/100/3.6*1000000</f>
        <v>118.00103795471027</v>
      </c>
      <c r="G11" s="34"/>
      <c r="H11" s="33"/>
      <c r="I11" s="33"/>
      <c r="J11" s="33">
        <f>$C$31*('E Balans VL '!D11+'E Balans VL '!E11)/100/3.6*1000000</f>
        <v>0</v>
      </c>
      <c r="K11" s="33"/>
      <c r="L11" s="33"/>
      <c r="M11" s="33"/>
      <c r="N11" s="33">
        <f>$C$31*'E Balans VL '!Y11/100/3.6*1000000</f>
        <v>2.8421174300263865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349.00000000000006</v>
      </c>
      <c r="C13" s="247">
        <f ca="1">'lokale energieproductie'!O41+'lokale energieproductie'!O34</f>
        <v>498.70270270270282</v>
      </c>
      <c r="D13" s="310">
        <f ca="1">('lokale energieproductie'!P34+'lokale energieproductie'!P41)*(-1)</f>
        <v>-991.8918918918921</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37024.25655896611</v>
      </c>
      <c r="C16" s="21">
        <f t="shared" ca="1" si="1"/>
        <v>498.70270270270282</v>
      </c>
      <c r="D16" s="21">
        <f t="shared" ca="1" si="1"/>
        <v>35335.430118063938</v>
      </c>
      <c r="E16" s="21">
        <f t="shared" si="1"/>
        <v>174.87241421808596</v>
      </c>
      <c r="F16" s="21">
        <f t="shared" ca="1" si="1"/>
        <v>7808.0008607502068</v>
      </c>
      <c r="G16" s="21">
        <f t="shared" si="1"/>
        <v>0</v>
      </c>
      <c r="H16" s="21">
        <f t="shared" si="1"/>
        <v>0</v>
      </c>
      <c r="I16" s="21">
        <f t="shared" si="1"/>
        <v>0</v>
      </c>
      <c r="J16" s="21">
        <f t="shared" si="1"/>
        <v>8.6174038278300613E-2</v>
      </c>
      <c r="K16" s="21">
        <f t="shared" si="1"/>
        <v>0</v>
      </c>
      <c r="L16" s="21">
        <f t="shared" ca="1" si="1"/>
        <v>0</v>
      </c>
      <c r="M16" s="21">
        <f t="shared" si="1"/>
        <v>0</v>
      </c>
      <c r="N16" s="21">
        <f t="shared" ca="1" si="1"/>
        <v>3135.1996370417619</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0.18431908348331288</v>
      </c>
      <c r="C18" s="25">
        <f ca="1">'EF ele_warmte'!B22</f>
        <v>0.23754702386081475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6824.277035599669</v>
      </c>
      <c r="C20" s="23">
        <f t="shared" ref="C20:P20" ca="1" si="2">C16*C18</f>
        <v>118.46534281837175</v>
      </c>
      <c r="D20" s="23">
        <f t="shared" ca="1" si="2"/>
        <v>7137.756883848916</v>
      </c>
      <c r="E20" s="23">
        <f t="shared" si="2"/>
        <v>39.696038027505516</v>
      </c>
      <c r="F20" s="23">
        <f t="shared" ca="1" si="2"/>
        <v>2084.7362298203052</v>
      </c>
      <c r="G20" s="23">
        <f t="shared" si="2"/>
        <v>0</v>
      </c>
      <c r="H20" s="23">
        <f t="shared" si="2"/>
        <v>0</v>
      </c>
      <c r="I20" s="23">
        <f t="shared" si="2"/>
        <v>0</v>
      </c>
      <c r="J20" s="23">
        <f t="shared" si="2"/>
        <v>3.0505609550518415E-2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9006.2784118195395</v>
      </c>
      <c r="C26" s="39">
        <f>IF(ISERROR(B26*3.6/1000000/'E Balans VL '!Z12*100),0,B26*3.6/1000000/'E Balans VL '!Z12*100)</f>
        <v>0.25400090104606676</v>
      </c>
      <c r="D26" s="237" t="s">
        <v>702</v>
      </c>
      <c r="F26" s="6"/>
    </row>
    <row r="27" spans="1:18">
      <c r="A27" s="231" t="s">
        <v>52</v>
      </c>
      <c r="B27" s="33">
        <f>IF(ISERROR(TER_horeca_ele_kWh/1000),0,TER_horeca_ele_kWh/1000)</f>
        <v>3324.1344861703701</v>
      </c>
      <c r="C27" s="39">
        <f>IF(ISERROR(B27*3.6/1000000/'E Balans VL '!Z9*100),0,B27*3.6/1000000/'E Balans VL '!Z9*100)</f>
        <v>0.24644373623030016</v>
      </c>
      <c r="D27" s="237" t="s">
        <v>702</v>
      </c>
      <c r="F27" s="6"/>
    </row>
    <row r="28" spans="1:18">
      <c r="A28" s="171" t="s">
        <v>51</v>
      </c>
      <c r="B28" s="33">
        <f>IF(ISERROR(TER_handel_ele_kWh/1000),0,TER_handel_ele_kWh/1000)</f>
        <v>13584.637857429399</v>
      </c>
      <c r="C28" s="39">
        <f>IF(ISERROR(B28*3.6/1000000/'E Balans VL '!Z13*100),0,B28*3.6/1000000/'E Balans VL '!Z13*100)</f>
        <v>0.40696345152618169</v>
      </c>
      <c r="D28" s="237" t="s">
        <v>702</v>
      </c>
      <c r="F28" s="6"/>
    </row>
    <row r="29" spans="1:18">
      <c r="A29" s="231" t="s">
        <v>50</v>
      </c>
      <c r="B29" s="33">
        <f>IF(ISERROR(TER_gezond_ele_kWh/1000),0,TER_gezond_ele_kWh/1000)</f>
        <v>1025.1297651439199</v>
      </c>
      <c r="C29" s="39">
        <f>IF(ISERROR(B29*3.6/1000000/'E Balans VL '!Z10*100),0,B29*3.6/1000000/'E Balans VL '!Z10*100)</f>
        <v>0.1013652329751067</v>
      </c>
      <c r="D29" s="237" t="s">
        <v>702</v>
      </c>
      <c r="F29" s="6"/>
    </row>
    <row r="30" spans="1:18">
      <c r="A30" s="231" t="s">
        <v>49</v>
      </c>
      <c r="B30" s="33">
        <f>IF(ISERROR(TER_ander_ele_kWh/1000),0,TER_ander_ele_kWh/1000)</f>
        <v>8725.7602248411313</v>
      </c>
      <c r="C30" s="39">
        <f>IF(ISERROR(B30*3.6/1000000/'E Balans VL '!Z14*100),0,B30*3.6/1000000/'E Balans VL '!Z14*100)</f>
        <v>0.35293121479167477</v>
      </c>
      <c r="D30" s="237" t="s">
        <v>702</v>
      </c>
      <c r="F30" s="6"/>
    </row>
    <row r="31" spans="1:18">
      <c r="A31" s="231" t="s">
        <v>54</v>
      </c>
      <c r="B31" s="33">
        <f>IF(ISERROR(TER_onderwijs_ele_kWh/1000),0,TER_onderwijs_ele_kWh/1000)</f>
        <v>1009.31581356175</v>
      </c>
      <c r="C31" s="39">
        <f>IF(ISERROR(B31*3.6/1000000/'E Balans VL '!Z11*100),0,B31*3.6/1000000/'E Balans VL '!Z11*100)</f>
        <v>0.27730319604516668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146340.28592541962</v>
      </c>
      <c r="C5" s="17">
        <f>IF(ISERROR('Eigen informatie GS &amp; warmtenet'!B61),0,'Eigen informatie GS &amp; warmtenet'!B61)</f>
        <v>0</v>
      </c>
      <c r="D5" s="30">
        <f>SUM(D6:D15)</f>
        <v>67577.542246076191</v>
      </c>
      <c r="E5" s="17">
        <f>SUM(E6:E15)</f>
        <v>2778.7168658226342</v>
      </c>
      <c r="F5" s="17">
        <f>SUM(F6:F15)</f>
        <v>17745.16115321578</v>
      </c>
      <c r="G5" s="18"/>
      <c r="H5" s="17"/>
      <c r="I5" s="17"/>
      <c r="J5" s="17">
        <f>SUM(J6:J15)</f>
        <v>58.339688356264702</v>
      </c>
      <c r="K5" s="17"/>
      <c r="L5" s="17"/>
      <c r="M5" s="17"/>
      <c r="N5" s="17">
        <f>SUM(N6:N15)</f>
        <v>2410.8230363051016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62885.512568019803</v>
      </c>
      <c r="C8" s="33"/>
      <c r="D8" s="37">
        <f>IF( ISERROR(IND_metaal_Gas_kWH/1000),0,IND_metaal_Gas_kWH/1000)*0.903</f>
        <v>696.67373794067373</v>
      </c>
      <c r="E8" s="33">
        <f>C30*'E Balans VL '!I18/100/3.6*1000000</f>
        <v>317.07972658979185</v>
      </c>
      <c r="F8" s="33">
        <f>C30*'E Balans VL '!L18/100/3.6*1000000+C30*'E Balans VL '!N18/100/3.6*1000000</f>
        <v>4296.4667221123682</v>
      </c>
      <c r="G8" s="34"/>
      <c r="H8" s="33"/>
      <c r="I8" s="33"/>
      <c r="J8" s="40">
        <f>C30*'E Balans VL '!D18/100/3.6*1000000+C30*'E Balans VL '!E18/100/3.6*1000000</f>
        <v>55.753371094875838</v>
      </c>
      <c r="K8" s="33"/>
      <c r="L8" s="33"/>
      <c r="M8" s="33"/>
      <c r="N8" s="33">
        <f>C30*'E Balans VL '!Y18/100/3.6*1000000</f>
        <v>835.74883522477387</v>
      </c>
      <c r="O8" s="33"/>
      <c r="P8" s="33"/>
      <c r="R8" s="32"/>
    </row>
    <row r="9" spans="1:18">
      <c r="A9" s="6" t="s">
        <v>32</v>
      </c>
      <c r="B9" s="37">
        <f t="shared" si="0"/>
        <v>20769.8635687879</v>
      </c>
      <c r="C9" s="33"/>
      <c r="D9" s="37">
        <f>IF( ISERROR(IND_andere_gas_kWh/1000),0,IND_andere_gas_kWh/1000)*0.903</f>
        <v>19874.155225119222</v>
      </c>
      <c r="E9" s="33">
        <f>C31*'E Balans VL '!I19/100/3.6*1000000</f>
        <v>65.471518787030561</v>
      </c>
      <c r="F9" s="33">
        <f>C31*'E Balans VL '!L19/100/3.6*1000000+C31*'E Balans VL '!N19/100/3.6*1000000</f>
        <v>12714.436923114183</v>
      </c>
      <c r="G9" s="34"/>
      <c r="H9" s="33"/>
      <c r="I9" s="33"/>
      <c r="J9" s="40">
        <f>C31*'E Balans VL '!D19/100/3.6*1000000+C31*'E Balans VL '!E19/100/3.6*1000000</f>
        <v>0</v>
      </c>
      <c r="K9" s="33"/>
      <c r="L9" s="33"/>
      <c r="M9" s="33"/>
      <c r="N9" s="33">
        <f>C31*'E Balans VL '!Y19/100/3.6*1000000</f>
        <v>870.90858119336303</v>
      </c>
      <c r="O9" s="33"/>
      <c r="P9" s="33"/>
      <c r="R9" s="32"/>
    </row>
    <row r="10" spans="1:18">
      <c r="A10" s="6" t="s">
        <v>40</v>
      </c>
      <c r="B10" s="37">
        <f t="shared" si="0"/>
        <v>21489.748159922397</v>
      </c>
      <c r="C10" s="33"/>
      <c r="D10" s="37">
        <f>IF( ISERROR(IND_voed_gas_kWh/1000),0,IND_voed_gas_kWh/1000)*0.903</f>
        <v>17385.580857017289</v>
      </c>
      <c r="E10" s="33">
        <f>C32*'E Balans VL '!I20/100/3.6*1000000</f>
        <v>34.248623317152891</v>
      </c>
      <c r="F10" s="33">
        <f>C32*'E Balans VL '!L20/100/3.6*1000000+C32*'E Balans VL '!N20/100/3.6*1000000</f>
        <v>349.15620308286157</v>
      </c>
      <c r="G10" s="34"/>
      <c r="H10" s="33"/>
      <c r="I10" s="33"/>
      <c r="J10" s="40">
        <f>C32*'E Balans VL '!D20/100/3.6*1000000+C32*'E Balans VL '!E20/100/3.6*1000000</f>
        <v>0</v>
      </c>
      <c r="K10" s="33"/>
      <c r="L10" s="33"/>
      <c r="M10" s="33"/>
      <c r="N10" s="33">
        <f>C32*'E Balans VL '!Y20/100/3.6*1000000</f>
        <v>678.75357468515665</v>
      </c>
      <c r="O10" s="33"/>
      <c r="P10" s="33"/>
      <c r="R10" s="32"/>
    </row>
    <row r="11" spans="1:18">
      <c r="A11" s="6" t="s">
        <v>39</v>
      </c>
      <c r="B11" s="37">
        <f t="shared" si="0"/>
        <v>27.4040681003966</v>
      </c>
      <c r="C11" s="33"/>
      <c r="D11" s="37">
        <f>IF( ISERROR(IND_textiel_gas_kWh/1000),0,IND_textiel_gas_kWh/1000)*0.903</f>
        <v>95.953758969784616</v>
      </c>
      <c r="E11" s="33">
        <f>C33*'E Balans VL '!I21/100/3.6*1000000</f>
        <v>3.9758295305492068E-2</v>
      </c>
      <c r="F11" s="33">
        <f>C33*'E Balans VL '!L21/100/3.6*1000000+C33*'E Balans VL '!N21/100/3.6*1000000</f>
        <v>0.53631522030881595</v>
      </c>
      <c r="G11" s="34"/>
      <c r="H11" s="33"/>
      <c r="I11" s="33"/>
      <c r="J11" s="40">
        <f>C33*'E Balans VL '!D21/100/3.6*1000000+C33*'E Balans VL '!E21/100/3.6*1000000</f>
        <v>0</v>
      </c>
      <c r="K11" s="33"/>
      <c r="L11" s="33"/>
      <c r="M11" s="33"/>
      <c r="N11" s="33">
        <f>C33*'E Balans VL '!Y21/100/3.6*1000000</f>
        <v>1.3350640031389664</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61.829279244202695</v>
      </c>
      <c r="C13" s="33"/>
      <c r="D13" s="37">
        <f>IF( ISERROR(IND_papier_gas_kWh/1000),0,IND_papier_gas_kWh/1000)*0.903</f>
        <v>112.36696020500764</v>
      </c>
      <c r="E13" s="33">
        <f>C35*'E Balans VL '!I23/100/3.6*1000000</f>
        <v>0</v>
      </c>
      <c r="F13" s="33">
        <f>C35*'E Balans VL '!L23/100/3.6*1000000+C35*'E Balans VL '!N23/100/3.6*1000000</f>
        <v>2.6787318755791948E-3</v>
      </c>
      <c r="G13" s="34"/>
      <c r="H13" s="33"/>
      <c r="I13" s="33"/>
      <c r="J13" s="40">
        <f>C35*'E Balans VL '!D23/100/3.6*1000000+C35*'E Balans VL '!E23/100/3.6*1000000</f>
        <v>1.7036915232126178E-3</v>
      </c>
      <c r="K13" s="33"/>
      <c r="L13" s="33"/>
      <c r="M13" s="33"/>
      <c r="N13" s="33">
        <f>C35*'E Balans VL '!Y23/100/3.6*1000000</f>
        <v>0</v>
      </c>
      <c r="O13" s="33"/>
      <c r="P13" s="33"/>
      <c r="R13" s="32"/>
    </row>
    <row r="14" spans="1:18">
      <c r="A14" s="6" t="s">
        <v>33</v>
      </c>
      <c r="B14" s="37">
        <f t="shared" si="0"/>
        <v>39839.928588295901</v>
      </c>
      <c r="C14" s="33"/>
      <c r="D14" s="37">
        <f>IF( ISERROR(IND_chemie_gas_kWh/1000),0,IND_chemie_gas_kWh/1000)*0.903</f>
        <v>26395.487788378399</v>
      </c>
      <c r="E14" s="33">
        <f>C36*'E Balans VL '!I24/100/3.6*1000000</f>
        <v>2329.9667215761428</v>
      </c>
      <c r="F14" s="33">
        <f>C36*'E Balans VL '!L24/100/3.6*1000000+C36*'E Balans VL '!N24/100/3.6*1000000</f>
        <v>281.78678554946339</v>
      </c>
      <c r="G14" s="34"/>
      <c r="H14" s="33"/>
      <c r="I14" s="33"/>
      <c r="J14" s="40">
        <f>C36*'E Balans VL '!D24/100/3.6*1000000+C36*'E Balans VL '!E24/100/3.6*1000000</f>
        <v>0</v>
      </c>
      <c r="K14" s="33"/>
      <c r="L14" s="33"/>
      <c r="M14" s="33"/>
      <c r="N14" s="33">
        <f>C36*'E Balans VL '!Y24/100/3.6*1000000</f>
        <v>2.6850571990301337</v>
      </c>
      <c r="O14" s="33"/>
      <c r="P14" s="33"/>
      <c r="R14" s="32"/>
    </row>
    <row r="15" spans="1:18">
      <c r="A15" s="6" t="s">
        <v>269</v>
      </c>
      <c r="B15" s="37">
        <f t="shared" si="0"/>
        <v>1265.9996930490299</v>
      </c>
      <c r="C15" s="33"/>
      <c r="D15" s="37">
        <f>IF( ISERROR(IND_rest_gas_kWh/1000),0,IND_rest_gas_kWh/1000)*0.903</f>
        <v>3017.3239184458166</v>
      </c>
      <c r="E15" s="33">
        <f>C37*'E Balans VL '!I15/100/3.6*1000000</f>
        <v>31.910517257210557</v>
      </c>
      <c r="F15" s="33">
        <f>C37*'E Balans VL '!L15/100/3.6*1000000+C37*'E Balans VL '!N15/100/3.6*1000000</f>
        <v>102.77552540472131</v>
      </c>
      <c r="G15" s="34"/>
      <c r="H15" s="33"/>
      <c r="I15" s="33"/>
      <c r="J15" s="40">
        <f>C37*'E Balans VL '!D15/100/3.6*1000000+C37*'E Balans VL '!E15/100/3.6*1000000</f>
        <v>2.584613569865652</v>
      </c>
      <c r="K15" s="33"/>
      <c r="L15" s="33"/>
      <c r="M15" s="33"/>
      <c r="N15" s="33">
        <f>C37*'E Balans VL '!Y15/100/3.6*1000000</f>
        <v>21.391923999638546</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146340.28592541962</v>
      </c>
      <c r="C18" s="21">
        <f>C5+C16</f>
        <v>0</v>
      </c>
      <c r="D18" s="21">
        <f>MAX((D5+D16),0)</f>
        <v>67577.542246076191</v>
      </c>
      <c r="E18" s="21">
        <f>MAX((E5+E16),0)</f>
        <v>2778.7168658226342</v>
      </c>
      <c r="F18" s="21">
        <f>MAX((F5+F16),0)</f>
        <v>17745.16115321578</v>
      </c>
      <c r="G18" s="21"/>
      <c r="H18" s="21"/>
      <c r="I18" s="21"/>
      <c r="J18" s="21">
        <f>MAX((J5+J16),0)</f>
        <v>58.339688356264702</v>
      </c>
      <c r="K18" s="21"/>
      <c r="L18" s="21">
        <f>MAX((L5+L16),0)</f>
        <v>0</v>
      </c>
      <c r="M18" s="21"/>
      <c r="N18" s="21">
        <f>MAX((N5+N16),0)</f>
        <v>2410.8230363051016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0.18431908348331288</v>
      </c>
      <c r="C20" s="25">
        <f ca="1">'EF ele_warmte'!B22</f>
        <v>0.23754702386081475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26973.307378459296</v>
      </c>
      <c r="C22" s="23">
        <f ca="1">C18*C20</f>
        <v>0</v>
      </c>
      <c r="D22" s="23">
        <f>D18*D20</f>
        <v>13650.663533707391</v>
      </c>
      <c r="E22" s="23">
        <f>E18*E20</f>
        <v>630.76872854173803</v>
      </c>
      <c r="F22" s="23">
        <f>F18*F20</f>
        <v>4737.958027908614</v>
      </c>
      <c r="G22" s="23"/>
      <c r="H22" s="23"/>
      <c r="I22" s="23"/>
      <c r="J22" s="23">
        <f>J18*J20</f>
        <v>20.652249678117702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62885.512568019803</v>
      </c>
      <c r="C30" s="39">
        <f>IF(ISERROR(B30*3.6/1000000/'E Balans VL '!Z18*100),0,B30*3.6/1000000/'E Balans VL '!Z18*100)</f>
        <v>3.1214951157317641</v>
      </c>
      <c r="D30" s="237" t="s">
        <v>702</v>
      </c>
    </row>
    <row r="31" spans="1:18">
      <c r="A31" s="6" t="s">
        <v>32</v>
      </c>
      <c r="B31" s="37">
        <f>IF( ISERROR(IND_ander_ele_kWh/1000),0,IND_ander_ele_kWh/1000)</f>
        <v>20769.8635687879</v>
      </c>
      <c r="C31" s="39">
        <f>IF(ISERROR(B31*3.6/1000000/'E Balans VL '!Z19*100),0,B31*3.6/1000000/'E Balans VL '!Z19*100)</f>
        <v>0.70087646408022231</v>
      </c>
      <c r="D31" s="237" t="s">
        <v>702</v>
      </c>
    </row>
    <row r="32" spans="1:18">
      <c r="A32" s="171" t="s">
        <v>40</v>
      </c>
      <c r="B32" s="37">
        <f>IF( ISERROR(IND_voed_ele_kWh/1000),0,IND_voed_ele_kWh/1000)</f>
        <v>21489.748159922397</v>
      </c>
      <c r="C32" s="39">
        <f>IF(ISERROR(B32*3.6/1000000/'E Balans VL '!Z20*100),0,B32*3.6/1000000/'E Balans VL '!Z20*100)</f>
        <v>0.50467197380412143</v>
      </c>
      <c r="D32" s="237" t="s">
        <v>702</v>
      </c>
    </row>
    <row r="33" spans="1:5">
      <c r="A33" s="171" t="s">
        <v>39</v>
      </c>
      <c r="B33" s="37">
        <f>IF( ISERROR(IND_textiel_ele_kWh/1000),0,IND_textiel_ele_kWh/1000)</f>
        <v>27.4040681003966</v>
      </c>
      <c r="C33" s="39">
        <f>IF(ISERROR(B33*3.6/1000000/'E Balans VL '!Z21*100),0,B33*3.6/1000000/'E Balans VL '!Z21*100)</f>
        <v>3.0075617377552308E-3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61.829279244202695</v>
      </c>
      <c r="C35" s="39">
        <f>IF(ISERROR(B35*3.6/1000000/'E Balans VL '!Z22*100),0,B35*3.6/1000000/'E Balans VL '!Z22*100)</f>
        <v>8.7717667469109761E-3</v>
      </c>
      <c r="D35" s="237" t="s">
        <v>702</v>
      </c>
    </row>
    <row r="36" spans="1:5">
      <c r="A36" s="171" t="s">
        <v>33</v>
      </c>
      <c r="B36" s="37">
        <f>IF( ISERROR(IND_chemie_ele_kWh/1000),0,IND_chemie_ele_kWh/1000)</f>
        <v>39839.928588295901</v>
      </c>
      <c r="C36" s="39">
        <f>IF(ISERROR(B36*3.6/1000000/'E Balans VL '!Z24*100),0,B36*3.6/1000000/'E Balans VL '!Z24*100)</f>
        <v>0.36380150231495706</v>
      </c>
      <c r="D36" s="237" t="s">
        <v>702</v>
      </c>
    </row>
    <row r="37" spans="1:5">
      <c r="A37" s="171" t="s">
        <v>269</v>
      </c>
      <c r="B37" s="37">
        <f>IF( ISERROR(IND_rest_ele_kWh/1000),0,IND_rest_ele_kWh/1000)</f>
        <v>1265.9996930490299</v>
      </c>
      <c r="C37" s="39">
        <f>IF(ISERROR(B37*3.6/1000000/'E Balans VL '!Z15*100),0,B37*3.6/1000000/'E Balans VL '!Z15*100)</f>
        <v>4.744370820296882E-3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3842.5602341817903</v>
      </c>
      <c r="C5" s="17">
        <f>'Eigen informatie GS &amp; warmtenet'!B62</f>
        <v>0</v>
      </c>
      <c r="D5" s="30">
        <f>IF(ISERROR(SUM(LB_lb_gas_kWh,LB_rest_gas_kWh)/1000),0,SUM(LB_lb_gas_kWh,LB_rest_gas_kWh)/1000)*0.903</f>
        <v>14728.354073360879</v>
      </c>
      <c r="E5" s="17">
        <f>B17*'E Balans VL '!I25/3.6*1000000/100</f>
        <v>143.30082468594645</v>
      </c>
      <c r="F5" s="17">
        <f>B17*('E Balans VL '!L25/3.6*1000000+'E Balans VL '!N25/3.6*1000000)/100</f>
        <v>12466.750223407427</v>
      </c>
      <c r="G5" s="18"/>
      <c r="H5" s="17"/>
      <c r="I5" s="17"/>
      <c r="J5" s="17">
        <f>('E Balans VL '!D25+'E Balans VL '!E25)/3.6*1000000*landbouw!B17/100</f>
        <v>1008.6910318357513</v>
      </c>
      <c r="K5" s="17"/>
      <c r="L5" s="17">
        <f>L6*(-1)</f>
        <v>0</v>
      </c>
      <c r="M5" s="17"/>
      <c r="N5" s="17">
        <f>N6*(-1)</f>
        <v>0</v>
      </c>
      <c r="O5" s="17"/>
      <c r="P5" s="17"/>
      <c r="R5" s="32"/>
    </row>
    <row r="6" spans="1:18">
      <c r="A6" s="16" t="s">
        <v>479</v>
      </c>
      <c r="B6" s="17" t="s">
        <v>210</v>
      </c>
      <c r="C6" s="17">
        <f>'lokale energieproductie'!O42+'lokale energieproductie'!O35</f>
        <v>7527.1756756756758</v>
      </c>
      <c r="D6" s="310">
        <f>('lokale energieproductie'!P35+'lokale energieproductie'!P42)*(-1)</f>
        <v>-15052.972972972975</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3842.5602341817903</v>
      </c>
      <c r="C8" s="21">
        <f>C5+C6</f>
        <v>7527.1756756756758</v>
      </c>
      <c r="D8" s="21">
        <f>MAX((D5+D6),0)</f>
        <v>0</v>
      </c>
      <c r="E8" s="21">
        <f>MAX((E5+E6),0)</f>
        <v>143.30082468594645</v>
      </c>
      <c r="F8" s="21">
        <f>MAX((F5+F6),0)</f>
        <v>12466.750223407427</v>
      </c>
      <c r="G8" s="21"/>
      <c r="H8" s="21"/>
      <c r="I8" s="21"/>
      <c r="J8" s="21">
        <f>MAX((J5+J6),0)</f>
        <v>1008.6910318357513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0.18431908348331288</v>
      </c>
      <c r="C10" s="31">
        <f ca="1">'EF ele_warmte'!B22</f>
        <v>0.23754702386081475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708.25718059381177</v>
      </c>
      <c r="C12" s="23">
        <f ca="1">C8*C10</f>
        <v>1788.0581798342741</v>
      </c>
      <c r="D12" s="23">
        <f>D8*D10</f>
        <v>0</v>
      </c>
      <c r="E12" s="23">
        <f>E8*E10</f>
        <v>32.529287203709849</v>
      </c>
      <c r="F12" s="23">
        <f>F8*F10</f>
        <v>3328.6223096497833</v>
      </c>
      <c r="G12" s="23"/>
      <c r="H12" s="23"/>
      <c r="I12" s="23"/>
      <c r="J12" s="23">
        <f>J8*J10</f>
        <v>357.07662526985598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0.52776562093341117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483.23446298542012</v>
      </c>
      <c r="C26" s="247">
        <f>B26*'GWP N2O_CH4'!B5</f>
        <v>10147.923722693822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122.28489125107633</v>
      </c>
      <c r="C27" s="247">
        <f>B27*'GWP N2O_CH4'!B5</f>
        <v>2567.9827162726028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8.2482848806119176</v>
      </c>
      <c r="C28" s="247">
        <f>B28*'GWP N2O_CH4'!B4</f>
        <v>2556.9683129896944</v>
      </c>
      <c r="D28" s="50"/>
    </row>
    <row r="29" spans="1:4">
      <c r="A29" s="41" t="s">
        <v>276</v>
      </c>
      <c r="B29" s="247">
        <f>B34*'ha_N2O bodem landbouw'!B4</f>
        <v>14.648822735406506</v>
      </c>
      <c r="C29" s="247">
        <f>B29*'GWP N2O_CH4'!B4</f>
        <v>4541.1350479760167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3.3385085356810824E-3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5.5972034891830212E-4</v>
      </c>
      <c r="C5" s="440" t="s">
        <v>210</v>
      </c>
      <c r="D5" s="425">
        <f>SUM(D6:D11)</f>
        <v>2.1569770835451405E-3</v>
      </c>
      <c r="E5" s="425">
        <f>SUM(E6:E11)</f>
        <v>1.2714122932677033E-3</v>
      </c>
      <c r="F5" s="438" t="s">
        <v>210</v>
      </c>
      <c r="G5" s="425">
        <f>SUM(G6:G11)</f>
        <v>0.57345515613472597</v>
      </c>
      <c r="H5" s="425">
        <f>SUM(H6:H11)</f>
        <v>0.13998573742353734</v>
      </c>
      <c r="I5" s="440" t="s">
        <v>210</v>
      </c>
      <c r="J5" s="440" t="s">
        <v>210</v>
      </c>
      <c r="K5" s="440" t="s">
        <v>210</v>
      </c>
      <c r="L5" s="440" t="s">
        <v>210</v>
      </c>
      <c r="M5" s="425">
        <f>SUM(M6:M11)</f>
        <v>4.2017632630746288E-2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2.847302687657157E-4</v>
      </c>
      <c r="C6" s="426"/>
      <c r="D6" s="893">
        <f>vkm_GW_PW*SUMIFS(TableVerdeelsleutelVkm[CNG],TableVerdeelsleutelVkm[Voertuigtype],"Lichte voertuigen")*SUMIFS(TableECFTransport[EnergieConsumptieFactor (PJ per km)],TableECFTransport[Index],CONCATENATE($A6,"_CNG_CNG"))</f>
        <v>1.0283588396815108E-3</v>
      </c>
      <c r="E6" s="893">
        <f>vkm_GW_PW*SUMIFS(TableVerdeelsleutelVkm[LPG],TableVerdeelsleutelVkm[Voertuigtype],"Lichte voertuigen")*SUMIFS(TableECFTransport[EnergieConsumptieFactor (PJ per km)],TableECFTransport[Index],CONCATENATE($A6,"_LPG_LPG"))</f>
        <v>5.5888663275480502E-4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0.17392207662143841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6.5822522687187968E-2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1.4367855346983694E-2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6.7983215054033194E-2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7.1569622329625395E-7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3.8275614922991374E-3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5.2630798817456948E-5</v>
      </c>
      <c r="C8" s="426"/>
      <c r="D8" s="428">
        <f>vkm_NGW_PW*SUMIFS(TableVerdeelsleutelVkm[CNG],TableVerdeelsleutelVkm[Voertuigtype],"Lichte voertuigen")*SUMIFS(TableECFTransport[EnergieConsumptieFactor (PJ per km)],TableECFTransport[Index],CONCATENATE($A8,"_CNG_CNG"))</f>
        <v>3.2220881256308544E-4</v>
      </c>
      <c r="E8" s="428">
        <f>vkm_NGW_PW*SUMIFS(TableVerdeelsleutelVkm[LPG],TableVerdeelsleutelVkm[Voertuigtype],"Lichte voertuigen")*SUMIFS(TableECFTransport[EnergieConsumptieFactor (PJ per km)],TableECFTransport[Index],CONCATENATE($A8,"_LPG_LPG"))</f>
        <v>1.66403396729866E-4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4.8190464762970307E-2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2.0309748186670883E-2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4.1250710079718438E-3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3.7460680629390528E-3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5.7280341818325221E-8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2.1091074000942553E-4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2.2235928133512944E-4</v>
      </c>
      <c r="C10" s="426"/>
      <c r="D10" s="428">
        <f>vkm_SW_PW*SUMIFS(TableVerdeelsleutelVkm[CNG],TableVerdeelsleutelVkm[Voertuigtype],"Lichte voertuigen")*SUMIFS(TableECFTransport[EnergieConsumptieFactor (PJ per km)],TableECFTransport[Index],CONCATENATE($A10,"_CNG_CNG"))</f>
        <v>8.0640943130054433E-4</v>
      </c>
      <c r="E10" s="428">
        <f>vkm_SW_PW*SUMIFS(TableVerdeelsleutelVkm[LPG],TableVerdeelsleutelVkm[Voertuigtype],"Lichte voertuigen")*SUMIFS(TableECFTransport[EnergieConsumptieFactor (PJ per km)],TableECFTransport[Index],CONCATENATE($A10,"_LPG_LPG"))</f>
        <v>5.4612226378303232E-4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0.1510251439762241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5.3851259962231009E-2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1.2246512111627819E-2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0.12858818765712102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1.4336108823564065E-6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7.2397219318543673E-3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155.47787469952837</v>
      </c>
      <c r="C14" s="21"/>
      <c r="D14" s="21">
        <f t="shared" ref="D14:M14" si="0">((D5)*10^9/3600)+D12</f>
        <v>599.16030098476119</v>
      </c>
      <c r="E14" s="21">
        <f t="shared" si="0"/>
        <v>353.17008146325094</v>
      </c>
      <c r="F14" s="21"/>
      <c r="G14" s="21">
        <f t="shared" si="0"/>
        <v>159293.09892631276</v>
      </c>
      <c r="H14" s="21">
        <f t="shared" si="0"/>
        <v>38884.92706209371</v>
      </c>
      <c r="I14" s="21"/>
      <c r="J14" s="21"/>
      <c r="K14" s="21"/>
      <c r="L14" s="21"/>
      <c r="M14" s="21">
        <f t="shared" si="0"/>
        <v>11671.564619651746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0.18431908348331288</v>
      </c>
      <c r="C16" s="56">
        <f ca="1">'EF ele_warmte'!B22</f>
        <v>0.23754702386081475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28.657539366550431</v>
      </c>
      <c r="C18" s="23"/>
      <c r="D18" s="23">
        <f t="shared" ref="D18:M18" si="1">D14*D16</f>
        <v>121.03038079892177</v>
      </c>
      <c r="E18" s="23">
        <f t="shared" si="1"/>
        <v>80.169608492157963</v>
      </c>
      <c r="F18" s="23"/>
      <c r="G18" s="23">
        <f t="shared" si="1"/>
        <v>42531.257413325511</v>
      </c>
      <c r="H18" s="23">
        <f t="shared" si="1"/>
        <v>9682.3468384613334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6.0606374229661654E-3</v>
      </c>
      <c r="H50" s="321">
        <f t="shared" si="2"/>
        <v>0</v>
      </c>
      <c r="I50" s="321">
        <f t="shared" si="2"/>
        <v>0</v>
      </c>
      <c r="J50" s="321">
        <f t="shared" si="2"/>
        <v>0</v>
      </c>
      <c r="K50" s="321">
        <f t="shared" si="2"/>
        <v>0</v>
      </c>
      <c r="L50" s="321">
        <f t="shared" si="2"/>
        <v>0</v>
      </c>
      <c r="M50" s="321">
        <f t="shared" si="2"/>
        <v>3.2888470546604684E-4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6.0606374229661654E-3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3.2888470546604684E-4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1683.5103952683794</v>
      </c>
      <c r="H54" s="21">
        <f t="shared" si="3"/>
        <v>0</v>
      </c>
      <c r="I54" s="21">
        <f t="shared" si="3"/>
        <v>0</v>
      </c>
      <c r="J54" s="21">
        <f t="shared" si="3"/>
        <v>0</v>
      </c>
      <c r="K54" s="21">
        <f t="shared" si="3"/>
        <v>0</v>
      </c>
      <c r="L54" s="21">
        <f t="shared" si="3"/>
        <v>0</v>
      </c>
      <c r="M54" s="21">
        <f t="shared" si="3"/>
        <v>91.356862629457467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0.18431908348331288</v>
      </c>
      <c r="C56" s="56">
        <f ca="1">'EF ele_warmte'!B22</f>
        <v>0.23754702386081475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449.4972755366573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39055.521558966109</v>
      </c>
      <c r="D10" s="689">
        <f ca="1">tertiair!C16</f>
        <v>498.70270270270282</v>
      </c>
      <c r="E10" s="689">
        <f ca="1">tertiair!D16</f>
        <v>35335.430118063938</v>
      </c>
      <c r="F10" s="689">
        <f>tertiair!E16</f>
        <v>174.87241421808596</v>
      </c>
      <c r="G10" s="689">
        <f ca="1">tertiair!F16</f>
        <v>7808.0008607502068</v>
      </c>
      <c r="H10" s="689">
        <f>tertiair!G16</f>
        <v>0</v>
      </c>
      <c r="I10" s="689">
        <f>tertiair!H16</f>
        <v>0</v>
      </c>
      <c r="J10" s="689">
        <f>tertiair!I16</f>
        <v>0</v>
      </c>
      <c r="K10" s="689">
        <f>tertiair!J16</f>
        <v>8.6174038278300613E-2</v>
      </c>
      <c r="L10" s="689">
        <f>tertiair!K16</f>
        <v>0</v>
      </c>
      <c r="M10" s="689">
        <f ca="1">tertiair!L16</f>
        <v>0</v>
      </c>
      <c r="N10" s="689">
        <f>tertiair!M16</f>
        <v>0</v>
      </c>
      <c r="O10" s="689">
        <f ca="1">tertiair!N16</f>
        <v>3135.1996370417619</v>
      </c>
      <c r="P10" s="689">
        <f>tertiair!O16</f>
        <v>24.486303829205774</v>
      </c>
      <c r="Q10" s="690">
        <f>tertiair!P16</f>
        <v>0</v>
      </c>
      <c r="R10" s="692">
        <f ca="1">SUM(C10:Q10)</f>
        <v>86032.299769610298</v>
      </c>
      <c r="S10" s="67"/>
    </row>
    <row r="11" spans="1:19" s="451" customFormat="1">
      <c r="A11" s="811" t="s">
        <v>224</v>
      </c>
      <c r="B11" s="816"/>
      <c r="C11" s="689">
        <f>huishoudens!B8</f>
        <v>41096.990435286476</v>
      </c>
      <c r="D11" s="689">
        <f>huishoudens!C8</f>
        <v>0</v>
      </c>
      <c r="E11" s="689">
        <f>huishoudens!D8</f>
        <v>97740.422698447379</v>
      </c>
      <c r="F11" s="689">
        <f>huishoudens!E8</f>
        <v>16802.734155337144</v>
      </c>
      <c r="G11" s="689">
        <f>huishoudens!F8</f>
        <v>22009.408905386543</v>
      </c>
      <c r="H11" s="689">
        <f>huishoudens!G8</f>
        <v>0</v>
      </c>
      <c r="I11" s="689">
        <f>huishoudens!H8</f>
        <v>0</v>
      </c>
      <c r="J11" s="689">
        <f>huishoudens!I8</f>
        <v>0</v>
      </c>
      <c r="K11" s="689">
        <f>huishoudens!J8</f>
        <v>0</v>
      </c>
      <c r="L11" s="689">
        <f>huishoudens!K8</f>
        <v>0</v>
      </c>
      <c r="M11" s="689">
        <f>huishoudens!L8</f>
        <v>0</v>
      </c>
      <c r="N11" s="689">
        <f>huishoudens!M8</f>
        <v>0</v>
      </c>
      <c r="O11" s="689">
        <f>huishoudens!N8</f>
        <v>35140.914406410069</v>
      </c>
      <c r="P11" s="689">
        <f>huishoudens!O8</f>
        <v>484.08580553043578</v>
      </c>
      <c r="Q11" s="690">
        <f>huishoudens!P8</f>
        <v>2212.1314546138551</v>
      </c>
      <c r="R11" s="692">
        <f>SUM(C11:Q11)</f>
        <v>215486.68786101189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146340.28592541962</v>
      </c>
      <c r="D13" s="689">
        <f>industrie!C18</f>
        <v>0</v>
      </c>
      <c r="E13" s="689">
        <f>industrie!D18</f>
        <v>67577.542246076191</v>
      </c>
      <c r="F13" s="689">
        <f>industrie!E18</f>
        <v>2778.7168658226342</v>
      </c>
      <c r="G13" s="689">
        <f>industrie!F18</f>
        <v>17745.16115321578</v>
      </c>
      <c r="H13" s="689">
        <f>industrie!G18</f>
        <v>0</v>
      </c>
      <c r="I13" s="689">
        <f>industrie!H18</f>
        <v>0</v>
      </c>
      <c r="J13" s="689">
        <f>industrie!I18</f>
        <v>0</v>
      </c>
      <c r="K13" s="689">
        <f>industrie!J18</f>
        <v>58.339688356264702</v>
      </c>
      <c r="L13" s="689">
        <f>industrie!K18</f>
        <v>0</v>
      </c>
      <c r="M13" s="689">
        <f>industrie!L18</f>
        <v>0</v>
      </c>
      <c r="N13" s="689">
        <f>industrie!M18</f>
        <v>0</v>
      </c>
      <c r="O13" s="689">
        <f>industrie!N18</f>
        <v>2410.8230363051016</v>
      </c>
      <c r="P13" s="689">
        <f>industrie!O18</f>
        <v>0</v>
      </c>
      <c r="Q13" s="690">
        <f>industrie!P18</f>
        <v>0</v>
      </c>
      <c r="R13" s="692">
        <f>SUM(C13:Q13)</f>
        <v>236910.86891519561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226492.79791967222</v>
      </c>
      <c r="D16" s="725">
        <f t="shared" ref="D16:R16" ca="1" si="0">SUM(D9:D15)</f>
        <v>498.70270270270282</v>
      </c>
      <c r="E16" s="725">
        <f t="shared" ca="1" si="0"/>
        <v>200653.39506258751</v>
      </c>
      <c r="F16" s="725">
        <f t="shared" si="0"/>
        <v>19756.323435377864</v>
      </c>
      <c r="G16" s="725">
        <f t="shared" ca="1" si="0"/>
        <v>47562.570919352525</v>
      </c>
      <c r="H16" s="725">
        <f t="shared" si="0"/>
        <v>0</v>
      </c>
      <c r="I16" s="725">
        <f t="shared" si="0"/>
        <v>0</v>
      </c>
      <c r="J16" s="725">
        <f t="shared" si="0"/>
        <v>0</v>
      </c>
      <c r="K16" s="725">
        <f t="shared" si="0"/>
        <v>58.425862394543003</v>
      </c>
      <c r="L16" s="725">
        <f t="shared" si="0"/>
        <v>0</v>
      </c>
      <c r="M16" s="725">
        <f t="shared" ca="1" si="0"/>
        <v>0</v>
      </c>
      <c r="N16" s="725">
        <f t="shared" si="0"/>
        <v>0</v>
      </c>
      <c r="O16" s="725">
        <f t="shared" ca="1" si="0"/>
        <v>40686.937079756935</v>
      </c>
      <c r="P16" s="725">
        <f t="shared" si="0"/>
        <v>508.57210935964156</v>
      </c>
      <c r="Q16" s="725">
        <f t="shared" si="0"/>
        <v>2212.1314546138551</v>
      </c>
      <c r="R16" s="725">
        <f t="shared" ca="1" si="0"/>
        <v>538429.85654581781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1683.5103952683794</v>
      </c>
      <c r="I19" s="689">
        <f>transport!H54</f>
        <v>0</v>
      </c>
      <c r="J19" s="689">
        <f>transport!I54</f>
        <v>0</v>
      </c>
      <c r="K19" s="689">
        <f>transport!J54</f>
        <v>0</v>
      </c>
      <c r="L19" s="689">
        <f>transport!K54</f>
        <v>0</v>
      </c>
      <c r="M19" s="689">
        <f>transport!L54</f>
        <v>0</v>
      </c>
      <c r="N19" s="689">
        <f>transport!M54</f>
        <v>91.356862629457467</v>
      </c>
      <c r="O19" s="689">
        <f>transport!N54</f>
        <v>0</v>
      </c>
      <c r="P19" s="689">
        <f>transport!O54</f>
        <v>0</v>
      </c>
      <c r="Q19" s="690">
        <f>transport!P54</f>
        <v>0</v>
      </c>
      <c r="R19" s="692">
        <f>SUM(C19:Q19)</f>
        <v>1774.8672578978369</v>
      </c>
      <c r="S19" s="67"/>
    </row>
    <row r="20" spans="1:19" s="451" customFormat="1">
      <c r="A20" s="811" t="s">
        <v>306</v>
      </c>
      <c r="B20" s="816"/>
      <c r="C20" s="689">
        <f>transport!B14</f>
        <v>155.47787469952837</v>
      </c>
      <c r="D20" s="689">
        <f>transport!C14</f>
        <v>0</v>
      </c>
      <c r="E20" s="689">
        <f>transport!D14</f>
        <v>599.16030098476119</v>
      </c>
      <c r="F20" s="689">
        <f>transport!E14</f>
        <v>353.17008146325094</v>
      </c>
      <c r="G20" s="689">
        <f>transport!F14</f>
        <v>0</v>
      </c>
      <c r="H20" s="689">
        <f>transport!G14</f>
        <v>159293.09892631276</v>
      </c>
      <c r="I20" s="689">
        <f>transport!H14</f>
        <v>38884.92706209371</v>
      </c>
      <c r="J20" s="689">
        <f>transport!I14</f>
        <v>0</v>
      </c>
      <c r="K20" s="689">
        <f>transport!J14</f>
        <v>0</v>
      </c>
      <c r="L20" s="689">
        <f>transport!K14</f>
        <v>0</v>
      </c>
      <c r="M20" s="689">
        <f>transport!L14</f>
        <v>0</v>
      </c>
      <c r="N20" s="689">
        <f>transport!M14</f>
        <v>11671.564619651746</v>
      </c>
      <c r="O20" s="689">
        <f>transport!N14</f>
        <v>0</v>
      </c>
      <c r="P20" s="689">
        <f>transport!O14</f>
        <v>0</v>
      </c>
      <c r="Q20" s="690">
        <f>transport!P14</f>
        <v>0</v>
      </c>
      <c r="R20" s="692">
        <f>SUM(C20:Q20)</f>
        <v>210957.39886520576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155.47787469952837</v>
      </c>
      <c r="D22" s="814">
        <f t="shared" ref="D22:R22" si="1">SUM(D18:D21)</f>
        <v>0</v>
      </c>
      <c r="E22" s="814">
        <f t="shared" si="1"/>
        <v>599.16030098476119</v>
      </c>
      <c r="F22" s="814">
        <f t="shared" si="1"/>
        <v>353.17008146325094</v>
      </c>
      <c r="G22" s="814">
        <f t="shared" si="1"/>
        <v>0</v>
      </c>
      <c r="H22" s="814">
        <f t="shared" si="1"/>
        <v>160976.60932158114</v>
      </c>
      <c r="I22" s="814">
        <f t="shared" si="1"/>
        <v>38884.92706209371</v>
      </c>
      <c r="J22" s="814">
        <f t="shared" si="1"/>
        <v>0</v>
      </c>
      <c r="K22" s="814">
        <f t="shared" si="1"/>
        <v>0</v>
      </c>
      <c r="L22" s="814">
        <f t="shared" si="1"/>
        <v>0</v>
      </c>
      <c r="M22" s="814">
        <f t="shared" si="1"/>
        <v>0</v>
      </c>
      <c r="N22" s="814">
        <f t="shared" si="1"/>
        <v>11762.921482281205</v>
      </c>
      <c r="O22" s="814">
        <f t="shared" si="1"/>
        <v>0</v>
      </c>
      <c r="P22" s="814">
        <f t="shared" si="1"/>
        <v>0</v>
      </c>
      <c r="Q22" s="814">
        <f t="shared" si="1"/>
        <v>0</v>
      </c>
      <c r="R22" s="814">
        <f t="shared" si="1"/>
        <v>212732.26612310359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3842.5602341817903</v>
      </c>
      <c r="D24" s="689">
        <f>+landbouw!C8</f>
        <v>7527.1756756756758</v>
      </c>
      <c r="E24" s="689">
        <f>+landbouw!D8</f>
        <v>0</v>
      </c>
      <c r="F24" s="689">
        <f>+landbouw!E8</f>
        <v>143.30082468594645</v>
      </c>
      <c r="G24" s="689">
        <f>+landbouw!F8</f>
        <v>12466.750223407427</v>
      </c>
      <c r="H24" s="689">
        <f>+landbouw!G8</f>
        <v>0</v>
      </c>
      <c r="I24" s="689">
        <f>+landbouw!H8</f>
        <v>0</v>
      </c>
      <c r="J24" s="689">
        <f>+landbouw!I8</f>
        <v>0</v>
      </c>
      <c r="K24" s="689">
        <f>+landbouw!J8</f>
        <v>1008.6910318357513</v>
      </c>
      <c r="L24" s="689">
        <f>+landbouw!K8</f>
        <v>0</v>
      </c>
      <c r="M24" s="689">
        <f>+landbouw!L8</f>
        <v>0</v>
      </c>
      <c r="N24" s="689">
        <f>+landbouw!M8</f>
        <v>0</v>
      </c>
      <c r="O24" s="689">
        <f>+landbouw!N8</f>
        <v>0</v>
      </c>
      <c r="P24" s="689">
        <f>+landbouw!O8</f>
        <v>0</v>
      </c>
      <c r="Q24" s="690">
        <f>+landbouw!P8</f>
        <v>0</v>
      </c>
      <c r="R24" s="692">
        <f>SUM(C24:Q24)</f>
        <v>24988.477989786592</v>
      </c>
      <c r="S24" s="67"/>
    </row>
    <row r="25" spans="1:19" s="451" customFormat="1" ht="15" thickBot="1">
      <c r="A25" s="833" t="s">
        <v>714</v>
      </c>
      <c r="B25" s="947"/>
      <c r="C25" s="948">
        <f>IF(Onbekend_ele_kWh="---",0,Onbekend_ele_kWh)/1000+IF(REST_rest_ele_kWh="---",0,REST_rest_ele_kWh)/1000</f>
        <v>985.10522707328096</v>
      </c>
      <c r="D25" s="948"/>
      <c r="E25" s="948">
        <f>IF(onbekend_gas_kWh="---",0,onbekend_gas_kWh)/1000+IF(REST_rest_gas_kWh="---",0,REST_rest_gas_kWh)/1000</f>
        <v>3447.5733471646499</v>
      </c>
      <c r="F25" s="948"/>
      <c r="G25" s="948"/>
      <c r="H25" s="948"/>
      <c r="I25" s="948"/>
      <c r="J25" s="948"/>
      <c r="K25" s="948"/>
      <c r="L25" s="948"/>
      <c r="M25" s="948"/>
      <c r="N25" s="948"/>
      <c r="O25" s="948"/>
      <c r="P25" s="948"/>
      <c r="Q25" s="949"/>
      <c r="R25" s="692">
        <f>SUM(C25:Q25)</f>
        <v>4432.6785742379307</v>
      </c>
      <c r="S25" s="67"/>
    </row>
    <row r="26" spans="1:19" s="451" customFormat="1" ht="15.75" thickBot="1">
      <c r="A26" s="697" t="s">
        <v>715</v>
      </c>
      <c r="B26" s="819"/>
      <c r="C26" s="814">
        <f>SUM(C24:C25)</f>
        <v>4827.665461255071</v>
      </c>
      <c r="D26" s="814">
        <f t="shared" ref="D26:R26" si="2">SUM(D24:D25)</f>
        <v>7527.1756756756758</v>
      </c>
      <c r="E26" s="814">
        <f t="shared" si="2"/>
        <v>3447.5733471646499</v>
      </c>
      <c r="F26" s="814">
        <f t="shared" si="2"/>
        <v>143.30082468594645</v>
      </c>
      <c r="G26" s="814">
        <f t="shared" si="2"/>
        <v>12466.750223407427</v>
      </c>
      <c r="H26" s="814">
        <f t="shared" si="2"/>
        <v>0</v>
      </c>
      <c r="I26" s="814">
        <f t="shared" si="2"/>
        <v>0</v>
      </c>
      <c r="J26" s="814">
        <f t="shared" si="2"/>
        <v>0</v>
      </c>
      <c r="K26" s="814">
        <f t="shared" si="2"/>
        <v>1008.6910318357513</v>
      </c>
      <c r="L26" s="814">
        <f t="shared" si="2"/>
        <v>0</v>
      </c>
      <c r="M26" s="814">
        <f t="shared" si="2"/>
        <v>0</v>
      </c>
      <c r="N26" s="814">
        <f t="shared" si="2"/>
        <v>0</v>
      </c>
      <c r="O26" s="814">
        <f t="shared" si="2"/>
        <v>0</v>
      </c>
      <c r="P26" s="814">
        <f t="shared" si="2"/>
        <v>0</v>
      </c>
      <c r="Q26" s="814">
        <f t="shared" si="2"/>
        <v>0</v>
      </c>
      <c r="R26" s="814">
        <f t="shared" si="2"/>
        <v>29421.156564024524</v>
      </c>
      <c r="S26" s="67"/>
    </row>
    <row r="27" spans="1:19" s="451" customFormat="1" ht="17.25" thickTop="1" thickBot="1">
      <c r="A27" s="698" t="s">
        <v>115</v>
      </c>
      <c r="B27" s="806"/>
      <c r="C27" s="699">
        <f ca="1">C22+C16+C26</f>
        <v>231475.94125562679</v>
      </c>
      <c r="D27" s="699">
        <f t="shared" ref="D27:R27" ca="1" si="3">D22+D16+D26</f>
        <v>8025.8783783783783</v>
      </c>
      <c r="E27" s="699">
        <f t="shared" ca="1" si="3"/>
        <v>204700.12871073693</v>
      </c>
      <c r="F27" s="699">
        <f t="shared" si="3"/>
        <v>20252.79434152706</v>
      </c>
      <c r="G27" s="699">
        <f t="shared" ca="1" si="3"/>
        <v>60029.321142759953</v>
      </c>
      <c r="H27" s="699">
        <f t="shared" si="3"/>
        <v>160976.60932158114</v>
      </c>
      <c r="I27" s="699">
        <f t="shared" si="3"/>
        <v>38884.92706209371</v>
      </c>
      <c r="J27" s="699">
        <f t="shared" si="3"/>
        <v>0</v>
      </c>
      <c r="K27" s="699">
        <f t="shared" si="3"/>
        <v>1067.1168942302943</v>
      </c>
      <c r="L27" s="699">
        <f t="shared" si="3"/>
        <v>0</v>
      </c>
      <c r="M27" s="699">
        <f t="shared" ca="1" si="3"/>
        <v>0</v>
      </c>
      <c r="N27" s="699">
        <f t="shared" si="3"/>
        <v>11762.921482281205</v>
      </c>
      <c r="O27" s="699">
        <f t="shared" ca="1" si="3"/>
        <v>40686.937079756935</v>
      </c>
      <c r="P27" s="699">
        <f t="shared" si="3"/>
        <v>508.57210935964156</v>
      </c>
      <c r="Q27" s="699">
        <f t="shared" si="3"/>
        <v>2212.1314546138551</v>
      </c>
      <c r="R27" s="699">
        <f t="shared" ca="1" si="3"/>
        <v>780583.27923294588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7198.6779387114002</v>
      </c>
      <c r="D40" s="689">
        <f ca="1">tertiair!C20</f>
        <v>118.46534281837175</v>
      </c>
      <c r="E40" s="689">
        <f ca="1">tertiair!D20</f>
        <v>7137.756883848916</v>
      </c>
      <c r="F40" s="689">
        <f>tertiair!E20</f>
        <v>39.696038027505516</v>
      </c>
      <c r="G40" s="689">
        <f ca="1">tertiair!F20</f>
        <v>2084.7362298203052</v>
      </c>
      <c r="H40" s="689">
        <f>tertiair!G20</f>
        <v>0</v>
      </c>
      <c r="I40" s="689">
        <f>tertiair!H20</f>
        <v>0</v>
      </c>
      <c r="J40" s="689">
        <f>tertiair!I20</f>
        <v>0</v>
      </c>
      <c r="K40" s="689">
        <f>tertiair!J20</f>
        <v>3.0505609550518415E-2</v>
      </c>
      <c r="L40" s="689">
        <f>tertiair!K20</f>
        <v>0</v>
      </c>
      <c r="M40" s="689">
        <f ca="1">tertiair!L20</f>
        <v>0</v>
      </c>
      <c r="N40" s="689">
        <f>tertiair!M20</f>
        <v>0</v>
      </c>
      <c r="O40" s="689">
        <f ca="1">tertiair!N20</f>
        <v>0</v>
      </c>
      <c r="P40" s="689">
        <f>tertiair!O20</f>
        <v>0</v>
      </c>
      <c r="Q40" s="772">
        <f>tertiair!P20</f>
        <v>0</v>
      </c>
      <c r="R40" s="852">
        <f t="shared" ca="1" si="4"/>
        <v>16579.362938836046</v>
      </c>
    </row>
    <row r="41" spans="1:18">
      <c r="A41" s="824" t="s">
        <v>224</v>
      </c>
      <c r="B41" s="831"/>
      <c r="C41" s="689">
        <f ca="1">huishoudens!B12</f>
        <v>7574.9596109544791</v>
      </c>
      <c r="D41" s="689">
        <f ca="1">huishoudens!C12</f>
        <v>0</v>
      </c>
      <c r="E41" s="689">
        <f>huishoudens!D12</f>
        <v>19743.565385086371</v>
      </c>
      <c r="F41" s="689">
        <f>huishoudens!E12</f>
        <v>3814.2206532615319</v>
      </c>
      <c r="G41" s="689">
        <f>huishoudens!F12</f>
        <v>5876.5121777382074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37009.257827040587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26973.307378459296</v>
      </c>
      <c r="D43" s="689">
        <f ca="1">industrie!C22</f>
        <v>0</v>
      </c>
      <c r="E43" s="689">
        <f>industrie!D22</f>
        <v>13650.663533707391</v>
      </c>
      <c r="F43" s="689">
        <f>industrie!E22</f>
        <v>630.76872854173803</v>
      </c>
      <c r="G43" s="689">
        <f>industrie!F22</f>
        <v>4737.958027908614</v>
      </c>
      <c r="H43" s="689">
        <f>industrie!G22</f>
        <v>0</v>
      </c>
      <c r="I43" s="689">
        <f>industrie!H22</f>
        <v>0</v>
      </c>
      <c r="J43" s="689">
        <f>industrie!I22</f>
        <v>0</v>
      </c>
      <c r="K43" s="689">
        <f>industrie!J22</f>
        <v>20.652249678117702</v>
      </c>
      <c r="L43" s="689">
        <f>industrie!K22</f>
        <v>0</v>
      </c>
      <c r="M43" s="689">
        <f>industrie!L22</f>
        <v>0</v>
      </c>
      <c r="N43" s="689">
        <f>industrie!M22</f>
        <v>0</v>
      </c>
      <c r="O43" s="689">
        <f>industrie!N22</f>
        <v>0</v>
      </c>
      <c r="P43" s="689">
        <f>industrie!O22</f>
        <v>0</v>
      </c>
      <c r="Q43" s="772">
        <f>industrie!P22</f>
        <v>0</v>
      </c>
      <c r="R43" s="851">
        <f t="shared" ca="1" si="4"/>
        <v>46013.349918295164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41746.944928125173</v>
      </c>
      <c r="D46" s="725">
        <f t="shared" ref="D46:Q46" ca="1" si="5">SUM(D39:D45)</f>
        <v>118.46534281837175</v>
      </c>
      <c r="E46" s="725">
        <f t="shared" ca="1" si="5"/>
        <v>40531.985802642681</v>
      </c>
      <c r="F46" s="725">
        <f t="shared" si="5"/>
        <v>4484.6854198307756</v>
      </c>
      <c r="G46" s="725">
        <f t="shared" ca="1" si="5"/>
        <v>12699.206435467127</v>
      </c>
      <c r="H46" s="725">
        <f t="shared" si="5"/>
        <v>0</v>
      </c>
      <c r="I46" s="725">
        <f t="shared" si="5"/>
        <v>0</v>
      </c>
      <c r="J46" s="725">
        <f t="shared" si="5"/>
        <v>0</v>
      </c>
      <c r="K46" s="725">
        <f t="shared" si="5"/>
        <v>20.682755287668222</v>
      </c>
      <c r="L46" s="725">
        <f t="shared" si="5"/>
        <v>0</v>
      </c>
      <c r="M46" s="725">
        <f t="shared" ca="1" si="5"/>
        <v>0</v>
      </c>
      <c r="N46" s="725">
        <f t="shared" si="5"/>
        <v>0</v>
      </c>
      <c r="O46" s="725">
        <f t="shared" ca="1" si="5"/>
        <v>0</v>
      </c>
      <c r="P46" s="725">
        <f t="shared" si="5"/>
        <v>0</v>
      </c>
      <c r="Q46" s="725">
        <f t="shared" si="5"/>
        <v>0</v>
      </c>
      <c r="R46" s="725">
        <f ca="1">SUM(R39:R45)</f>
        <v>99601.9706841718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449.4972755366573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449.4972755366573</v>
      </c>
    </row>
    <row r="50" spans="1:18">
      <c r="A50" s="827" t="s">
        <v>306</v>
      </c>
      <c r="B50" s="837"/>
      <c r="C50" s="695">
        <f ca="1">transport!B18</f>
        <v>28.657539366550431</v>
      </c>
      <c r="D50" s="695">
        <f>transport!C18</f>
        <v>0</v>
      </c>
      <c r="E50" s="695">
        <f>transport!D18</f>
        <v>121.03038079892177</v>
      </c>
      <c r="F50" s="695">
        <f>transport!E18</f>
        <v>80.169608492157963</v>
      </c>
      <c r="G50" s="695">
        <f>transport!F18</f>
        <v>0</v>
      </c>
      <c r="H50" s="695">
        <f>transport!G18</f>
        <v>42531.257413325511</v>
      </c>
      <c r="I50" s="695">
        <f>transport!H18</f>
        <v>9682.3468384613334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52443.461780444472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28.657539366550431</v>
      </c>
      <c r="D52" s="725">
        <f t="shared" ref="D52:Q52" ca="1" si="6">SUM(D48:D51)</f>
        <v>0</v>
      </c>
      <c r="E52" s="725">
        <f t="shared" si="6"/>
        <v>121.03038079892177</v>
      </c>
      <c r="F52" s="725">
        <f t="shared" si="6"/>
        <v>80.169608492157963</v>
      </c>
      <c r="G52" s="725">
        <f t="shared" si="6"/>
        <v>0</v>
      </c>
      <c r="H52" s="725">
        <f t="shared" si="6"/>
        <v>42980.754688862165</v>
      </c>
      <c r="I52" s="725">
        <f t="shared" si="6"/>
        <v>9682.3468384613334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52892.959055981126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708.25718059381177</v>
      </c>
      <c r="D54" s="695">
        <f ca="1">+landbouw!C12</f>
        <v>1788.0581798342741</v>
      </c>
      <c r="E54" s="695">
        <f>+landbouw!D12</f>
        <v>0</v>
      </c>
      <c r="F54" s="695">
        <f>+landbouw!E12</f>
        <v>32.529287203709849</v>
      </c>
      <c r="G54" s="695">
        <f>+landbouw!F12</f>
        <v>3328.6223096497833</v>
      </c>
      <c r="H54" s="695">
        <f>+landbouw!G12</f>
        <v>0</v>
      </c>
      <c r="I54" s="695">
        <f>+landbouw!H12</f>
        <v>0</v>
      </c>
      <c r="J54" s="695">
        <f>+landbouw!I12</f>
        <v>0</v>
      </c>
      <c r="K54" s="695">
        <f>+landbouw!J12</f>
        <v>357.07662526985598</v>
      </c>
      <c r="L54" s="695">
        <f>+landbouw!K12</f>
        <v>0</v>
      </c>
      <c r="M54" s="695">
        <f>+landbouw!L12</f>
        <v>0</v>
      </c>
      <c r="N54" s="695">
        <f>+landbouw!M12</f>
        <v>0</v>
      </c>
      <c r="O54" s="695">
        <f>+landbouw!N12</f>
        <v>0</v>
      </c>
      <c r="P54" s="695">
        <f>+landbouw!O12</f>
        <v>0</v>
      </c>
      <c r="Q54" s="696">
        <f>+landbouw!P12</f>
        <v>0</v>
      </c>
      <c r="R54" s="724">
        <f ca="1">SUM(C54:Q54)</f>
        <v>6214.5435825514351</v>
      </c>
    </row>
    <row r="55" spans="1:18" ht="15" thickBot="1">
      <c r="A55" s="827" t="s">
        <v>714</v>
      </c>
      <c r="B55" s="837"/>
      <c r="C55" s="695">
        <f ca="1">C25*'EF ele_warmte'!B12</f>
        <v>181.57369258876795</v>
      </c>
      <c r="D55" s="695"/>
      <c r="E55" s="695">
        <f>E25*EF_CO2_aardgas</f>
        <v>696.40981612725932</v>
      </c>
      <c r="F55" s="695"/>
      <c r="G55" s="695"/>
      <c r="H55" s="695"/>
      <c r="I55" s="695"/>
      <c r="J55" s="695"/>
      <c r="K55" s="695"/>
      <c r="L55" s="695"/>
      <c r="M55" s="695"/>
      <c r="N55" s="695"/>
      <c r="O55" s="695"/>
      <c r="P55" s="695"/>
      <c r="Q55" s="696"/>
      <c r="R55" s="724">
        <f ca="1">SUM(C55:Q55)</f>
        <v>877.98350871602725</v>
      </c>
    </row>
    <row r="56" spans="1:18" ht="15.75" thickBot="1">
      <c r="A56" s="825" t="s">
        <v>715</v>
      </c>
      <c r="B56" s="838"/>
      <c r="C56" s="725">
        <f ca="1">SUM(C54:C55)</f>
        <v>889.83087318257969</v>
      </c>
      <c r="D56" s="725">
        <f t="shared" ref="D56:Q56" ca="1" si="7">SUM(D54:D55)</f>
        <v>1788.0581798342741</v>
      </c>
      <c r="E56" s="725">
        <f t="shared" si="7"/>
        <v>696.40981612725932</v>
      </c>
      <c r="F56" s="725">
        <f t="shared" si="7"/>
        <v>32.529287203709849</v>
      </c>
      <c r="G56" s="725">
        <f t="shared" si="7"/>
        <v>3328.6223096497833</v>
      </c>
      <c r="H56" s="725">
        <f t="shared" si="7"/>
        <v>0</v>
      </c>
      <c r="I56" s="725">
        <f t="shared" si="7"/>
        <v>0</v>
      </c>
      <c r="J56" s="725">
        <f t="shared" si="7"/>
        <v>0</v>
      </c>
      <c r="K56" s="725">
        <f t="shared" si="7"/>
        <v>357.07662526985598</v>
      </c>
      <c r="L56" s="725">
        <f t="shared" si="7"/>
        <v>0</v>
      </c>
      <c r="M56" s="725">
        <f t="shared" si="7"/>
        <v>0</v>
      </c>
      <c r="N56" s="725">
        <f t="shared" si="7"/>
        <v>0</v>
      </c>
      <c r="O56" s="725">
        <f t="shared" si="7"/>
        <v>0</v>
      </c>
      <c r="P56" s="725">
        <f t="shared" si="7"/>
        <v>0</v>
      </c>
      <c r="Q56" s="726">
        <f t="shared" si="7"/>
        <v>0</v>
      </c>
      <c r="R56" s="727">
        <f ca="1">SUM(R54:R55)</f>
        <v>7092.5270912674623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42665.433340674303</v>
      </c>
      <c r="D61" s="733">
        <f t="shared" ref="D61:Q61" ca="1" si="8">D46+D52+D56</f>
        <v>1906.5235226526459</v>
      </c>
      <c r="E61" s="733">
        <f t="shared" ca="1" si="8"/>
        <v>41349.425999568855</v>
      </c>
      <c r="F61" s="733">
        <f t="shared" si="8"/>
        <v>4597.3843155266431</v>
      </c>
      <c r="G61" s="733">
        <f t="shared" ca="1" si="8"/>
        <v>16027.828745116911</v>
      </c>
      <c r="H61" s="733">
        <f t="shared" si="8"/>
        <v>42980.754688862165</v>
      </c>
      <c r="I61" s="733">
        <f t="shared" si="8"/>
        <v>9682.3468384613334</v>
      </c>
      <c r="J61" s="733">
        <f t="shared" si="8"/>
        <v>0</v>
      </c>
      <c r="K61" s="733">
        <f t="shared" si="8"/>
        <v>377.7593805575242</v>
      </c>
      <c r="L61" s="733">
        <f t="shared" si="8"/>
        <v>0</v>
      </c>
      <c r="M61" s="733">
        <f t="shared" ca="1" si="8"/>
        <v>0</v>
      </c>
      <c r="N61" s="733">
        <f t="shared" si="8"/>
        <v>0</v>
      </c>
      <c r="O61" s="733">
        <f t="shared" ca="1" si="8"/>
        <v>0</v>
      </c>
      <c r="P61" s="733">
        <f t="shared" si="8"/>
        <v>0</v>
      </c>
      <c r="Q61" s="733">
        <f t="shared" si="8"/>
        <v>0</v>
      </c>
      <c r="R61" s="733">
        <f ca="1">R46+R52+R56</f>
        <v>159587.45683142039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0.18431908348331288</v>
      </c>
      <c r="D63" s="779">
        <f t="shared" ca="1" si="9"/>
        <v>0.23754702386081475</v>
      </c>
      <c r="E63" s="973">
        <f t="shared" ca="1" si="9"/>
        <v>0.20199999999999999</v>
      </c>
      <c r="F63" s="779">
        <f t="shared" si="9"/>
        <v>0.22700000000000004</v>
      </c>
      <c r="G63" s="779">
        <f t="shared" ca="1" si="9"/>
        <v>0.26700000000000007</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21261.827789682968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17578.492829635034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5618</v>
      </c>
      <c r="D76" s="956">
        <f>'lokale energieproductie'!C8</f>
        <v>6606.6296042082049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1334.5391800500574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38840.320619318001</v>
      </c>
      <c r="C78" s="751">
        <f>SUM(C72:C77)</f>
        <v>5618</v>
      </c>
      <c r="D78" s="752">
        <f t="shared" ref="D78:H78" si="10">SUM(D76:D77)</f>
        <v>6606.6296042082049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1334.5391800500574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8025.8783783783783</v>
      </c>
      <c r="D87" s="775">
        <f>'lokale energieproductie'!C17</f>
        <v>9438.2352606566619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1906.5235226526459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8025.8783783783783</v>
      </c>
      <c r="D90" s="751">
        <f t="shared" ref="D90:H90" si="12">SUM(D87:D89)</f>
        <v>9438.2352606566619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1906.5235226526459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21261.827789682968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17578.492829635034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5618</v>
      </c>
      <c r="C8" s="551">
        <f>B51</f>
        <v>6606.6296042082049</v>
      </c>
      <c r="D8" s="552"/>
      <c r="E8" s="552">
        <f>E51</f>
        <v>0</v>
      </c>
      <c r="F8" s="553"/>
      <c r="G8" s="554"/>
      <c r="H8" s="552">
        <f>I51</f>
        <v>0</v>
      </c>
      <c r="I8" s="552">
        <f>G51+F51</f>
        <v>0</v>
      </c>
      <c r="J8" s="552">
        <f>H51+D51+C51</f>
        <v>0</v>
      </c>
      <c r="K8" s="552"/>
      <c r="L8" s="552"/>
      <c r="M8" s="552"/>
      <c r="N8" s="555"/>
      <c r="O8" s="556">
        <f>C8*$C$12+D8*$D$12+E8*$E$12+F8*$F$12+G8*$G$12+H8*$H$12+I8*$I$12+J8*$J$12</f>
        <v>1334.5391800500574</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44458.320619318001</v>
      </c>
      <c r="C10" s="566">
        <f t="shared" ref="C10:L10" si="0">SUM(C8:C9)</f>
        <v>6606.6296042082049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1334.5391800500574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8025.8783783783783</v>
      </c>
      <c r="C17" s="582">
        <f>B52</f>
        <v>9438.2352606566619</v>
      </c>
      <c r="D17" s="583"/>
      <c r="E17" s="583">
        <f>E52</f>
        <v>0</v>
      </c>
      <c r="F17" s="584"/>
      <c r="G17" s="585"/>
      <c r="H17" s="582">
        <f>I52</f>
        <v>0</v>
      </c>
      <c r="I17" s="583">
        <f>G52+F52</f>
        <v>0</v>
      </c>
      <c r="J17" s="583">
        <f>H52+D52+C52</f>
        <v>0</v>
      </c>
      <c r="K17" s="583"/>
      <c r="L17" s="583"/>
      <c r="M17" s="583"/>
      <c r="N17" s="970"/>
      <c r="O17" s="586">
        <f>C17*$C$22+E17*$E$22+H17*$H$22+I17*$I$22+J17*$J$22+D17*$D$22+F17*$F$22+G17*$G$22+K17*$K$22+L17*$L$22</f>
        <v>1906.5235226526459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8025.8783783783783</v>
      </c>
      <c r="C20" s="565">
        <f>SUM(C17:C19)</f>
        <v>9438.2352606566619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1906.5235226526459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13049</v>
      </c>
      <c r="C28" s="794">
        <v>2260</v>
      </c>
      <c r="D28" s="643" t="s">
        <v>865</v>
      </c>
      <c r="E28" s="642" t="s">
        <v>866</v>
      </c>
      <c r="F28" s="642" t="s">
        <v>867</v>
      </c>
      <c r="G28" s="642" t="s">
        <v>868</v>
      </c>
      <c r="H28" s="642" t="s">
        <v>869</v>
      </c>
      <c r="I28" s="642" t="s">
        <v>866</v>
      </c>
      <c r="J28" s="793">
        <v>39651</v>
      </c>
      <c r="K28" s="793">
        <v>39651</v>
      </c>
      <c r="L28" s="642" t="s">
        <v>870</v>
      </c>
      <c r="M28" s="642">
        <v>1169</v>
      </c>
      <c r="N28" s="642">
        <v>5260.5</v>
      </c>
      <c r="O28" s="642">
        <v>7515</v>
      </c>
      <c r="P28" s="642">
        <v>15030.000000000002</v>
      </c>
      <c r="Q28" s="642">
        <v>0</v>
      </c>
      <c r="R28" s="642">
        <v>0</v>
      </c>
      <c r="S28" s="642">
        <v>0</v>
      </c>
      <c r="T28" s="642">
        <v>0</v>
      </c>
      <c r="U28" s="642">
        <v>0</v>
      </c>
      <c r="V28" s="642">
        <v>0</v>
      </c>
      <c r="W28" s="642">
        <v>0</v>
      </c>
      <c r="X28" s="642">
        <v>10</v>
      </c>
      <c r="Y28" s="642" t="s">
        <v>111</v>
      </c>
      <c r="Z28" s="644" t="s">
        <v>111</v>
      </c>
    </row>
    <row r="29" spans="1:26" s="596" customFormat="1" ht="25.5">
      <c r="A29" s="595"/>
      <c r="B29" s="794">
        <v>13049</v>
      </c>
      <c r="C29" s="794">
        <v>2260</v>
      </c>
      <c r="D29" s="643" t="s">
        <v>871</v>
      </c>
      <c r="E29" s="642" t="s">
        <v>872</v>
      </c>
      <c r="F29" s="642" t="s">
        <v>873</v>
      </c>
      <c r="G29" s="642" t="s">
        <v>874</v>
      </c>
      <c r="H29" s="642" t="s">
        <v>874</v>
      </c>
      <c r="I29" s="642" t="s">
        <v>872</v>
      </c>
      <c r="J29" s="793">
        <v>42343</v>
      </c>
      <c r="K29" s="793">
        <v>42343</v>
      </c>
      <c r="L29" s="642" t="s">
        <v>870</v>
      </c>
      <c r="M29" s="642">
        <v>1.7</v>
      </c>
      <c r="N29" s="642">
        <v>8.5</v>
      </c>
      <c r="O29" s="642">
        <v>12.175675675675675</v>
      </c>
      <c r="P29" s="642">
        <v>22.972972972972972</v>
      </c>
      <c r="Q29" s="642">
        <v>0</v>
      </c>
      <c r="R29" s="642">
        <v>0</v>
      </c>
      <c r="S29" s="642">
        <v>0</v>
      </c>
      <c r="T29" s="642">
        <v>0</v>
      </c>
      <c r="U29" s="642">
        <v>0</v>
      </c>
      <c r="V29" s="642">
        <v>0</v>
      </c>
      <c r="W29" s="642">
        <v>0</v>
      </c>
      <c r="X29" s="642">
        <v>10</v>
      </c>
      <c r="Y29" s="642" t="s">
        <v>111</v>
      </c>
      <c r="Z29" s="644" t="s">
        <v>111</v>
      </c>
    </row>
    <row r="30" spans="1:26" s="596" customFormat="1" ht="12.75">
      <c r="A30" s="595"/>
      <c r="B30" s="794">
        <v>13049</v>
      </c>
      <c r="C30" s="794">
        <v>2260</v>
      </c>
      <c r="D30" s="643" t="s">
        <v>875</v>
      </c>
      <c r="E30" s="642"/>
      <c r="F30" s="642" t="s">
        <v>876</v>
      </c>
      <c r="G30" s="642" t="s">
        <v>877</v>
      </c>
      <c r="H30" s="642" t="s">
        <v>874</v>
      </c>
      <c r="I30" s="642" t="s">
        <v>878</v>
      </c>
      <c r="J30" s="793">
        <v>42919</v>
      </c>
      <c r="K30" s="793">
        <v>42829</v>
      </c>
      <c r="L30" s="642" t="s">
        <v>879</v>
      </c>
      <c r="M30" s="642">
        <v>6.8</v>
      </c>
      <c r="N30" s="642">
        <v>34</v>
      </c>
      <c r="O30" s="642">
        <v>48.702702702702702</v>
      </c>
      <c r="P30" s="642">
        <v>91.891891891891888</v>
      </c>
      <c r="Q30" s="642">
        <v>0</v>
      </c>
      <c r="R30" s="642">
        <v>0</v>
      </c>
      <c r="S30" s="642">
        <v>0</v>
      </c>
      <c r="T30" s="642">
        <v>0</v>
      </c>
      <c r="U30" s="642">
        <v>0</v>
      </c>
      <c r="V30" s="642">
        <v>0</v>
      </c>
      <c r="W30" s="642">
        <v>0</v>
      </c>
      <c r="X30" s="642">
        <v>1200</v>
      </c>
      <c r="Y30" s="642" t="s">
        <v>52</v>
      </c>
      <c r="Z30" s="644" t="s">
        <v>155</v>
      </c>
    </row>
    <row r="31" spans="1:26" s="596" customFormat="1" ht="63.75">
      <c r="A31" s="595"/>
      <c r="B31" s="794">
        <v>13049</v>
      </c>
      <c r="C31" s="794">
        <v>2260</v>
      </c>
      <c r="D31" s="643" t="s">
        <v>880</v>
      </c>
      <c r="E31" s="642" t="s">
        <v>881</v>
      </c>
      <c r="F31" s="642" t="s">
        <v>882</v>
      </c>
      <c r="G31" s="642" t="s">
        <v>883</v>
      </c>
      <c r="H31" s="642" t="s">
        <v>869</v>
      </c>
      <c r="I31" s="642" t="s">
        <v>884</v>
      </c>
      <c r="J31" s="793">
        <v>41978</v>
      </c>
      <c r="K31" s="793">
        <v>42864</v>
      </c>
      <c r="L31" s="642" t="s">
        <v>879</v>
      </c>
      <c r="M31" s="642">
        <v>70</v>
      </c>
      <c r="N31" s="642">
        <v>315.00000000000006</v>
      </c>
      <c r="O31" s="642">
        <v>450.00000000000011</v>
      </c>
      <c r="P31" s="642">
        <v>900.00000000000023</v>
      </c>
      <c r="Q31" s="642">
        <v>0</v>
      </c>
      <c r="R31" s="642">
        <v>0</v>
      </c>
      <c r="S31" s="642">
        <v>0</v>
      </c>
      <c r="T31" s="642">
        <v>0</v>
      </c>
      <c r="U31" s="642">
        <v>0</v>
      </c>
      <c r="V31" s="642">
        <v>0</v>
      </c>
      <c r="W31" s="642">
        <v>0</v>
      </c>
      <c r="X31" s="642">
        <v>1600</v>
      </c>
      <c r="Y31" s="642" t="s">
        <v>885</v>
      </c>
      <c r="Z31" s="644" t="s">
        <v>155</v>
      </c>
    </row>
    <row r="32" spans="1:26" s="576" customFormat="1">
      <c r="A32" s="598" t="s">
        <v>279</v>
      </c>
      <c r="B32" s="599"/>
      <c r="C32" s="599"/>
      <c r="D32" s="599"/>
      <c r="E32" s="599"/>
      <c r="F32" s="599"/>
      <c r="G32" s="599"/>
      <c r="H32" s="599"/>
      <c r="I32" s="599"/>
      <c r="J32" s="599"/>
      <c r="K32" s="599"/>
      <c r="L32" s="600"/>
      <c r="M32" s="600">
        <f>SUM(M28:M31)</f>
        <v>1247.5</v>
      </c>
      <c r="N32" s="600">
        <f>SUM(N28:N31)</f>
        <v>5618</v>
      </c>
      <c r="O32" s="600">
        <f>SUM(O28:O31)</f>
        <v>8025.8783783783783</v>
      </c>
      <c r="P32" s="600">
        <f>SUM(P28:P31)</f>
        <v>16044.864864864867</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76.8</v>
      </c>
      <c r="N34" s="600">
        <f ca="1">SUMIF($Z$28:AD31,"tertiair",N28:N31)</f>
        <v>349.00000000000006</v>
      </c>
      <c r="O34" s="600">
        <f ca="1">SUMIF($Z$28:AE31,"tertiair",O28:O31)</f>
        <v>498.70270270270282</v>
      </c>
      <c r="P34" s="600">
        <f ca="1">SUMIF($Z$28:AF31,"tertiair",P28:P31)</f>
        <v>991.8918918918921</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1170.7</v>
      </c>
      <c r="N35" s="605">
        <f>SUMIF($Z$28:$Z$31,"landbouw",N28:N31)</f>
        <v>5269</v>
      </c>
      <c r="O35" s="605">
        <f>SUMIF($Z$28:$Z$31,"landbouw",O28:O31)</f>
        <v>7527.1756756756758</v>
      </c>
      <c r="P35" s="605">
        <f>SUMIF($Z$28:$Z$31,"landbouw",P28:P31)</f>
        <v>15052.972972972975</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0.58824024634352401</v>
      </c>
      <c r="C48" s="625">
        <f>IF(ISERROR(N32/(O32+N32)),0,N32/(N32+O32))</f>
        <v>0.41175975365647599</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6606.6296042082049</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9438.2352606566619</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41096.990435286476</v>
      </c>
      <c r="C4" s="455">
        <f>huishoudens!C8</f>
        <v>0</v>
      </c>
      <c r="D4" s="455">
        <f>huishoudens!D8</f>
        <v>97740.422698447379</v>
      </c>
      <c r="E4" s="455">
        <f>huishoudens!E8</f>
        <v>16802.734155337144</v>
      </c>
      <c r="F4" s="455">
        <f>huishoudens!F8</f>
        <v>22009.408905386543</v>
      </c>
      <c r="G4" s="455">
        <f>huishoudens!G8</f>
        <v>0</v>
      </c>
      <c r="H4" s="455">
        <f>huishoudens!H8</f>
        <v>0</v>
      </c>
      <c r="I4" s="455">
        <f>huishoudens!I8</f>
        <v>0</v>
      </c>
      <c r="J4" s="455">
        <f>huishoudens!J8</f>
        <v>0</v>
      </c>
      <c r="K4" s="455">
        <f>huishoudens!K8</f>
        <v>0</v>
      </c>
      <c r="L4" s="455">
        <f>huishoudens!L8</f>
        <v>0</v>
      </c>
      <c r="M4" s="455">
        <f>huishoudens!M8</f>
        <v>0</v>
      </c>
      <c r="N4" s="455">
        <f>huishoudens!N8</f>
        <v>35140.914406410069</v>
      </c>
      <c r="O4" s="455">
        <f>huishoudens!O8</f>
        <v>484.08580553043578</v>
      </c>
      <c r="P4" s="456">
        <f>huishoudens!P8</f>
        <v>2212.1314546138551</v>
      </c>
      <c r="Q4" s="457">
        <f>SUM(B4:P4)</f>
        <v>215486.68786101189</v>
      </c>
    </row>
    <row r="5" spans="1:17">
      <c r="A5" s="454" t="s">
        <v>155</v>
      </c>
      <c r="B5" s="455">
        <f ca="1">tertiair!B16</f>
        <v>37024.25655896611</v>
      </c>
      <c r="C5" s="455">
        <f ca="1">tertiair!C16</f>
        <v>498.70270270270282</v>
      </c>
      <c r="D5" s="455">
        <f ca="1">tertiair!D16</f>
        <v>35335.430118063938</v>
      </c>
      <c r="E5" s="455">
        <f>tertiair!E16</f>
        <v>174.87241421808596</v>
      </c>
      <c r="F5" s="455">
        <f ca="1">tertiair!F16</f>
        <v>7808.0008607502068</v>
      </c>
      <c r="G5" s="455">
        <f>tertiair!G16</f>
        <v>0</v>
      </c>
      <c r="H5" s="455">
        <f>tertiair!H16</f>
        <v>0</v>
      </c>
      <c r="I5" s="455">
        <f>tertiair!I16</f>
        <v>0</v>
      </c>
      <c r="J5" s="455">
        <f>tertiair!J16</f>
        <v>8.6174038278300613E-2</v>
      </c>
      <c r="K5" s="455">
        <f>tertiair!K16</f>
        <v>0</v>
      </c>
      <c r="L5" s="455">
        <f ca="1">tertiair!L16</f>
        <v>0</v>
      </c>
      <c r="M5" s="455">
        <f>tertiair!M16</f>
        <v>0</v>
      </c>
      <c r="N5" s="455">
        <f ca="1">tertiair!N16</f>
        <v>3135.1996370417619</v>
      </c>
      <c r="O5" s="455">
        <f>tertiair!O16</f>
        <v>24.486303829205774</v>
      </c>
      <c r="P5" s="456">
        <f>tertiair!P16</f>
        <v>0</v>
      </c>
      <c r="Q5" s="454">
        <f t="shared" ref="Q5:Q14" ca="1" si="0">SUM(B5:P5)</f>
        <v>84001.034769610298</v>
      </c>
    </row>
    <row r="6" spans="1:17">
      <c r="A6" s="454" t="s">
        <v>193</v>
      </c>
      <c r="B6" s="455">
        <f>'openbare verlichting'!B8</f>
        <v>2031.2650000000001</v>
      </c>
      <c r="C6" s="455"/>
      <c r="D6" s="455"/>
      <c r="E6" s="455"/>
      <c r="F6" s="455"/>
      <c r="G6" s="455"/>
      <c r="H6" s="455"/>
      <c r="I6" s="455"/>
      <c r="J6" s="455"/>
      <c r="K6" s="455"/>
      <c r="L6" s="455"/>
      <c r="M6" s="455"/>
      <c r="N6" s="455"/>
      <c r="O6" s="455"/>
      <c r="P6" s="456"/>
      <c r="Q6" s="454">
        <f t="shared" si="0"/>
        <v>2031.2650000000001</v>
      </c>
    </row>
    <row r="7" spans="1:17">
      <c r="A7" s="454" t="s">
        <v>111</v>
      </c>
      <c r="B7" s="455">
        <f>landbouw!B8</f>
        <v>3842.5602341817903</v>
      </c>
      <c r="C7" s="455">
        <f>landbouw!C8</f>
        <v>7527.1756756756758</v>
      </c>
      <c r="D7" s="455">
        <f>landbouw!D8</f>
        <v>0</v>
      </c>
      <c r="E7" s="455">
        <f>landbouw!E8</f>
        <v>143.30082468594645</v>
      </c>
      <c r="F7" s="455">
        <f>landbouw!F8</f>
        <v>12466.750223407427</v>
      </c>
      <c r="G7" s="455">
        <f>landbouw!G8</f>
        <v>0</v>
      </c>
      <c r="H7" s="455">
        <f>landbouw!H8</f>
        <v>0</v>
      </c>
      <c r="I7" s="455">
        <f>landbouw!I8</f>
        <v>0</v>
      </c>
      <c r="J7" s="455">
        <f>landbouw!J8</f>
        <v>1008.6910318357513</v>
      </c>
      <c r="K7" s="455">
        <f>landbouw!K8</f>
        <v>0</v>
      </c>
      <c r="L7" s="455">
        <f>landbouw!L8</f>
        <v>0</v>
      </c>
      <c r="M7" s="455">
        <f>landbouw!M8</f>
        <v>0</v>
      </c>
      <c r="N7" s="455">
        <f>landbouw!N8</f>
        <v>0</v>
      </c>
      <c r="O7" s="455">
        <f>landbouw!O8</f>
        <v>0</v>
      </c>
      <c r="P7" s="456">
        <f>landbouw!P8</f>
        <v>0</v>
      </c>
      <c r="Q7" s="454">
        <f t="shared" si="0"/>
        <v>24988.477989786592</v>
      </c>
    </row>
    <row r="8" spans="1:17">
      <c r="A8" s="454" t="s">
        <v>626</v>
      </c>
      <c r="B8" s="455">
        <f>industrie!B18</f>
        <v>146340.28592541962</v>
      </c>
      <c r="C8" s="455">
        <f>industrie!C18</f>
        <v>0</v>
      </c>
      <c r="D8" s="455">
        <f>industrie!D18</f>
        <v>67577.542246076191</v>
      </c>
      <c r="E8" s="455">
        <f>industrie!E18</f>
        <v>2778.7168658226342</v>
      </c>
      <c r="F8" s="455">
        <f>industrie!F18</f>
        <v>17745.16115321578</v>
      </c>
      <c r="G8" s="455">
        <f>industrie!G18</f>
        <v>0</v>
      </c>
      <c r="H8" s="455">
        <f>industrie!H18</f>
        <v>0</v>
      </c>
      <c r="I8" s="455">
        <f>industrie!I18</f>
        <v>0</v>
      </c>
      <c r="J8" s="455">
        <f>industrie!J18</f>
        <v>58.339688356264702</v>
      </c>
      <c r="K8" s="455">
        <f>industrie!K18</f>
        <v>0</v>
      </c>
      <c r="L8" s="455">
        <f>industrie!L18</f>
        <v>0</v>
      </c>
      <c r="M8" s="455">
        <f>industrie!M18</f>
        <v>0</v>
      </c>
      <c r="N8" s="455">
        <f>industrie!N18</f>
        <v>2410.8230363051016</v>
      </c>
      <c r="O8" s="455">
        <f>industrie!O18</f>
        <v>0</v>
      </c>
      <c r="P8" s="456">
        <f>industrie!P18</f>
        <v>0</v>
      </c>
      <c r="Q8" s="454">
        <f t="shared" si="0"/>
        <v>236910.86891519561</v>
      </c>
    </row>
    <row r="9" spans="1:17" s="460" customFormat="1">
      <c r="A9" s="458" t="s">
        <v>552</v>
      </c>
      <c r="B9" s="459">
        <f>transport!B14</f>
        <v>155.47787469952837</v>
      </c>
      <c r="C9" s="459">
        <f>transport!C14</f>
        <v>0</v>
      </c>
      <c r="D9" s="459">
        <f>transport!D14</f>
        <v>599.16030098476119</v>
      </c>
      <c r="E9" s="459">
        <f>transport!E14</f>
        <v>353.17008146325094</v>
      </c>
      <c r="F9" s="459">
        <f>transport!F14</f>
        <v>0</v>
      </c>
      <c r="G9" s="459">
        <f>transport!G14</f>
        <v>159293.09892631276</v>
      </c>
      <c r="H9" s="459">
        <f>transport!H14</f>
        <v>38884.92706209371</v>
      </c>
      <c r="I9" s="459">
        <f>transport!I14</f>
        <v>0</v>
      </c>
      <c r="J9" s="459">
        <f>transport!J14</f>
        <v>0</v>
      </c>
      <c r="K9" s="459">
        <f>transport!K14</f>
        <v>0</v>
      </c>
      <c r="L9" s="459">
        <f>transport!L14</f>
        <v>0</v>
      </c>
      <c r="M9" s="459">
        <f>transport!M14</f>
        <v>11671.564619651746</v>
      </c>
      <c r="N9" s="459">
        <f>transport!N14</f>
        <v>0</v>
      </c>
      <c r="O9" s="459">
        <f>transport!O14</f>
        <v>0</v>
      </c>
      <c r="P9" s="459">
        <f>transport!P14</f>
        <v>0</v>
      </c>
      <c r="Q9" s="458">
        <f>SUM(B9:P9)</f>
        <v>210957.39886520576</v>
      </c>
    </row>
    <row r="10" spans="1:17">
      <c r="A10" s="454" t="s">
        <v>542</v>
      </c>
      <c r="B10" s="455">
        <f>transport!B54</f>
        <v>0</v>
      </c>
      <c r="C10" s="455">
        <f>transport!C54</f>
        <v>0</v>
      </c>
      <c r="D10" s="455">
        <f>transport!D54</f>
        <v>0</v>
      </c>
      <c r="E10" s="455">
        <f>transport!E54</f>
        <v>0</v>
      </c>
      <c r="F10" s="455">
        <f>transport!F54</f>
        <v>0</v>
      </c>
      <c r="G10" s="455">
        <f>transport!G54</f>
        <v>1683.5103952683794</v>
      </c>
      <c r="H10" s="455">
        <f>transport!H54</f>
        <v>0</v>
      </c>
      <c r="I10" s="455">
        <f>transport!I54</f>
        <v>0</v>
      </c>
      <c r="J10" s="455">
        <f>transport!J54</f>
        <v>0</v>
      </c>
      <c r="K10" s="455">
        <f>transport!K54</f>
        <v>0</v>
      </c>
      <c r="L10" s="455">
        <f>transport!L54</f>
        <v>0</v>
      </c>
      <c r="M10" s="455">
        <f>transport!M54</f>
        <v>91.356862629457467</v>
      </c>
      <c r="N10" s="455">
        <f>transport!N54</f>
        <v>0</v>
      </c>
      <c r="O10" s="455">
        <f>transport!O54</f>
        <v>0</v>
      </c>
      <c r="P10" s="456">
        <f>transport!P54</f>
        <v>0</v>
      </c>
      <c r="Q10" s="454">
        <f t="shared" si="0"/>
        <v>1774.8672578978369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985.10522707328096</v>
      </c>
      <c r="C14" s="462"/>
      <c r="D14" s="462">
        <f>'SEAP template'!E25</f>
        <v>3447.5733471646499</v>
      </c>
      <c r="E14" s="462"/>
      <c r="F14" s="462"/>
      <c r="G14" s="462"/>
      <c r="H14" s="462"/>
      <c r="I14" s="462"/>
      <c r="J14" s="462"/>
      <c r="K14" s="462"/>
      <c r="L14" s="462"/>
      <c r="M14" s="462"/>
      <c r="N14" s="462"/>
      <c r="O14" s="462"/>
      <c r="P14" s="463"/>
      <c r="Q14" s="454">
        <f t="shared" si="0"/>
        <v>4432.6785742379307</v>
      </c>
    </row>
    <row r="15" spans="1:17" s="466" customFormat="1">
      <c r="A15" s="464" t="s">
        <v>546</v>
      </c>
      <c r="B15" s="465">
        <f ca="1">SUM(B4:B14)</f>
        <v>231475.94125562676</v>
      </c>
      <c r="C15" s="465">
        <f t="shared" ref="C15:Q15" ca="1" si="1">SUM(C4:C14)</f>
        <v>8025.8783783783783</v>
      </c>
      <c r="D15" s="465">
        <f t="shared" ca="1" si="1"/>
        <v>204700.12871073693</v>
      </c>
      <c r="E15" s="465">
        <f t="shared" si="1"/>
        <v>20252.79434152706</v>
      </c>
      <c r="F15" s="465">
        <f t="shared" ca="1" si="1"/>
        <v>60029.32114275996</v>
      </c>
      <c r="G15" s="465">
        <f t="shared" si="1"/>
        <v>160976.60932158114</v>
      </c>
      <c r="H15" s="465">
        <f t="shared" si="1"/>
        <v>38884.92706209371</v>
      </c>
      <c r="I15" s="465">
        <f t="shared" si="1"/>
        <v>0</v>
      </c>
      <c r="J15" s="465">
        <f t="shared" si="1"/>
        <v>1067.1168942302943</v>
      </c>
      <c r="K15" s="465">
        <f t="shared" si="1"/>
        <v>0</v>
      </c>
      <c r="L15" s="465">
        <f t="shared" ca="1" si="1"/>
        <v>0</v>
      </c>
      <c r="M15" s="465">
        <f t="shared" si="1"/>
        <v>11762.921482281205</v>
      </c>
      <c r="N15" s="465">
        <f t="shared" ca="1" si="1"/>
        <v>40686.937079756935</v>
      </c>
      <c r="O15" s="465">
        <f t="shared" si="1"/>
        <v>508.57210935964156</v>
      </c>
      <c r="P15" s="465">
        <f t="shared" si="1"/>
        <v>2212.1314546138551</v>
      </c>
      <c r="Q15" s="465">
        <f t="shared" ca="1" si="1"/>
        <v>780583.27923294611</v>
      </c>
    </row>
    <row r="17" spans="1:17">
      <c r="A17" s="467" t="s">
        <v>547</v>
      </c>
      <c r="B17" s="784">
        <f ca="1">huishoudens!B10</f>
        <v>0.18431908348331288</v>
      </c>
      <c r="C17" s="784">
        <f ca="1">huishoudens!C10</f>
        <v>0.23754702386081475</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7574.9596109544791</v>
      </c>
      <c r="C22" s="455">
        <f t="shared" ref="C22:C32" ca="1" si="3">C4*$C$17</f>
        <v>0</v>
      </c>
      <c r="D22" s="455">
        <f t="shared" ref="D22:D32" si="4">D4*$D$17</f>
        <v>19743.565385086371</v>
      </c>
      <c r="E22" s="455">
        <f t="shared" ref="E22:E32" si="5">E4*$E$17</f>
        <v>3814.2206532615319</v>
      </c>
      <c r="F22" s="455">
        <f t="shared" ref="F22:F32" si="6">F4*$F$17</f>
        <v>5876.5121777382074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37009.257827040587</v>
      </c>
    </row>
    <row r="23" spans="1:17">
      <c r="A23" s="454" t="s">
        <v>155</v>
      </c>
      <c r="B23" s="455">
        <f t="shared" ca="1" si="2"/>
        <v>6824.277035599669</v>
      </c>
      <c r="C23" s="455">
        <f t="shared" ca="1" si="3"/>
        <v>118.46534281837175</v>
      </c>
      <c r="D23" s="455">
        <f t="shared" ca="1" si="4"/>
        <v>7137.756883848916</v>
      </c>
      <c r="E23" s="455">
        <f t="shared" si="5"/>
        <v>39.696038027505516</v>
      </c>
      <c r="F23" s="455">
        <f t="shared" ca="1" si="6"/>
        <v>2084.7362298203052</v>
      </c>
      <c r="G23" s="455">
        <f t="shared" si="7"/>
        <v>0</v>
      </c>
      <c r="H23" s="455">
        <f t="shared" si="8"/>
        <v>0</v>
      </c>
      <c r="I23" s="455">
        <f t="shared" si="9"/>
        <v>0</v>
      </c>
      <c r="J23" s="455">
        <f t="shared" si="10"/>
        <v>3.0505609550518415E-2</v>
      </c>
      <c r="K23" s="455">
        <f t="shared" si="11"/>
        <v>0</v>
      </c>
      <c r="L23" s="455">
        <f t="shared" ca="1" si="12"/>
        <v>0</v>
      </c>
      <c r="M23" s="455">
        <f t="shared" si="13"/>
        <v>0</v>
      </c>
      <c r="N23" s="455">
        <f t="shared" ca="1" si="14"/>
        <v>0</v>
      </c>
      <c r="O23" s="455">
        <f t="shared" si="15"/>
        <v>0</v>
      </c>
      <c r="P23" s="456">
        <f t="shared" si="16"/>
        <v>0</v>
      </c>
      <c r="Q23" s="454">
        <f t="shared" ref="Q23:Q31" ca="1" si="17">SUM(B23:P23)</f>
        <v>16204.962035724317</v>
      </c>
    </row>
    <row r="24" spans="1:17">
      <c r="A24" s="454" t="s">
        <v>193</v>
      </c>
      <c r="B24" s="455">
        <f t="shared" ca="1" si="2"/>
        <v>374.40090311173157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374.40090311173157</v>
      </c>
    </row>
    <row r="25" spans="1:17">
      <c r="A25" s="454" t="s">
        <v>111</v>
      </c>
      <c r="B25" s="455">
        <f t="shared" ca="1" si="2"/>
        <v>708.25718059381177</v>
      </c>
      <c r="C25" s="455">
        <f t="shared" ca="1" si="3"/>
        <v>1788.0581798342741</v>
      </c>
      <c r="D25" s="455">
        <f t="shared" si="4"/>
        <v>0</v>
      </c>
      <c r="E25" s="455">
        <f t="shared" si="5"/>
        <v>32.529287203709849</v>
      </c>
      <c r="F25" s="455">
        <f t="shared" si="6"/>
        <v>3328.6223096497833</v>
      </c>
      <c r="G25" s="455">
        <f t="shared" si="7"/>
        <v>0</v>
      </c>
      <c r="H25" s="455">
        <f t="shared" si="8"/>
        <v>0</v>
      </c>
      <c r="I25" s="455">
        <f t="shared" si="9"/>
        <v>0</v>
      </c>
      <c r="J25" s="455">
        <f t="shared" si="10"/>
        <v>357.07662526985598</v>
      </c>
      <c r="K25" s="455">
        <f t="shared" si="11"/>
        <v>0</v>
      </c>
      <c r="L25" s="455">
        <f t="shared" si="12"/>
        <v>0</v>
      </c>
      <c r="M25" s="455">
        <f t="shared" si="13"/>
        <v>0</v>
      </c>
      <c r="N25" s="455">
        <f t="shared" si="14"/>
        <v>0</v>
      </c>
      <c r="O25" s="455">
        <f t="shared" si="15"/>
        <v>0</v>
      </c>
      <c r="P25" s="456">
        <f t="shared" si="16"/>
        <v>0</v>
      </c>
      <c r="Q25" s="454">
        <f t="shared" ca="1" si="17"/>
        <v>6214.5435825514351</v>
      </c>
    </row>
    <row r="26" spans="1:17">
      <c r="A26" s="454" t="s">
        <v>626</v>
      </c>
      <c r="B26" s="455">
        <f t="shared" ca="1" si="2"/>
        <v>26973.307378459296</v>
      </c>
      <c r="C26" s="455">
        <f t="shared" ca="1" si="3"/>
        <v>0</v>
      </c>
      <c r="D26" s="455">
        <f t="shared" si="4"/>
        <v>13650.663533707391</v>
      </c>
      <c r="E26" s="455">
        <f t="shared" si="5"/>
        <v>630.76872854173803</v>
      </c>
      <c r="F26" s="455">
        <f t="shared" si="6"/>
        <v>4737.958027908614</v>
      </c>
      <c r="G26" s="455">
        <f t="shared" si="7"/>
        <v>0</v>
      </c>
      <c r="H26" s="455">
        <f t="shared" si="8"/>
        <v>0</v>
      </c>
      <c r="I26" s="455">
        <f t="shared" si="9"/>
        <v>0</v>
      </c>
      <c r="J26" s="455">
        <f t="shared" si="10"/>
        <v>20.652249678117702</v>
      </c>
      <c r="K26" s="455">
        <f t="shared" si="11"/>
        <v>0</v>
      </c>
      <c r="L26" s="455">
        <f t="shared" si="12"/>
        <v>0</v>
      </c>
      <c r="M26" s="455">
        <f t="shared" si="13"/>
        <v>0</v>
      </c>
      <c r="N26" s="455">
        <f t="shared" si="14"/>
        <v>0</v>
      </c>
      <c r="O26" s="455">
        <f t="shared" si="15"/>
        <v>0</v>
      </c>
      <c r="P26" s="456">
        <f t="shared" si="16"/>
        <v>0</v>
      </c>
      <c r="Q26" s="454">
        <f t="shared" ca="1" si="17"/>
        <v>46013.349918295164</v>
      </c>
    </row>
    <row r="27" spans="1:17" s="460" customFormat="1">
      <c r="A27" s="458" t="s">
        <v>552</v>
      </c>
      <c r="B27" s="778">
        <f t="shared" ca="1" si="2"/>
        <v>28.657539366550431</v>
      </c>
      <c r="C27" s="459">
        <f t="shared" ca="1" si="3"/>
        <v>0</v>
      </c>
      <c r="D27" s="459">
        <f t="shared" si="4"/>
        <v>121.03038079892177</v>
      </c>
      <c r="E27" s="459">
        <f t="shared" si="5"/>
        <v>80.169608492157963</v>
      </c>
      <c r="F27" s="459">
        <f t="shared" si="6"/>
        <v>0</v>
      </c>
      <c r="G27" s="459">
        <f t="shared" si="7"/>
        <v>42531.257413325511</v>
      </c>
      <c r="H27" s="459">
        <f t="shared" si="8"/>
        <v>9682.3468384613334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52443.461780444472</v>
      </c>
    </row>
    <row r="28" spans="1:17" ht="16.5" customHeight="1">
      <c r="A28" s="454" t="s">
        <v>542</v>
      </c>
      <c r="B28" s="455">
        <f t="shared" ca="1" si="2"/>
        <v>0</v>
      </c>
      <c r="C28" s="455">
        <f t="shared" ca="1" si="3"/>
        <v>0</v>
      </c>
      <c r="D28" s="455">
        <f t="shared" si="4"/>
        <v>0</v>
      </c>
      <c r="E28" s="455">
        <f t="shared" si="5"/>
        <v>0</v>
      </c>
      <c r="F28" s="455">
        <f t="shared" si="6"/>
        <v>0</v>
      </c>
      <c r="G28" s="455">
        <f t="shared" si="7"/>
        <v>449.4972755366573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449.4972755366573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181.57369258876795</v>
      </c>
      <c r="C32" s="455">
        <f t="shared" ca="1" si="3"/>
        <v>0</v>
      </c>
      <c r="D32" s="455">
        <f t="shared" si="4"/>
        <v>696.40981612725932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877.98350871602725</v>
      </c>
    </row>
    <row r="33" spans="1:17" s="466" customFormat="1">
      <c r="A33" s="464" t="s">
        <v>546</v>
      </c>
      <c r="B33" s="465">
        <f ca="1">SUM(B22:B32)</f>
        <v>42665.433340674303</v>
      </c>
      <c r="C33" s="465">
        <f t="shared" ref="C33:Q33" ca="1" si="19">SUM(C22:C32)</f>
        <v>1906.5235226526459</v>
      </c>
      <c r="D33" s="465">
        <f t="shared" ca="1" si="19"/>
        <v>41349.425999568855</v>
      </c>
      <c r="E33" s="465">
        <f t="shared" si="19"/>
        <v>4597.3843155266431</v>
      </c>
      <c r="F33" s="465">
        <f t="shared" ca="1" si="19"/>
        <v>16027.828745116909</v>
      </c>
      <c r="G33" s="465">
        <f t="shared" si="19"/>
        <v>42980.754688862165</v>
      </c>
      <c r="H33" s="465">
        <f t="shared" si="19"/>
        <v>9682.3468384613334</v>
      </c>
      <c r="I33" s="465">
        <f t="shared" si="19"/>
        <v>0</v>
      </c>
      <c r="J33" s="465">
        <f t="shared" si="19"/>
        <v>377.7593805575242</v>
      </c>
      <c r="K33" s="465">
        <f t="shared" si="19"/>
        <v>0</v>
      </c>
      <c r="L33" s="465">
        <f t="shared" ca="1" si="19"/>
        <v>0</v>
      </c>
      <c r="M33" s="465">
        <f t="shared" si="19"/>
        <v>0</v>
      </c>
      <c r="N33" s="465">
        <f t="shared" ca="1" si="19"/>
        <v>0</v>
      </c>
      <c r="O33" s="465">
        <f t="shared" si="19"/>
        <v>0</v>
      </c>
      <c r="P33" s="465">
        <f t="shared" si="19"/>
        <v>0</v>
      </c>
      <c r="Q33" s="465">
        <f t="shared" ca="1" si="19"/>
        <v>159587.45683142039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21261.827789682968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17578.492829635034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5618</v>
      </c>
      <c r="D8" s="1026">
        <f>'SEAP template'!D76</f>
        <v>6606.6296042082049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1334.5391800500574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38840.320619318001</v>
      </c>
      <c r="C10" s="1028">
        <f>SUM(C4:C9)</f>
        <v>5618</v>
      </c>
      <c r="D10" s="1028">
        <f t="shared" ref="D10:H10" si="0">SUM(D8:D9)</f>
        <v>6606.6296042082049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1334.5391800500574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0.18431908348331288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8025.8783783783783</v>
      </c>
      <c r="D17" s="1027">
        <f>'SEAP template'!D87</f>
        <v>9438.2352606566619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1906.5235226526459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8025.8783783783783</v>
      </c>
      <c r="D20" s="1028">
        <f t="shared" ref="D20:H20" si="2">SUM(D17:D19)</f>
        <v>9438.2352606566619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1906.5235226526459</v>
      </c>
    </row>
    <row r="21" spans="1:16">
      <c r="B21" s="890"/>
    </row>
    <row r="22" spans="1:16">
      <c r="A22" s="467" t="s">
        <v>773</v>
      </c>
      <c r="B22" s="784" t="s">
        <v>771</v>
      </c>
      <c r="C22" s="784">
        <f ca="1">'EF ele_warmte'!B22</f>
        <v>0.23754702386081475</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0.18431908348331288</v>
      </c>
      <c r="C17" s="504">
        <f ca="1">'EF ele_warmte'!B22</f>
        <v>0.23754702386081475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3</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4.6900000000000004</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2020-06-20T15:19:03Z</dcterms:modified>
</cp:coreProperties>
</file>