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3"/>
  <c r="C12" i="13" s="1"/>
  <c r="C22" i="59"/>
  <c r="C17" i="19"/>
  <c r="C19" i="19" s="1"/>
  <c r="D39" i="14" s="1"/>
  <c r="C10" i="17"/>
  <c r="C12" i="17" s="1"/>
  <c r="D54" i="14" s="1"/>
  <c r="D56" i="14" s="1"/>
  <c r="C17" i="49"/>
  <c r="C29" i="20"/>
  <c r="C18" i="15"/>
  <c r="C20" i="15" s="1"/>
  <c r="D40" i="14" s="1"/>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<sst xmlns="http://schemas.openxmlformats.org/spreadsheetml/2006/main" count="2374" uniqueCount="871">
  <si>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</si>
  <si>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</si>
  <si>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</si>
  <si>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</si>
  <si>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</si>
  <si>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</si>
  <si>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</si>
  <si>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</si>
  <si>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</si>
  <si>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</si>
  <si>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</si>
  <si>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</si>
  <si>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</si>
  <si>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</si>
  <si>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</si>
  <si>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</si>
  <si>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</si>
  <si>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</si>
  <si>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</si>
  <si>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</si>
  <si>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</si>
  <si>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</si>
  <si>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</si>
  <si>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</si>
  <si>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</si>
  <si>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</si>
  <si>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</si>
  <si>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</si>
  <si>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</si>
  <si>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</si>
  <si>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</si>
  <si>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</si>
  <si>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</si>
  <si>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</si>
  <si>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</si>
  <si>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</si>
  <si>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</si>
  <si>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</si>
  <si>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</si>
  <si>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</si>
  <si>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</si>
  <si>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</si>
  <si>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</si>
  <si>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</si>
  <si>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</si>
  <si>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</si>
  <si>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</si>
  <si>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</si>
  <si>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</si>
  <si>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</si>
  <si>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</si>
  <si>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</si>
  <si>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</si>
  <si>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</si>
  <si>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</si>
  <si>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</si>
  <si>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</si>
  <si>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</si>
  <si>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</si>
  <si>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</si>
  <si>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</si>
  <si>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</si>
  <si>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</si>
  <si>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</si>
  <si>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</si>
  <si>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</si>
  <si>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</si>
  <si>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</si>
  <si>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</si>
  <si>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</si>
  <si>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</si>
  <si>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</si>
  <si>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</si>
  <si>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</si>
  <si>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</si>
  <si>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</si>
  <si>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</si>
  <si>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</si>
  <si>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</si>
  <si>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</si>
  <si>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</si>
  <si>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</si>
  <si>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</si>
  <si>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</si>
  <si>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</si>
  <si>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</si>
  <si>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</si>
  <si>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</si>
  <si>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</si>
  <si>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</si>
  <si>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</si>
  <si>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</si>
  <si>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</si>
  <si>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</si>
  <si>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</si>
  <si>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</si>
  <si>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</si>
  <si>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</si>
  <si>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</si>
  <si>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</si>
  <si>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</si>
  <si>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</si>
  <si>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</si>
  <si>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</si>
  <si>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</si>
  <si>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</si>
  <si>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</si>
  <si>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</si>
  <si>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</si>
  <si>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</si>
  <si>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</si>
  <si>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</si>
  <si>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</si>
  <si>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</si>
  <si>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</si>
  <si>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</si>
  <si>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</si>
  <si>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</si>
  <si>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</si>
  <si>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</si>
  <si>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</si>
  <si>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</si>
  <si>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</si>
  <si>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</si>
  <si>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</si>
  <si>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</si>
  <si>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</si>
  <si>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</si>
  <si>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</si>
  <si>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</si>
  <si>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</si>
  <si>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</si>
  <si>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</si>
  <si>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</si>
  <si>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</si>
  <si>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</si>
  <si>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</si>
  <si>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</si>
  <si>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</si>
  <si>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</si>
  <si>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</si>
  <si>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</si>
  <si>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</si>
  <si>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</si>
  <si>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</si>
  <si>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</si>
  <si>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</si>
  <si>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</si>
  <si>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</si>
  <si>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</si>
  <si>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</si>
  <si>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</si>
  <si>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</si>
  <si>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</si>
  <si>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</si>
  <si>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</si>
  <si>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</si>
  <si>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</si>
  <si>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</si>
  <si>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</si>
  <si>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</si>
  <si>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</si>
  <si>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</si>
  <si>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</si>
  <si>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</si>
  <si>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</si>
  <si>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</si>
  <si>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</si>
  <si>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</si>
  <si>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</si>
  <si>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</si>
  <si>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</si>
  <si>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</si>
  <si>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</si>
  <si>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</si>
  <si>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</si>
  <si>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</si>
  <si>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</si>
  <si>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</si>
  <si>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</si>
  <si>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</si>
  <si>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</si>
  <si>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</si>
  <si>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</si>
  <si>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</si>
  <si>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</si>
  <si>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</si>
  <si>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</si>
  <si>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</si>
  <si>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</si>
  <si>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</si>
  <si>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</si>
  <si>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</si>
  <si>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</si>
  <si>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</si>
  <si>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</si>
  <si>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</si>
  <si>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</si>
  <si>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</si>
  <si>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</si>
  <si>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</si>
  <si>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</si>
  <si>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</si>
  <si>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</si>
  <si>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</si>
  <si>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</si>
  <si>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</si>
  <si>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</si>
  <si>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</si>
  <si>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</si>
  <si>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</si>
  <si>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</si>
  <si>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</si>
  <si>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</si>
  <si>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</si>
  <si>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</si>
  <si>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</si>
  <si>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</si>
  <si>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</si>
  <si>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</si>
  <si>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</si>
  <si>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</si>
  <si>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</si>
  <si>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</si>
  <si>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</si>
  <si>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</si>
  <si>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</si>
  <si>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</si>
  <si>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</si>
  <si>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</si>
  <si>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</si>
  <si>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</si>
  <si>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</si>
  <si>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</si>
  <si>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</si>
  <si>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</si>
  <si>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</si>
  <si>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</si>
  <si>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</si>
  <si>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</si>
  <si>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</si>
  <si>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</si>
  <si>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</si>
  <si>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</si>
  <si>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</si>
  <si>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</si>
  <si>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</si>
  <si>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</si>
  <si>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</si>
  <si>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</si>
  <si>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</si>
  <si>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</si>
  <si>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</si>
  <si>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</si>
  <si>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</si>
  <si>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</si>
  <si>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</si>
  <si>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</si>
  <si>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</si>
  <si>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</si>
  <si>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</si>
  <si>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</si>
  <si>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</si>
  <si>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</si>
  <si>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</si>
  <si>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</si>
  <si>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</si>
  <si>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</si>
  <si>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</si>
  <si>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</si>
  <si>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</si>
  <si>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</si>
  <si>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</si>
  <si>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</si>
  <si>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</si>
  <si>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</si>
  <si>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</si>
  <si>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</si>
  <si>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</si>
  <si>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</si>
  <si>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</si>
  <si>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</si>
  <si>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</si>
  <si>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</si>
  <si>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</si>
  <si>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</si>
  <si>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</si>
  <si>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</si>
  <si>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</si>
  <si>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</si>
  <si>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</si>
  <si>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</si>
  <si>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</si>
  <si>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</si>
  <si>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</si>
  <si>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</si>
  <si>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</si>
  <si>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</si>
  <si>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</si>
  <si>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</si>
  <si>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</si>
  <si>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</si>
  <si>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</si>
  <si>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</si>
  <si>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</si>
  <si>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</si>
  <si>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</si>
  <si>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</si>
  <si>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</si>
  <si>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</si>
  <si>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</si>
  <si>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</si>
  <si>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</si>
  <si>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</si>
  <si>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</si>
  <si>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</si>
  <si>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</si>
  <si>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</si>
  <si>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</si>
  <si>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</si>
  <si>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</si>
  <si>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</si>
  <si>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</si>
  <si>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</si>
  <si>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</si>
  <si>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</si>
  <si>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</si>
  <si>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</si>
  <si>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</si>
  <si>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</si>
  <si>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</si>
  <si>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</si>
  <si>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</si>
  <si>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</si>
  <si>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</si>
  <si>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</si>
  <si>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</si>
  <si>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</si>
  <si>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</si>
  <si>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</si>
  <si>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</si>
  <si>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</si>
  <si>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</si>
  <si>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</si>
  <si>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</si>
  <si>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</si>
  <si>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</si>
  <si>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</si>
  <si>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</si>
  <si>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</si>
  <si>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</si>
  <si>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</si>
  <si>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</si>
  <si>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</si>
  <si>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</si>
  <si>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</si>
  <si>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</si>
  <si>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</si>
  <si>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</si>
  <si>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</si>
  <si>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</si>
  <si>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</si>
  <si>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</si>
  <si>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</si>
  <si>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</si>
  <si>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</si>
  <si>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</si>
  <si>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</si>
  <si>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</si>
  <si>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</si>
  <si>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</si>
  <si>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</si>
  <si>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</si>
  <si>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</si>
  <si>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</si>
  <si>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</si>
  <si>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</si>
  <si>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</si>
  <si>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</si>
  <si>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</si>
  <si>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</si>
  <si>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</si>
  <si>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</si>
  <si>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</si>
  <si>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</si>
  <si>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</si>
  <si>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</si>
  <si>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</si>
  <si>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</si>
  <si>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</si>
  <si>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</si>
  <si>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</si>
  <si>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</si>
  <si>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</si>
  <si>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</si>
  <si>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</si>
  <si>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</si>
  <si>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</si>
  <si>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</si>
  <si>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</si>
  <si>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</si>
  <si>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</si>
  <si>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</si>
  <si>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</si>
  <si>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</si>
  <si>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</si>
  <si>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</si>
  <si>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</si>
  <si>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</si>
  <si>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</si>
  <si>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</si>
  <si>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</si>
  <si>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</si>
  <si>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</si>
  <si>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</si>
  <si>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</si>
  <si>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</si>
  <si>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</si>
  <si>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</si>
  <si>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</si>
  <si>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</si>
  <si>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</si>
  <si>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</si>
  <si>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</si>
  <si>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</si>
  <si>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</si>
  <si>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</si>
  <si>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</si>
  <si>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</si>
  <si>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</si>
  <si>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</si>
  <si>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</si>
  <si>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</si>
  <si>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</si>
  <si>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</si>
  <si>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</si>
  <si>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</si>
  <si>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</si>
  <si>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</si>
  <si>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</si>
  <si>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</si>
  <si>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</si>
  <si>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</si>
  <si>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</si>
  <si>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</si>
  <si>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</si>
  <si>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</si>
  <si>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</si>
  <si>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</si>
  <si>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</si>
  <si>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</si>
  <si>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</si>
  <si>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</si>
  <si>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</si>
  <si>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</si>
  <si>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</si>
  <si>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</si>
  <si>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</si>
  <si>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</si>
  <si>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</si>
  <si>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</si>
  <si>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</si>
  <si>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</si>
  <si>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</si>
  <si>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</si>
  <si>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</si>
  <si>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</si>
  <si>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</si>
  <si>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</si>
  <si>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</si>
  <si>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</si>
  <si>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</si>
  <si>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</si>
  <si>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</si>
  <si>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</si>
  <si>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</si>
  <si>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</si>
  <si>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</si>
  <si>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</si>
  <si>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</si>
  <si>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</si>
  <si>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</si>
  <si>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</si>
  <si>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</si>
  <si>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</si>
  <si>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</si>
  <si>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</si>
  <si>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</si>
  <si>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</si>
  <si>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</si>
  <si>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</si>
  <si>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</si>
  <si>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</si>
  <si>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</si>
  <si>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</si>
  <si>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</si>
  <si>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</si>
  <si>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</si>
  <si>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</si>
  <si>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</si>
  <si>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</si>
  <si>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</si>
  <si>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</si>
  <si>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</si>
  <si>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</si>
  <si>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</si>
  <si>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</si>
  <si>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</si>
  <si>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</si>
  <si>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</si>
  <si>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</si>
  <si>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</si>
  <si>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</si>
  <si>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</si>
  <si>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</si>
  <si>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</si>
  <si>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</si>
  <si>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</si>
  <si>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</si>
  <si>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</si>
  <si>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</si>
  <si>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</si>
  <si>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</si>
  <si>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</si>
  <si>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</si>
  <si>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</si>
  <si>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</si>
  <si>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</si>
  <si>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</si>
  <si>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</si>
  <si>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</si>
  <si>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</si>
  <si>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</si>
  <si>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</si>
  <si>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</si>
  <si>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</si>
  <si>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</si>
  <si>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</si>
  <si>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</si>
  <si>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</si>
  <si>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</si>
  <si>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</si>
  <si>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</si>
  <si>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</si>
  <si>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</si>
  <si>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</si>
  <si>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</si>
  <si>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</si>
  <si>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</si>
  <si>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</si>
  <si>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</si>
  <si>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</si>
  <si>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</si>
  <si>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</si>
  <si>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</si>
  <si>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</si>
  <si>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</si>
  <si>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</si>
  <si>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</si>
  <si>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</si>
  <si>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</si>
  <si>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</si>
  <si>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</si>
  <si>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</si>
  <si>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</si>
  <si>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</si>
  <si>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</si>
  <si>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</si>
  <si>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</si>
  <si>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</si>
  <si>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</si>
  <si>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</si>
  <si>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</si>
  <si>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</si>
  <si>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</si>
  <si>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</si>
  <si>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</si>
  <si>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</si>
  <si>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</si>
  <si>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</si>
  <si>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</si>
  <si>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</si>
  <si>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</si>
  <si>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</si>
  <si>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</si>
  <si>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</si>
  <si>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</si>
  <si>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</si>
  <si>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</si>
  <si>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</si>
  <si>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</si>
  <si>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</si>
  <si>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</si>
  <si>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</si>
  <si>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</si>
  <si>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</si>
  <si>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</si>
  <si>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</si>
  <si>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</si>
  <si>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</si>
  <si>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</si>
  <si>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</si>
  <si>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</si>
  <si>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</si>
  <si>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</si>
  <si>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</si>
  <si>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</si>
  <si>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</si>
  <si>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</si>
  <si>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</si>
  <si>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</si>
  <si>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</si>
  <si>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</si>
  <si>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</si>
  <si>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</si>
  <si>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</si>
  <si>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</si>
  <si>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</si>
  <si>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</si>
  <si>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</si>
  <si>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</si>
  <si>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</si>
  <si>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</si>
  <si>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</si>
  <si>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</si>
  <si>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</si>
  <si>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</si>
  <si>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</si>
  <si>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</si>
  <si>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</si>
  <si>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</si>
  <si>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</si>
  <si>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</si>
  <si>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</si>
  <si>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</si>
  <si>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</si>
  <si>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</si>
  <si>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</si>
  <si>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</si>
  <si>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</si>
  <si>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</si>
  <si>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</si>
  <si>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</si>
  <si>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</si>
  <si>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</si>
  <si>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</si>
  <si>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</si>
  <si>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</si>
  <si>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</si>
  <si>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</si>
  <si>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</si>
  <si>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</si>
  <si>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</si>
  <si>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</si>
  <si>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</si>
  <si>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</si>
  <si>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</si>
  <si>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</si>
  <si>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</si>
  <si>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</si>
  <si>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</si>
  <si>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</si>
  <si>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</si>
  <si>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</si>
  <si>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</si>
  <si>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</si>
  <si>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</si>
  <si>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</si>
  <si>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</si>
  <si>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</si>
  <si>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</si>
  <si>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</si>
  <si>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</si>
  <si>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</si>
  <si>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</si>
  <si>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</si>
  <si>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</si>
  <si>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</si>
  <si>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</si>
  <si>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</si>
  <si>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</si>
  <si>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</si>
  <si>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</si>
  <si>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</si>
  <si>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</si>
  <si>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</si>
  <si>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</si>
  <si>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</si>
  <si>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</si>
  <si>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</si>
  <si>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</si>
  <si>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</si>
  <si>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</si>
  <si>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</si>
  <si>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</si>
  <si>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</si>
  <si>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</si>
  <si>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</si>
  <si>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</si>
  <si>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</si>
  <si>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</si>
  <si>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</si>
  <si>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</si>
  <si>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</si>
  <si>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</si>
  <si>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</si>
  <si>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</si>
  <si>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</si>
  <si>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</si>
  <si>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</si>
  <si>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</si>
  <si>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</si>
  <si>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</si>
  <si>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</si>
  <si>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</si>
  <si>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</si>
  <si>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</si>
  <si>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</si>
  <si>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</si>
  <si>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</si>
  <si>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</si>
  <si>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</si>
  <si>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</si>
  <si>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</si>
  <si>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</si>
  <si>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</si>
  <si>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</si>
  <si>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</si>
  <si>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</si>
  <si>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</si>
  <si>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</si>
  <si>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</si>
  <si>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</si>
  <si>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</si>
  <si>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</si>
  <si>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</si>
  <si>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</si>
  <si>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</si>
  <si>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</si>
  <si>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</si>
  <si>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</si>
  <si>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</si>
  <si>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</si>
  <si>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</si>
  <si>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</si>
  <si>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</si>
  <si>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</si>
  <si>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</si>
  <si>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</si>
  <si>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</si>
  <si>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</si>
  <si>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</si>
  <si>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</si>
  <si>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</si>
  <si>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</si>
  <si>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</si>
  <si>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</si>
  <si>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</si>
  <si>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</si>
  <si>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</si>
  <si>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</si>
  <si>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</si>
  <si>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</si>
  <si>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</si>
  <si>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</si>
  <si>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</si>
  <si>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</si>
  <si>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</si>
  <si>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</si>
  <si>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</si>
  <si>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</si>
  <si>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</si>
  <si>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</si>
  <si>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</si>
  <si>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</si>
  <si>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</si>
  <si>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</si>
  <si>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</si>
  <si>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</si>
  <si>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</si>
  <si>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</si>
  <si>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</si>
  <si>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</si>
  <si>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</si>
  <si>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</si>
  <si>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</si>
  <si>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</si>
  <si>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</si>
  <si>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</si>
  <si>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</si>
  <si>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</si>
  <si>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</si>
  <si>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</si>
  <si>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</si>
  <si>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</si>
  <si>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</si>
  <si>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</si>
  <si>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</si>
  <si>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</si>
  <si>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</si>
  <si>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</si>
  <si>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</si>
  <si>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</si>
  <si>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</si>
  <si>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</si>
  <si>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</si>
  <si>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</si>
  <si>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</si>
  <si>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</si>
  <si>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</si>
  <si>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</si>
  <si>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</si>
  <si>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</si>
  <si>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</si>
  <si>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</si>
  <si>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</si>
  <si>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</si>
  <si>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</si>
  <si>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</si>
  <si>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</si>
  <si>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</si>
  <si>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</si>
  <si>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</si>
  <si>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</si>
  <si>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</si>
  <si>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</si>
  <si>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</si>
  <si>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</si>
  <si>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</si>
  <si>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</si>
  <si>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</si>
  <si>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</si>
  <si>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</si>
  <si>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</si>
  <si>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</si>
  <si>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</si>
  <si>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</si>
  <si>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</si>
  <si>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</si>
  <si>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</si>
  <si>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</si>
  <si>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</si>
  <si>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</si>
  <si>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</si>
  <si>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</si>
  <si>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</si>
  <si>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</si>
  <si>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</si>
  <si>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</si>
  <si>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</si>
  <si>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</si>
  <si>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</si>
  <si>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</si>
  <si>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</si>
  <si>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</si>
  <si>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</si>
  <si>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</si>
  <si>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</si>
  <si>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</si>
  <si>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</si>
  <si>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</si>
  <si>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</si>
  <si>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13036</t>
  </si>
  <si>
    <t>RETIE</t>
  </si>
  <si>
    <t>referentietaak LNE (2017); Jaarverslag De Lijn</t>
  </si>
  <si>
    <t>GK Invest</t>
  </si>
  <si>
    <t>WKK-0842</t>
  </si>
  <si>
    <t>Brandstofcel</t>
  </si>
  <si>
    <t>brandstofcel</t>
  </si>
  <si>
    <t>Veldenstraat 13</t>
  </si>
  <si>
    <t>IVEKA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</si>
</sst>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108227.7181359422</c:v>
                </c:pt>
                <c:pt idx="1">
                  <c:v>21689.461880988405</c:v>
                </c:pt>
                <c:pt idx="2">
                  <c:v>550.29700000000003</c:v>
                </c:pt>
                <c:pt idx="3">
                  <c:v>10129.06538409679</c:v>
                </c:pt>
                <c:pt idx="4">
                  <c:v>5918.0604655785119</c:v>
                </c:pt>
                <c:pt idx="5">
                  <c:v>126319.73491898109</c:v>
                </c:pt>
                <c:pt idx="6">
                  <c:v>635.68072876898134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108227.7181359422</c:v>
                </c:pt>
                <c:pt idx="1">
                  <c:v>21689.461880988405</c:v>
                </c:pt>
                <c:pt idx="2">
                  <c:v>550.29700000000003</c:v>
                </c:pt>
                <c:pt idx="3">
                  <c:v>10129.06538409679</c:v>
                </c:pt>
                <c:pt idx="4">
                  <c:v>5918.0604655785119</c:v>
                </c:pt>
                <c:pt idx="5">
                  <c:v>126319.73491898109</c:v>
                </c:pt>
                <c:pt idx="6">
                  <c:v>635.68072876898134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16428.661615809633</c:v>
                </c:pt>
                <c:pt idx="1">
                  <c:v>4168.2800924838903</c:v>
                </c:pt>
                <c:pt idx="2">
                  <c:v>100.3065739616103</c:v>
                </c:pt>
                <c:pt idx="3">
                  <c:v>2541.8590036053706</c:v>
                </c:pt>
                <c:pt idx="4">
                  <c:v>1191.0746823198247</c:v>
                </c:pt>
                <c:pt idx="5">
                  <c:v>31464.468958843281</c:v>
                </c:pt>
                <c:pt idx="6">
                  <c:v>160.99049347005379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16428.661615809633</c:v>
                </c:pt>
                <c:pt idx="1">
                  <c:v>4168.2800924838903</c:v>
                </c:pt>
                <c:pt idx="2">
                  <c:v>100.3065739616103</c:v>
                </c:pt>
                <c:pt idx="3">
                  <c:v>2541.8590036053706</c:v>
                </c:pt>
                <c:pt idx="4">
                  <c:v>1191.0746823198247</c:v>
                </c:pt>
                <c:pt idx="5">
                  <c:v>31464.468958843281</c:v>
                </c:pt>
                <c:pt idx="6">
                  <c:v>160.99049347005379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13036</v>
      </c>
      <c r="B6" s="392"/>
      <c r="C6" s="393"/>
    </row>
    <row r="7" spans="1:7" s="390" customFormat="1" ht="15.75" customHeight="1">
      <c r="A7" s="394" t="str">
        <f>txtMunicipality</f>
        <v>RETIE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0.18227715935505789</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0.18227715935505789</v>
      </c>
      <c r="C29" s="505">
        <f ca="1">'EF ele_warmte'!B22</f>
        <v>0.22444444444444442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4524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2776.07</v>
      </c>
      <c r="C14" s="332"/>
      <c r="D14" s="332"/>
      <c r="E14" s="332"/>
      <c r="F14" s="332"/>
    </row>
    <row r="15" spans="1:6">
      <c r="A15" s="1310" t="s">
        <v>183</v>
      </c>
      <c r="B15" s="1311">
        <v>10775</v>
      </c>
      <c r="C15" s="332"/>
      <c r="D15" s="332"/>
      <c r="E15" s="332"/>
      <c r="F15" s="332"/>
    </row>
    <row r="16" spans="1:6">
      <c r="A16" s="1310" t="s">
        <v>6</v>
      </c>
      <c r="B16" s="1311">
        <v>1864</v>
      </c>
      <c r="C16" s="332"/>
      <c r="D16" s="332"/>
      <c r="E16" s="332"/>
      <c r="F16" s="332"/>
    </row>
    <row r="17" spans="1:6">
      <c r="A17" s="1310" t="s">
        <v>7</v>
      </c>
      <c r="B17" s="1311">
        <v>106</v>
      </c>
      <c r="C17" s="332"/>
      <c r="D17" s="332"/>
      <c r="E17" s="332"/>
      <c r="F17" s="332"/>
    </row>
    <row r="18" spans="1:6">
      <c r="A18" s="1310" t="s">
        <v>8</v>
      </c>
      <c r="B18" s="1311">
        <v>966</v>
      </c>
      <c r="C18" s="332"/>
      <c r="D18" s="332"/>
      <c r="E18" s="332"/>
      <c r="F18" s="332"/>
    </row>
    <row r="19" spans="1:6">
      <c r="A19" s="1310" t="s">
        <v>9</v>
      </c>
      <c r="B19" s="1311">
        <v>971</v>
      </c>
      <c r="C19" s="332"/>
      <c r="D19" s="332"/>
      <c r="E19" s="332"/>
      <c r="F19" s="332"/>
    </row>
    <row r="20" spans="1:6">
      <c r="A20" s="1310" t="s">
        <v>10</v>
      </c>
      <c r="B20" s="1311">
        <v>460</v>
      </c>
      <c r="C20" s="332"/>
      <c r="D20" s="332"/>
      <c r="E20" s="332"/>
      <c r="F20" s="332"/>
    </row>
    <row r="21" spans="1:6">
      <c r="A21" s="1310" t="s">
        <v>11</v>
      </c>
      <c r="B21" s="1311">
        <v>4682</v>
      </c>
      <c r="C21" s="332"/>
      <c r="D21" s="332"/>
      <c r="E21" s="332"/>
      <c r="F21" s="332"/>
    </row>
    <row r="22" spans="1:6">
      <c r="A22" s="1310" t="s">
        <v>12</v>
      </c>
      <c r="B22" s="1311">
        <v>14376</v>
      </c>
      <c r="C22" s="332"/>
      <c r="D22" s="332"/>
      <c r="E22" s="332"/>
      <c r="F22" s="332"/>
    </row>
    <row r="23" spans="1:6">
      <c r="A23" s="1310" t="s">
        <v>13</v>
      </c>
      <c r="B23" s="1311">
        <v>195</v>
      </c>
      <c r="C23" s="332"/>
      <c r="D23" s="332"/>
      <c r="E23" s="332"/>
      <c r="F23" s="332"/>
    </row>
    <row r="24" spans="1:6">
      <c r="A24" s="1310" t="s">
        <v>14</v>
      </c>
      <c r="B24" s="1311">
        <v>12</v>
      </c>
      <c r="C24" s="332"/>
      <c r="D24" s="332"/>
      <c r="E24" s="332"/>
      <c r="F24" s="332"/>
    </row>
    <row r="25" spans="1:6">
      <c r="A25" s="1310" t="s">
        <v>15</v>
      </c>
      <c r="B25" s="1311">
        <v>1500</v>
      </c>
      <c r="C25" s="332"/>
      <c r="D25" s="332"/>
      <c r="E25" s="332"/>
      <c r="F25" s="332"/>
    </row>
    <row r="26" spans="1:6">
      <c r="A26" s="1310" t="s">
        <v>16</v>
      </c>
      <c r="B26" s="1311">
        <v>317</v>
      </c>
      <c r="C26" s="332"/>
      <c r="D26" s="332"/>
      <c r="E26" s="332"/>
      <c r="F26" s="332"/>
    </row>
    <row r="27" spans="1:6">
      <c r="A27" s="1310" t="s">
        <v>17</v>
      </c>
      <c r="B27" s="1311">
        <v>1520</v>
      </c>
      <c r="C27" s="332"/>
      <c r="D27" s="332"/>
      <c r="E27" s="332"/>
      <c r="F27" s="332"/>
    </row>
    <row r="28" spans="1:6" s="43" customFormat="1">
      <c r="A28" s="1312" t="s">
        <v>18</v>
      </c>
      <c r="B28" s="1313">
        <v>56442</v>
      </c>
      <c r="C28" s="338"/>
      <c r="D28" s="338"/>
      <c r="E28" s="338"/>
      <c r="F28" s="338"/>
    </row>
    <row r="29" spans="1:6">
      <c r="A29" s="1312" t="s">
        <v>699</v>
      </c>
      <c r="B29" s="1313">
        <v>148</v>
      </c>
      <c r="C29" s="338"/>
      <c r="D29" s="338"/>
      <c r="E29" s="338"/>
      <c r="F29" s="338"/>
    </row>
    <row r="30" spans="1:6">
      <c r="A30" s="1305" t="s">
        <v>700</v>
      </c>
      <c r="B30" s="1314">
        <v>14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3305.2441467245999</v>
      </c>
    </row>
    <row r="39" spans="1:6">
      <c r="A39" s="1310" t="s">
        <v>29</v>
      </c>
      <c r="B39" s="1310" t="s">
        <v>30</v>
      </c>
      <c r="C39" s="1311">
        <v>2942</v>
      </c>
      <c r="D39" s="1311">
        <v>50549023.876003303</v>
      </c>
      <c r="E39" s="1311">
        <v>4487</v>
      </c>
      <c r="F39" s="1311">
        <v>14795689.658836899</v>
      </c>
    </row>
    <row r="40" spans="1:6">
      <c r="A40" s="1310" t="s">
        <v>29</v>
      </c>
      <c r="B40" s="1310" t="s">
        <v>28</v>
      </c>
      <c r="C40" s="1311">
        <v>0</v>
      </c>
      <c r="D40" s="1311">
        <v>0</v>
      </c>
      <c r="E40" s="1311">
        <v>0</v>
      </c>
      <c r="F40" s="1311">
        <v>0</v>
      </c>
    </row>
    <row r="41" spans="1:6">
      <c r="A41" s="1310" t="s">
        <v>31</v>
      </c>
      <c r="B41" s="1310" t="s">
        <v>32</v>
      </c>
      <c r="C41" s="1311">
        <v>68</v>
      </c>
      <c r="D41" s="1311">
        <v>1625749.7730054101</v>
      </c>
      <c r="E41" s="1311">
        <v>119</v>
      </c>
      <c r="F41" s="1311">
        <v>1603856.1094752599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6</v>
      </c>
      <c r="D44" s="1311">
        <v>205799.46571618301</v>
      </c>
      <c r="E44" s="1311">
        <v>13</v>
      </c>
      <c r="F44" s="1311">
        <v>623437.77843236097</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3</v>
      </c>
      <c r="D47" s="1311">
        <v>72603.085066479907</v>
      </c>
      <c r="E47" s="1311">
        <v>3</v>
      </c>
      <c r="F47" s="1311">
        <v>55368.327041582997</v>
      </c>
    </row>
    <row r="48" spans="1:6">
      <c r="A48" s="1310" t="s">
        <v>31</v>
      </c>
      <c r="B48" s="1310" t="s">
        <v>28</v>
      </c>
      <c r="C48" s="1311">
        <v>2</v>
      </c>
      <c r="D48" s="1311">
        <v>32847.116339059699</v>
      </c>
      <c r="E48" s="1311">
        <v>2</v>
      </c>
      <c r="F48" s="1311">
        <v>4882.5881065136</v>
      </c>
    </row>
    <row r="49" spans="1:6">
      <c r="A49" s="1310" t="s">
        <v>31</v>
      </c>
      <c r="B49" s="1310" t="s">
        <v>39</v>
      </c>
      <c r="C49" s="1311">
        <v>0</v>
      </c>
      <c r="D49" s="1311">
        <v>0</v>
      </c>
      <c r="E49" s="1311">
        <v>0</v>
      </c>
      <c r="F49" s="1311">
        <v>0</v>
      </c>
    </row>
    <row r="50" spans="1:6">
      <c r="A50" s="1310" t="s">
        <v>31</v>
      </c>
      <c r="B50" s="1310" t="s">
        <v>40</v>
      </c>
      <c r="C50" s="1311">
        <v>5</v>
      </c>
      <c r="D50" s="1311">
        <v>349046.07777100301</v>
      </c>
      <c r="E50" s="1311">
        <v>9</v>
      </c>
      <c r="F50" s="1311">
        <v>435384.19777983101</v>
      </c>
    </row>
    <row r="51" spans="1:6">
      <c r="A51" s="1310" t="s">
        <v>41</v>
      </c>
      <c r="B51" s="1310" t="s">
        <v>42</v>
      </c>
      <c r="C51" s="1311">
        <v>13</v>
      </c>
      <c r="D51" s="1311">
        <v>462762.38971153798</v>
      </c>
      <c r="E51" s="1311">
        <v>111</v>
      </c>
      <c r="F51" s="1311">
        <v>2137059.16575361</v>
      </c>
    </row>
    <row r="52" spans="1:6">
      <c r="A52" s="1310" t="s">
        <v>41</v>
      </c>
      <c r="B52" s="1310" t="s">
        <v>28</v>
      </c>
      <c r="C52" s="1311">
        <v>0</v>
      </c>
      <c r="D52" s="1311">
        <v>0</v>
      </c>
      <c r="E52" s="1311">
        <v>0</v>
      </c>
      <c r="F52" s="1311">
        <v>0</v>
      </c>
    </row>
    <row r="53" spans="1:6">
      <c r="A53" s="1310" t="s">
        <v>43</v>
      </c>
      <c r="B53" s="1310" t="s">
        <v>44</v>
      </c>
      <c r="C53" s="1311">
        <v>65</v>
      </c>
      <c r="D53" s="1311">
        <v>1037413.59118561</v>
      </c>
      <c r="E53" s="1311">
        <v>166</v>
      </c>
      <c r="F53" s="1311">
        <v>430903.08504195098</v>
      </c>
    </row>
    <row r="54" spans="1:6">
      <c r="A54" s="1310" t="s">
        <v>45</v>
      </c>
      <c r="B54" s="1310" t="s">
        <v>46</v>
      </c>
      <c r="C54" s="1311">
        <v>0</v>
      </c>
      <c r="D54" s="1311">
        <v>0</v>
      </c>
      <c r="E54" s="1311">
        <v>1</v>
      </c>
      <c r="F54" s="1311">
        <v>550297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37</v>
      </c>
      <c r="D57" s="1311">
        <v>2091759.2031868701</v>
      </c>
      <c r="E57" s="1311">
        <v>97</v>
      </c>
      <c r="F57" s="1311">
        <v>1441561.4262494999</v>
      </c>
    </row>
    <row r="58" spans="1:6">
      <c r="A58" s="1310" t="s">
        <v>48</v>
      </c>
      <c r="B58" s="1310" t="s">
        <v>50</v>
      </c>
      <c r="C58" s="1311">
        <v>24</v>
      </c>
      <c r="D58" s="1311">
        <v>1501740.8574558799</v>
      </c>
      <c r="E58" s="1311">
        <v>30</v>
      </c>
      <c r="F58" s="1311">
        <v>480664.690702416</v>
      </c>
    </row>
    <row r="59" spans="1:6">
      <c r="A59" s="1310" t="s">
        <v>48</v>
      </c>
      <c r="B59" s="1310" t="s">
        <v>51</v>
      </c>
      <c r="C59" s="1311">
        <v>65</v>
      </c>
      <c r="D59" s="1311">
        <v>2402738.9288120498</v>
      </c>
      <c r="E59" s="1311">
        <v>127</v>
      </c>
      <c r="F59" s="1311">
        <v>3001325.5316341398</v>
      </c>
    </row>
    <row r="60" spans="1:6">
      <c r="A60" s="1310" t="s">
        <v>48</v>
      </c>
      <c r="B60" s="1310" t="s">
        <v>52</v>
      </c>
      <c r="C60" s="1311">
        <v>45</v>
      </c>
      <c r="D60" s="1311">
        <v>2472692.9987201001</v>
      </c>
      <c r="E60" s="1311">
        <v>62</v>
      </c>
      <c r="F60" s="1311">
        <v>1906031.14481241</v>
      </c>
    </row>
    <row r="61" spans="1:6">
      <c r="A61" s="1310" t="s">
        <v>48</v>
      </c>
      <c r="B61" s="1310" t="s">
        <v>53</v>
      </c>
      <c r="C61" s="1311">
        <v>96</v>
      </c>
      <c r="D61" s="1311">
        <v>2529292.2189224102</v>
      </c>
      <c r="E61" s="1311">
        <v>154</v>
      </c>
      <c r="F61" s="1311">
        <v>1667837.21817393</v>
      </c>
    </row>
    <row r="62" spans="1:6">
      <c r="A62" s="1310" t="s">
        <v>48</v>
      </c>
      <c r="B62" s="1310" t="s">
        <v>54</v>
      </c>
      <c r="C62" s="1311">
        <v>7</v>
      </c>
      <c r="D62" s="1311">
        <v>903826.88116688095</v>
      </c>
      <c r="E62" s="1311">
        <v>11</v>
      </c>
      <c r="F62" s="1311">
        <v>186304.187550667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54948.2318958576</v>
      </c>
      <c r="E65" s="1311">
        <v>0</v>
      </c>
      <c r="F65" s="1311">
        <v>0</v>
      </c>
    </row>
    <row r="66" spans="1:6">
      <c r="A66" s="1310" t="s">
        <v>55</v>
      </c>
      <c r="B66" s="1310" t="s">
        <v>57</v>
      </c>
      <c r="C66" s="1311">
        <v>0</v>
      </c>
      <c r="D66" s="1311">
        <v>0</v>
      </c>
      <c r="E66" s="1311">
        <v>8</v>
      </c>
      <c r="F66" s="1311">
        <v>142517.87171461899</v>
      </c>
    </row>
    <row r="67" spans="1:6">
      <c r="A67" s="1312" t="s">
        <v>55</v>
      </c>
      <c r="B67" s="1312" t="s">
        <v>58</v>
      </c>
      <c r="C67" s="1311">
        <v>0</v>
      </c>
      <c r="D67" s="1311">
        <v>0</v>
      </c>
      <c r="E67" s="1311">
        <v>0</v>
      </c>
      <c r="F67" s="1311">
        <v>0</v>
      </c>
    </row>
    <row r="68" spans="1:6">
      <c r="A68" s="1305" t="s">
        <v>55</v>
      </c>
      <c r="B68" s="1305" t="s">
        <v>59</v>
      </c>
      <c r="C68" s="1314">
        <v>0</v>
      </c>
      <c r="D68" s="1314">
        <v>0</v>
      </c>
      <c r="E68" s="1314">
        <v>4</v>
      </c>
      <c r="F68" s="1314">
        <v>64042.064092842797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78900193</v>
      </c>
      <c r="E73" s="453"/>
      <c r="F73" s="332"/>
    </row>
    <row r="74" spans="1:6">
      <c r="A74" s="1310" t="s">
        <v>63</v>
      </c>
      <c r="B74" s="1310" t="s">
        <v>648</v>
      </c>
      <c r="C74" s="1324" t="s">
        <v>650</v>
      </c>
      <c r="D74" s="1325">
        <v>6317768.8024318479</v>
      </c>
      <c r="E74" s="453"/>
      <c r="F74" s="332"/>
    </row>
    <row r="75" spans="1:6">
      <c r="A75" s="1310" t="s">
        <v>64</v>
      </c>
      <c r="B75" s="1310" t="s">
        <v>647</v>
      </c>
      <c r="C75" s="1324" t="s">
        <v>651</v>
      </c>
      <c r="D75" s="1325">
        <v>14632396</v>
      </c>
      <c r="E75" s="453"/>
      <c r="F75" s="332"/>
    </row>
    <row r="76" spans="1:6">
      <c r="A76" s="1310" t="s">
        <v>64</v>
      </c>
      <c r="B76" s="1310" t="s">
        <v>648</v>
      </c>
      <c r="C76" s="1324" t="s">
        <v>652</v>
      </c>
      <c r="D76" s="1325">
        <v>513692.80243184802</v>
      </c>
      <c r="E76" s="453"/>
      <c r="F76" s="332"/>
    </row>
    <row r="77" spans="1:6">
      <c r="A77" s="1310" t="s">
        <v>65</v>
      </c>
      <c r="B77" s="1310" t="s">
        <v>647</v>
      </c>
      <c r="C77" s="1324" t="s">
        <v>653</v>
      </c>
      <c r="D77" s="1325">
        <v>27002302</v>
      </c>
      <c r="E77" s="453"/>
      <c r="F77" s="332"/>
    </row>
    <row r="78" spans="1:6">
      <c r="A78" s="1305" t="s">
        <v>65</v>
      </c>
      <c r="B78" s="1305" t="s">
        <v>648</v>
      </c>
      <c r="C78" s="1305" t="s">
        <v>654</v>
      </c>
      <c r="D78" s="1326">
        <v>10217778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176322.395136304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5380.1188795577164</v>
      </c>
      <c r="C91" s="332"/>
      <c r="D91" s="332"/>
      <c r="E91" s="332"/>
      <c r="F91" s="332"/>
    </row>
    <row r="92" spans="1:6">
      <c r="A92" s="1305" t="s">
        <v>68</v>
      </c>
      <c r="B92" s="1306">
        <v>717.52935233947062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1341</v>
      </c>
      <c r="C97" s="332"/>
      <c r="D97" s="332"/>
      <c r="E97" s="332"/>
      <c r="F97" s="332"/>
    </row>
    <row r="98" spans="1:6">
      <c r="A98" s="1310" t="s">
        <v>71</v>
      </c>
      <c r="B98" s="1311">
        <v>4</v>
      </c>
      <c r="C98" s="332"/>
      <c r="D98" s="332"/>
      <c r="E98" s="332"/>
      <c r="F98" s="332"/>
    </row>
    <row r="99" spans="1:6">
      <c r="A99" s="1310" t="s">
        <v>72</v>
      </c>
      <c r="B99" s="1311">
        <v>27</v>
      </c>
      <c r="C99" s="332"/>
      <c r="D99" s="332"/>
      <c r="E99" s="332"/>
      <c r="F99" s="332"/>
    </row>
    <row r="100" spans="1:6">
      <c r="A100" s="1310" t="s">
        <v>73</v>
      </c>
      <c r="B100" s="1311">
        <v>137</v>
      </c>
      <c r="C100" s="332"/>
      <c r="D100" s="332"/>
      <c r="E100" s="332"/>
      <c r="F100" s="332"/>
    </row>
    <row r="101" spans="1:6">
      <c r="A101" s="1310" t="s">
        <v>74</v>
      </c>
      <c r="B101" s="1311">
        <v>112</v>
      </c>
      <c r="C101" s="332"/>
      <c r="D101" s="332"/>
      <c r="E101" s="332"/>
      <c r="F101" s="332"/>
    </row>
    <row r="102" spans="1:6">
      <c r="A102" s="1310" t="s">
        <v>75</v>
      </c>
      <c r="B102" s="1311">
        <v>26</v>
      </c>
      <c r="C102" s="332"/>
      <c r="D102" s="332"/>
      <c r="E102" s="332"/>
      <c r="F102" s="332"/>
    </row>
    <row r="103" spans="1:6">
      <c r="A103" s="1310" t="s">
        <v>76</v>
      </c>
      <c r="B103" s="1311">
        <v>61</v>
      </c>
      <c r="C103" s="332"/>
      <c r="D103" s="332"/>
      <c r="E103" s="332"/>
      <c r="F103" s="332"/>
    </row>
    <row r="104" spans="1:6">
      <c r="A104" s="1310" t="s">
        <v>77</v>
      </c>
      <c r="B104" s="1311">
        <v>1935</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48</v>
      </c>
      <c r="C123" s="1311">
        <v>43</v>
      </c>
      <c r="D123" s="332"/>
      <c r="E123" s="332"/>
      <c r="F123" s="332"/>
    </row>
    <row r="124" spans="1:6" s="43" customFormat="1">
      <c r="A124" s="1312" t="s">
        <v>88</v>
      </c>
      <c r="B124" s="1333">
        <v>1</v>
      </c>
      <c r="C124" s="1333">
        <v>1</v>
      </c>
      <c r="D124" s="338"/>
      <c r="E124" s="338"/>
      <c r="F124" s="338"/>
    </row>
    <row r="125" spans="1:6">
      <c r="A125" s="1305" t="s">
        <v>851</v>
      </c>
      <c r="B125" s="1333">
        <v>1</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191</v>
      </c>
      <c r="C129" s="332"/>
      <c r="D129" s="332"/>
      <c r="E129" s="332"/>
      <c r="F129" s="332"/>
    </row>
    <row r="130" spans="1:6">
      <c r="A130" s="1310" t="s">
        <v>294</v>
      </c>
      <c r="B130" s="1311">
        <v>5</v>
      </c>
      <c r="C130" s="332"/>
      <c r="D130" s="332"/>
      <c r="E130" s="332"/>
      <c r="F130" s="332"/>
    </row>
    <row r="131" spans="1:6">
      <c r="A131" s="1310" t="s">
        <v>295</v>
      </c>
      <c r="B131" s="1311">
        <v>2</v>
      </c>
      <c r="C131" s="332"/>
      <c r="D131" s="332"/>
      <c r="E131" s="332"/>
      <c r="F131" s="332"/>
    </row>
    <row r="132" spans="1:6">
      <c r="A132" s="1305" t="s">
        <v>296</v>
      </c>
      <c r="B132" s="1306">
        <v>44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34799.143896736117</v>
      </c>
      <c r="C3" s="43" t="s">
        <v>169</v>
      </c>
      <c r="D3" s="43"/>
      <c r="E3" s="154"/>
      <c r="F3" s="43"/>
      <c r="G3" s="43"/>
      <c r="H3" s="43"/>
      <c r="I3" s="43"/>
      <c r="J3" s="43"/>
      <c r="K3" s="96"/>
    </row>
    <row r="4" spans="1:11">
      <c r="A4" s="360" t="s">
        <v>170</v>
      </c>
      <c r="B4" s="49">
        <f>IF(ISERROR('SEAP template'!B78+'SEAP template'!C78),0,'SEAP template'!B78+'SEAP template'!C78)</f>
        <v>6114.6482318971866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3.8155555555555551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0.18227715935505789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5.4655255255255248</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24.351351351351351</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0.22444444444444442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550.29700000000003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550.29700000000003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0.18227715935505789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100.3065739616103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14795.6896588369</v>
      </c>
      <c r="C5" s="17">
        <f>IF(ISERROR('Eigen informatie GS &amp; warmtenet'!B59),0,'Eigen informatie GS &amp; warmtenet'!B59)</f>
        <v>0</v>
      </c>
      <c r="D5" s="30">
        <f>(SUM(HH_hh_gas_kWh,HH_rest_gas_kWh)/1000)*0.903</f>
        <v>45645.768560030985</v>
      </c>
      <c r="E5" s="17">
        <f>B46*B57</f>
        <v>3499.9735245610141</v>
      </c>
      <c r="F5" s="17">
        <f>B51*B62</f>
        <v>10247.690294149539</v>
      </c>
      <c r="G5" s="18"/>
      <c r="H5" s="17"/>
      <c r="I5" s="17"/>
      <c r="J5" s="17">
        <f>B50*B61+C50*C61</f>
        <v>0</v>
      </c>
      <c r="K5" s="17"/>
      <c r="L5" s="17"/>
      <c r="M5" s="17"/>
      <c r="N5" s="17">
        <f>B48*B59+C48*C59</f>
        <v>27212.5888216354</v>
      </c>
      <c r="O5" s="17">
        <f>B69*B70*B71</f>
        <v>466.23018155595247</v>
      </c>
      <c r="P5" s="17">
        <f>B77*B78*B79/1000-B77*B78*B79/1000/B80</f>
        <v>979.65821561470705</v>
      </c>
    </row>
    <row r="6" spans="1:16">
      <c r="A6" s="16" t="s">
        <v>612</v>
      </c>
      <c r="B6" s="786">
        <f>kWh_PV_kleiner_dan_10kW</f>
        <v>5380.1188795577164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20175.808538394616</v>
      </c>
      <c r="C8" s="21">
        <f>C5</f>
        <v>0</v>
      </c>
      <c r="D8" s="21">
        <f>D5</f>
        <v>45645.768560030985</v>
      </c>
      <c r="E8" s="21">
        <f>E5</f>
        <v>3499.9735245610141</v>
      </c>
      <c r="F8" s="21">
        <f>F5</f>
        <v>10247.690294149539</v>
      </c>
      <c r="G8" s="21"/>
      <c r="H8" s="21"/>
      <c r="I8" s="21"/>
      <c r="J8" s="21">
        <f>J5</f>
        <v>0</v>
      </c>
      <c r="K8" s="21"/>
      <c r="L8" s="21">
        <f>L5</f>
        <v>0</v>
      </c>
      <c r="M8" s="21">
        <f>M5</f>
        <v>0</v>
      </c>
      <c r="N8" s="21">
        <f>N5</f>
        <v>27212.5888216354</v>
      </c>
      <c r="O8" s="21">
        <f>O5</f>
        <v>466.23018155595247</v>
      </c>
      <c r="P8" s="21">
        <f>P5</f>
        <v>979.65821561470705</v>
      </c>
    </row>
    <row r="9" spans="1:16">
      <c r="B9" s="19"/>
      <c r="C9" s="19"/>
      <c r="D9" s="258"/>
      <c r="E9" s="19"/>
      <c r="F9" s="19"/>
      <c r="G9" s="19"/>
      <c r="H9" s="19"/>
      <c r="I9" s="19"/>
      <c r="J9" s="19"/>
      <c r="K9" s="19"/>
      <c r="L9" s="19"/>
      <c r="M9" s="19"/>
      <c r="N9" s="19"/>
      <c r="O9" s="19"/>
      <c r="P9" s="19"/>
    </row>
    <row r="10" spans="1:16">
      <c r="A10" s="24" t="s">
        <v>213</v>
      </c>
      <c r="B10" s="25">
        <f ca="1">'EF ele_warmte'!B12</f>
        <v>0.18227715935505789</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3677.5890680700932</v>
      </c>
      <c r="C12" s="23">
        <f ca="1">C10*C8</f>
        <v>0</v>
      </c>
      <c r="D12" s="23">
        <f>D8*D10</f>
        <v>9220.44524912626</v>
      </c>
      <c r="E12" s="23">
        <f>E10*E8</f>
        <v>794.49399007535021</v>
      </c>
      <c r="F12" s="23">
        <f>F10*F8</f>
        <v>2736.133308537927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1341</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9.7826086956521738</v>
      </c>
      <c r="D20" s="229"/>
      <c r="E20" s="15"/>
    </row>
    <row r="21" spans="1:7">
      <c r="A21" s="171" t="s">
        <v>73</v>
      </c>
      <c r="B21" s="37">
        <f>aantalw2001_elektriciteit</f>
        <v>137</v>
      </c>
      <c r="C21" s="167">
        <f>IF(ISERROR(B21/SUM($B$20,$B$21,$B$22)*100),0,B21/SUM($B$20,$B$21,$B$22)*100)</f>
        <v>49.637681159420289</v>
      </c>
      <c r="D21" s="229"/>
      <c r="E21" s="15"/>
    </row>
    <row r="22" spans="1:7">
      <c r="A22" s="171" t="s">
        <v>74</v>
      </c>
      <c r="B22" s="37">
        <f>aantalw2001_hout</f>
        <v>112</v>
      </c>
      <c r="C22" s="167">
        <f>IF(ISERROR(B22/SUM($B$20,$B$21,$B$22)*100),0,B22/SUM($B$20,$B$21,$B$22)*100)</f>
        <v>40.579710144927539</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1935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4524</v>
      </c>
      <c r="C28" s="36"/>
      <c r="D28" s="228"/>
    </row>
    <row r="29" spans="1:7" s="15" customFormat="1">
      <c r="A29" s="230" t="s">
        <v>839</v>
      </c>
      <c r="B29" s="37">
        <f>SUM(HH_hh_gas_aantal,HH_rest_gas_aantal)</f>
        <v>2942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2942</v>
      </c>
      <c r="C32" s="167">
        <f>IF(ISERROR(B32/SUM($B$32,$B$34,$B$35,$B$36,$B$38,$B$39)*100),0,B32/SUM($B$32,$B$34,$B$35,$B$36,$B$38,$B$39)*100)</f>
        <v>66.395847438501463</v>
      </c>
      <c r="D32" s="233"/>
      <c r="G32" s="15"/>
    </row>
    <row r="33" spans="1:7">
      <c r="A33" s="171" t="s">
        <v>71</v>
      </c>
      <c r="B33" s="34" t="s">
        <v>110</v>
      </c>
      <c r="C33" s="167"/>
      <c r="D33" s="233"/>
      <c r="G33" s="15"/>
    </row>
    <row r="34" spans="1:7">
      <c r="A34" s="171" t="s">
        <v>72</v>
      </c>
      <c r="B34" s="33">
        <f>IF((($B$28-$B$32-$B$39-$B$77-$B$38)*C20/100)&lt;0,0,($B$28-$B$32-$B$39-$B$77-$B$38)*C20/100)</f>
        <v>97.327173913043481</v>
      </c>
      <c r="C34" s="167">
        <f>IF(ISERROR(B34/SUM($B$32,$B$34,$B$35,$B$36,$B$38,$B$39)*100),0,B34/SUM($B$32,$B$34,$B$35,$B$36,$B$38,$B$39)*100)</f>
        <v>2.1965058432192164</v>
      </c>
      <c r="D34" s="233"/>
      <c r="G34" s="15"/>
    </row>
    <row r="35" spans="1:7">
      <c r="A35" s="171" t="s">
        <v>73</v>
      </c>
      <c r="B35" s="33">
        <f>IF((($B$28-$B$32-$B$39-$B$77-$B$38)*C21/100)&lt;0,0,($B$28-$B$32-$B$39-$B$77-$B$38)*C21/100)</f>
        <v>493.84528985507245</v>
      </c>
      <c r="C35" s="167">
        <f>IF(ISERROR(B35/SUM($B$32,$B$34,$B$35,$B$36,$B$38,$B$39)*100),0,B35/SUM($B$32,$B$34,$B$35,$B$36,$B$38,$B$39)*100)</f>
        <v>11.145233352630839</v>
      </c>
      <c r="D35" s="233"/>
      <c r="G35" s="15"/>
    </row>
    <row r="36" spans="1:7">
      <c r="A36" s="171" t="s">
        <v>74</v>
      </c>
      <c r="B36" s="33">
        <f>IF((($B$28-$B$32-$B$39-$B$77-$B$38)*C22/100)&lt;0,0,($B$28-$B$32-$B$39-$B$77-$B$38)*C22/100)</f>
        <v>403.72753623188413</v>
      </c>
      <c r="C36" s="167">
        <f>IF(ISERROR(B36/SUM($B$32,$B$34,$B$35,$B$36,$B$38,$B$39)*100),0,B36/SUM($B$32,$B$34,$B$35,$B$36,$B$38,$B$39)*100)</f>
        <v>9.1114316459463804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494.09999999999991</v>
      </c>
      <c r="C39" s="167">
        <f>IF(ISERROR(B39/SUM($B$32,$B$34,$B$35,$B$36,$B$38,$B$39)*100),0,B39/SUM($B$32,$B$34,$B$35,$B$36,$B$38,$B$39)*100)</f>
        <v>11.150981719702097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2942</v>
      </c>
      <c r="C44" s="34" t="s">
        <v>110</v>
      </c>
      <c r="D44" s="174"/>
    </row>
    <row r="45" spans="1:7">
      <c r="A45" s="171" t="s">
        <v>71</v>
      </c>
      <c r="B45" s="33" t="str">
        <f t="shared" si="0"/>
        <v>-</v>
      </c>
      <c r="C45" s="34" t="s">
        <v>110</v>
      </c>
      <c r="D45" s="174"/>
    </row>
    <row r="46" spans="1:7">
      <c r="A46" s="171" t="s">
        <v>72</v>
      </c>
      <c r="B46" s="33">
        <f t="shared" si="0"/>
        <v>97.327173913043481</v>
      </c>
      <c r="C46" s="34" t="s">
        <v>110</v>
      </c>
      <c r="D46" s="174"/>
    </row>
    <row r="47" spans="1:7">
      <c r="A47" s="171" t="s">
        <v>73</v>
      </c>
      <c r="B47" s="33">
        <f t="shared" si="0"/>
        <v>493.84528985507245</v>
      </c>
      <c r="C47" s="34" t="s">
        <v>110</v>
      </c>
      <c r="D47" s="174"/>
    </row>
    <row r="48" spans="1:7">
      <c r="A48" s="171" t="s">
        <v>74</v>
      </c>
      <c r="B48" s="33">
        <f t="shared" si="0"/>
        <v>403.72753623188413</v>
      </c>
      <c r="C48" s="33">
        <f>B48*10</f>
        <v>4037.2753623188414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494.09999999999991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8683.7241991230621</v>
      </c>
      <c r="C5" s="17">
        <f>IF(ISERROR('Eigen informatie GS &amp; warmtenet'!B60),0,'Eigen informatie GS &amp; warmtenet'!B60)</f>
        <v>0</v>
      </c>
      <c r="D5" s="30">
        <f>SUM(D6:D12)</f>
        <v>10747.552132702564</v>
      </c>
      <c r="E5" s="17">
        <f>SUM(E6:E12)</f>
        <v>31.593934571717902</v>
      </c>
      <c r="F5" s="17">
        <f>SUM(F6:F12)</f>
        <v>1527.9773894416444</v>
      </c>
      <c r="G5" s="18"/>
      <c r="H5" s="17"/>
      <c r="I5" s="17"/>
      <c r="J5" s="17">
        <f>SUM(J6:J12)</f>
        <v>1.4236601318987968E-2</v>
      </c>
      <c r="K5" s="17"/>
      <c r="L5" s="17"/>
      <c r="M5" s="17"/>
      <c r="N5" s="17">
        <f>SUM(N6:N12)</f>
        <v>521.09086439400232</v>
      </c>
      <c r="O5" s="17">
        <f>B38*B39*B40</f>
        <v>24.486303829205774</v>
      </c>
      <c r="P5" s="17">
        <f>B46*B47*B48/1000-B46*B47*B48/1000/B49</f>
        <v>157.61741491948504</v>
      </c>
      <c r="R5" s="32"/>
    </row>
    <row r="6" spans="1:18">
      <c r="A6" s="32" t="s">
        <v>53</v>
      </c>
      <c r="B6" s="37">
        <f>B26</f>
        <v>1667.8372181739301</v>
      </c>
      <c r="C6" s="33"/>
      <c r="D6" s="37">
        <f>IF(ISERROR(TER_kantoor_gas_kWh/1000),0,TER_kantoor_gas_kWh/1000)*0.903</f>
        <v>2283.9508736869361</v>
      </c>
      <c r="E6" s="33">
        <f>$C$26*'E Balans VL '!I12/100/3.6*1000000</f>
        <v>0.39957415361918291</v>
      </c>
      <c r="F6" s="33">
        <f>$C$26*('E Balans VL '!L12+'E Balans VL '!N12)/100/3.6*1000000</f>
        <v>158.15904447228979</v>
      </c>
      <c r="G6" s="34"/>
      <c r="H6" s="33"/>
      <c r="I6" s="33"/>
      <c r="J6" s="33">
        <f>$C$26*('E Balans VL '!D12+'E Balans VL '!E12)/100/3.6*1000000</f>
        <v>0</v>
      </c>
      <c r="K6" s="33"/>
      <c r="L6" s="33"/>
      <c r="M6" s="33"/>
      <c r="N6" s="33">
        <f>$C$26*'E Balans VL '!Y12/100/3.6*1000000</f>
        <v>0.84717504012739731</v>
      </c>
      <c r="O6" s="33"/>
      <c r="P6" s="33"/>
      <c r="R6" s="32"/>
    </row>
    <row r="7" spans="1:18">
      <c r="A7" s="32" t="s">
        <v>52</v>
      </c>
      <c r="B7" s="37">
        <f t="shared" ref="B7:B12" si="0">B27</f>
        <v>1906.03114481241</v>
      </c>
      <c r="C7" s="33"/>
      <c r="D7" s="37">
        <f>IF(ISERROR(TER_horeca_gas_kWh/1000),0,TER_horeca_gas_kWh/1000)*0.903</f>
        <v>2232.8417778442504</v>
      </c>
      <c r="E7" s="33">
        <f>$C$27*'E Balans VL '!I9/100/3.6*1000000</f>
        <v>0</v>
      </c>
      <c r="F7" s="33">
        <f>$C$27*('E Balans VL '!L9+'E Balans VL '!N9)/100/3.6*1000000</f>
        <v>156.2900733876032</v>
      </c>
      <c r="G7" s="34"/>
      <c r="H7" s="33"/>
      <c r="I7" s="33"/>
      <c r="J7" s="33">
        <f>$C$27*('E Balans VL '!D9+'E Balans VL '!E9)/100/3.6*1000000</f>
        <v>0</v>
      </c>
      <c r="K7" s="33"/>
      <c r="L7" s="33"/>
      <c r="M7" s="33"/>
      <c r="N7" s="33">
        <f>$C$27*'E Balans VL '!Y9/100/3.6*1000000</f>
        <v>0.58427512460060338</v>
      </c>
      <c r="O7" s="33"/>
      <c r="P7" s="33"/>
      <c r="R7" s="32"/>
    </row>
    <row r="8" spans="1:18">
      <c r="A8" s="6" t="s">
        <v>51</v>
      </c>
      <c r="B8" s="37">
        <f t="shared" si="0"/>
        <v>3001.3255316341397</v>
      </c>
      <c r="C8" s="33"/>
      <c r="D8" s="37">
        <f>IF(ISERROR(TER_handel_gas_kWh/1000),0,TER_handel_gas_kWh/1000)*0.903</f>
        <v>2169.6732527172812</v>
      </c>
      <c r="E8" s="33">
        <f>$C$28*'E Balans VL '!I13/100/3.6*1000000</f>
        <v>10.54801885991354</v>
      </c>
      <c r="F8" s="33">
        <f>$C$28*('E Balans VL '!L13+'E Balans VL '!N13)/100/3.6*1000000</f>
        <v>274.61589626688669</v>
      </c>
      <c r="G8" s="34"/>
      <c r="H8" s="33"/>
      <c r="I8" s="33"/>
      <c r="J8" s="33">
        <f>$C$28*('E Balans VL '!D13+'E Balans VL '!E13)/100/3.6*1000000</f>
        <v>0</v>
      </c>
      <c r="K8" s="33"/>
      <c r="L8" s="33"/>
      <c r="M8" s="33"/>
      <c r="N8" s="33">
        <f>$C$28*'E Balans VL '!Y13/100/3.6*1000000</f>
        <v>1.0869508956580403</v>
      </c>
      <c r="O8" s="33"/>
      <c r="P8" s="33"/>
      <c r="R8" s="32"/>
    </row>
    <row r="9" spans="1:18">
      <c r="A9" s="32" t="s">
        <v>50</v>
      </c>
      <c r="B9" s="37">
        <f t="shared" si="0"/>
        <v>480.66469070241601</v>
      </c>
      <c r="C9" s="33"/>
      <c r="D9" s="37">
        <f>IF(ISERROR(TER_gezond_gas_kWh/1000),0,TER_gezond_gas_kWh/1000)*0.903</f>
        <v>1356.0719942826595</v>
      </c>
      <c r="E9" s="33">
        <f>$C$29*'E Balans VL '!I10/100/3.6*1000000</f>
        <v>0</v>
      </c>
      <c r="F9" s="33">
        <f>$C$29*('E Balans VL '!L10+'E Balans VL '!N10)/100/3.6*1000000</f>
        <v>58.920664659260936</v>
      </c>
      <c r="G9" s="34"/>
      <c r="H9" s="33"/>
      <c r="I9" s="33"/>
      <c r="J9" s="33">
        <f>$C$29*('E Balans VL '!D10+'E Balans VL '!E10)/100/3.6*1000000</f>
        <v>0</v>
      </c>
      <c r="K9" s="33"/>
      <c r="L9" s="33"/>
      <c r="M9" s="33"/>
      <c r="N9" s="33">
        <f>$C$29*'E Balans VL '!Y10/100/3.6*1000000</f>
        <v>3.5445671404164316</v>
      </c>
      <c r="O9" s="33"/>
      <c r="P9" s="33"/>
      <c r="R9" s="32"/>
    </row>
    <row r="10" spans="1:18">
      <c r="A10" s="32" t="s">
        <v>49</v>
      </c>
      <c r="B10" s="37">
        <f t="shared" si="0"/>
        <v>1441.5614262494998</v>
      </c>
      <c r="C10" s="33"/>
      <c r="D10" s="37">
        <f>IF(ISERROR(TER_ander_gas_kWh/1000),0,TER_ander_gas_kWh/1000)*0.903</f>
        <v>1888.858560477744</v>
      </c>
      <c r="E10" s="33">
        <f>$C$30*'E Balans VL '!I14/100/3.6*1000000</f>
        <v>20.646341558185181</v>
      </c>
      <c r="F10" s="33">
        <f>$C$30*('E Balans VL '!L14+'E Balans VL '!N14)/100/3.6*1000000</f>
        <v>858.21053254376125</v>
      </c>
      <c r="G10" s="34"/>
      <c r="H10" s="33"/>
      <c r="I10" s="33"/>
      <c r="J10" s="33">
        <f>$C$30*('E Balans VL '!D14+'E Balans VL '!E14)/100/3.6*1000000</f>
        <v>1.4236601318987968E-2</v>
      </c>
      <c r="K10" s="33"/>
      <c r="L10" s="33"/>
      <c r="M10" s="33"/>
      <c r="N10" s="33">
        <f>$C$30*'E Balans VL '!Y14/100/3.6*1000000</f>
        <v>514.50328499459374</v>
      </c>
      <c r="O10" s="33"/>
      <c r="P10" s="33"/>
      <c r="R10" s="32"/>
    </row>
    <row r="11" spans="1:18">
      <c r="A11" s="32" t="s">
        <v>54</v>
      </c>
      <c r="B11" s="37">
        <f t="shared" si="0"/>
        <v>186.304187550667</v>
      </c>
      <c r="C11" s="33"/>
      <c r="D11" s="37">
        <f>IF(ISERROR(TER_onderwijs_gas_kWh/1000),0,TER_onderwijs_gas_kWh/1000)*0.903</f>
        <v>816.15567369369353</v>
      </c>
      <c r="E11" s="33">
        <f>$C$31*'E Balans VL '!I11/100/3.6*1000000</f>
        <v>0</v>
      </c>
      <c r="F11" s="33">
        <f>$C$31*('E Balans VL '!L11+'E Balans VL '!N11)/100/3.6*1000000</f>
        <v>21.781178111842522</v>
      </c>
      <c r="G11" s="34"/>
      <c r="H11" s="33"/>
      <c r="I11" s="33"/>
      <c r="J11" s="33">
        <f>$C$31*('E Balans VL '!D11+'E Balans VL '!E11)/100/3.6*1000000</f>
        <v>0</v>
      </c>
      <c r="K11" s="33"/>
      <c r="L11" s="33"/>
      <c r="M11" s="33"/>
      <c r="N11" s="33">
        <f>$C$31*'E Balans VL '!Y11/100/3.6*1000000</f>
        <v>0.52461119860603556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17</v>
      </c>
      <c r="C13" s="247">
        <f ca="1">'lokale energieproductie'!O38+'lokale energieproductie'!O31</f>
        <v>24.351351351351351</v>
      </c>
      <c r="D13" s="310">
        <f ca="1">('lokale energieproductie'!P31+'lokale energieproductie'!P38)*(-1)</f>
        <v>-45.945945945945944</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8700.7241991230621</v>
      </c>
      <c r="C16" s="21">
        <f t="shared" ca="1" si="1"/>
        <v>24.351351351351351</v>
      </c>
      <c r="D16" s="21">
        <f t="shared" ca="1" si="1"/>
        <v>10701.606186756617</v>
      </c>
      <c r="E16" s="21">
        <f t="shared" si="1"/>
        <v>31.593934571717902</v>
      </c>
      <c r="F16" s="21">
        <f t="shared" ca="1" si="1"/>
        <v>1527.9773894416444</v>
      </c>
      <c r="G16" s="21">
        <f t="shared" si="1"/>
        <v>0</v>
      </c>
      <c r="H16" s="21">
        <f t="shared" si="1"/>
        <v>0</v>
      </c>
      <c r="I16" s="21">
        <f t="shared" si="1"/>
        <v>0</v>
      </c>
      <c r="J16" s="21">
        <f t="shared" si="1"/>
        <v>1.4236601318987968E-2</v>
      </c>
      <c r="K16" s="21">
        <f t="shared" si="1"/>
        <v>0</v>
      </c>
      <c r="L16" s="21">
        <f t="shared" ca="1" si="1"/>
        <v>0</v>
      </c>
      <c r="M16" s="21">
        <f t="shared" si="1"/>
        <v>0</v>
      </c>
      <c r="N16" s="21">
        <f t="shared" ca="1" si="1"/>
        <v>521.09086439400232</v>
      </c>
      <c r="O16" s="21">
        <f>O5</f>
        <v>24.486303829205774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0.18227715935505789</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1585.9432913479629</v>
      </c>
      <c r="C20" s="23">
        <f t="shared" ref="C20:P20" ca="1" si="2">C16*C18</f>
        <v>5.4655255255255248</v>
      </c>
      <c r="D20" s="23">
        <f t="shared" ca="1" si="2"/>
        <v>2161.7244497248366</v>
      </c>
      <c r="E20" s="23">
        <f t="shared" si="2"/>
        <v>7.1718231477799641</v>
      </c>
      <c r="F20" s="23">
        <f t="shared" ca="1" si="2"/>
        <v>407.96996298091909</v>
      </c>
      <c r="G20" s="23">
        <f t="shared" si="2"/>
        <v>0</v>
      </c>
      <c r="H20" s="23">
        <f t="shared" si="2"/>
        <v>0</v>
      </c>
      <c r="I20" s="23">
        <f t="shared" si="2"/>
        <v>0</v>
      </c>
      <c r="J20" s="23">
        <f t="shared" si="2"/>
        <v>5.0397568669217404E-3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1667.8372181739301</v>
      </c>
      <c r="C26" s="39">
        <f>IF(ISERROR(B26*3.6/1000000/'E Balans VL '!Z12*100),0,B26*3.6/1000000/'E Balans VL '!Z12*100)</f>
        <v>4.7037426209074668E-2</v>
      </c>
      <c r="D26" s="237" t="s">
        <v>702</v>
      </c>
      <c r="F26" s="6"/>
    </row>
    <row r="27" spans="1:18">
      <c r="A27" s="231" t="s">
        <v>52</v>
      </c>
      <c r="B27" s="33">
        <f>IF(ISERROR(TER_horeca_ele_kWh/1000),0,TER_horeca_ele_kWh/1000)</f>
        <v>1906.03114481241</v>
      </c>
      <c r="C27" s="39">
        <f>IF(ISERROR(B27*3.6/1000000/'E Balans VL '!Z9*100),0,B27*3.6/1000000/'E Balans VL '!Z9*100)</f>
        <v>0.14130879441043528</v>
      </c>
      <c r="D27" s="237" t="s">
        <v>702</v>
      </c>
      <c r="F27" s="6"/>
    </row>
    <row r="28" spans="1:18">
      <c r="A28" s="171" t="s">
        <v>51</v>
      </c>
      <c r="B28" s="33">
        <f>IF(ISERROR(TER_handel_ele_kWh/1000),0,TER_handel_ele_kWh/1000)</f>
        <v>3001.3255316341397</v>
      </c>
      <c r="C28" s="39">
        <f>IF(ISERROR(B28*3.6/1000000/'E Balans VL '!Z13*100),0,B28*3.6/1000000/'E Balans VL '!Z13*100)</f>
        <v>8.9912577009882158E-2</v>
      </c>
      <c r="D28" s="237" t="s">
        <v>702</v>
      </c>
      <c r="F28" s="6"/>
    </row>
    <row r="29" spans="1:18">
      <c r="A29" s="231" t="s">
        <v>50</v>
      </c>
      <c r="B29" s="33">
        <f>IF(ISERROR(TER_gezond_ele_kWh/1000),0,TER_gezond_ele_kWh/1000)</f>
        <v>480.66469070241601</v>
      </c>
      <c r="C29" s="39">
        <f>IF(ISERROR(B29*3.6/1000000/'E Balans VL '!Z10*100),0,B29*3.6/1000000/'E Balans VL '!Z10*100)</f>
        <v>4.752831301227288E-2</v>
      </c>
      <c r="D29" s="237" t="s">
        <v>702</v>
      </c>
      <c r="F29" s="6"/>
    </row>
    <row r="30" spans="1:18">
      <c r="A30" s="231" t="s">
        <v>49</v>
      </c>
      <c r="B30" s="33">
        <f>IF(ISERROR(TER_ander_ele_kWh/1000),0,TER_ander_ele_kWh/1000)</f>
        <v>1441.5614262494998</v>
      </c>
      <c r="C30" s="39">
        <f>IF(ISERROR(B30*3.6/1000000/'E Balans VL '!Z14*100),0,B30*3.6/1000000/'E Balans VL '!Z14*100)</f>
        <v>5.8306899599950723E-2</v>
      </c>
      <c r="D30" s="237" t="s">
        <v>702</v>
      </c>
      <c r="F30" s="6"/>
    </row>
    <row r="31" spans="1:18">
      <c r="A31" s="231" t="s">
        <v>54</v>
      </c>
      <c r="B31" s="33">
        <f>IF(ISERROR(TER_onderwijs_ele_kWh/1000),0,TER_onderwijs_ele_kWh/1000)</f>
        <v>186.304187550667</v>
      </c>
      <c r="C31" s="39">
        <f>IF(ISERROR(B31*3.6/1000000/'E Balans VL '!Z11*100),0,B31*3.6/1000000/'E Balans VL '!Z11*100)</f>
        <v>5.1185908266003194E-2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5</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2722.9290008355488</v>
      </c>
      <c r="C5" s="17">
        <f>IF(ISERROR('Eigen informatie GS &amp; warmtenet'!B61),0,'Eigen informatie GS &amp; warmtenet'!B61)</f>
        <v>0</v>
      </c>
      <c r="D5" s="30">
        <f>SUM(D6:D15)</f>
        <v>2064.2991026620166</v>
      </c>
      <c r="E5" s="17">
        <f>SUM(E6:E15)</f>
        <v>9.0161651807702281</v>
      </c>
      <c r="F5" s="17">
        <f>SUM(F6:F15)</f>
        <v>1031.8805063902064</v>
      </c>
      <c r="G5" s="18"/>
      <c r="H5" s="17"/>
      <c r="I5" s="17"/>
      <c r="J5" s="17">
        <f>SUM(J6:J15)</f>
        <v>0.56422452561416747</v>
      </c>
      <c r="K5" s="17"/>
      <c r="L5" s="17"/>
      <c r="M5" s="17"/>
      <c r="N5" s="17">
        <f>SUM(N6:N15)</f>
        <v>89.371465984355808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623.43777843236091</v>
      </c>
      <c r="C8" s="33"/>
      <c r="D8" s="37">
        <f>IF( ISERROR(IND_metaal_Gas_kWH/1000),0,IND_metaal_Gas_kWH/1000)*0.903</f>
        <v>185.83691754171326</v>
      </c>
      <c r="E8" s="33">
        <f>C30*'E Balans VL '!I18/100/3.6*1000000</f>
        <v>3.143482055859228</v>
      </c>
      <c r="F8" s="33">
        <f>C30*'E Balans VL '!L18/100/3.6*1000000+C30*'E Balans VL '!N18/100/3.6*1000000</f>
        <v>42.594542987067648</v>
      </c>
      <c r="G8" s="34"/>
      <c r="H8" s="33"/>
      <c r="I8" s="33"/>
      <c r="J8" s="40">
        <f>C30*'E Balans VL '!D18/100/3.6*1000000+C30*'E Balans VL '!E18/100/3.6*1000000</f>
        <v>0.55273077050787756</v>
      </c>
      <c r="K8" s="33"/>
      <c r="L8" s="33"/>
      <c r="M8" s="33"/>
      <c r="N8" s="33">
        <f>C30*'E Balans VL '!Y18/100/3.6*1000000</f>
        <v>8.2854917751745862</v>
      </c>
      <c r="O8" s="33"/>
      <c r="P8" s="33"/>
      <c r="R8" s="32"/>
    </row>
    <row r="9" spans="1:18">
      <c r="A9" s="6" t="s">
        <v>32</v>
      </c>
      <c r="B9" s="37">
        <f t="shared" si="0"/>
        <v>1603.8561094752599</v>
      </c>
      <c r="C9" s="33"/>
      <c r="D9" s="37">
        <f>IF( ISERROR(IND_andere_gas_kWh/1000),0,IND_andere_gas_kWh/1000)*0.903</f>
        <v>1468.0520450238853</v>
      </c>
      <c r="E9" s="33">
        <f>C31*'E Balans VL '!I19/100/3.6*1000000</f>
        <v>5.0557335177205136</v>
      </c>
      <c r="F9" s="33">
        <f>C31*'E Balans VL '!L19/100/3.6*1000000+C31*'E Balans VL '!N19/100/3.6*1000000</f>
        <v>981.81325409950966</v>
      </c>
      <c r="G9" s="34"/>
      <c r="H9" s="33"/>
      <c r="I9" s="33"/>
      <c r="J9" s="40">
        <f>C31*'E Balans VL '!D19/100/3.6*1000000+C31*'E Balans VL '!E19/100/3.6*1000000</f>
        <v>0</v>
      </c>
      <c r="K9" s="33"/>
      <c r="L9" s="33"/>
      <c r="M9" s="33"/>
      <c r="N9" s="33">
        <f>C31*'E Balans VL '!Y19/100/3.6*1000000</f>
        <v>67.251864419585175</v>
      </c>
      <c r="O9" s="33"/>
      <c r="P9" s="33"/>
      <c r="R9" s="32"/>
    </row>
    <row r="10" spans="1:18">
      <c r="A10" s="6" t="s">
        <v>40</v>
      </c>
      <c r="B10" s="37">
        <f t="shared" si="0"/>
        <v>435.38419777983103</v>
      </c>
      <c r="C10" s="33"/>
      <c r="D10" s="37">
        <f>IF( ISERROR(IND_voed_gas_kWh/1000),0,IND_voed_gas_kWh/1000)*0.903</f>
        <v>315.18860822721575</v>
      </c>
      <c r="E10" s="33">
        <f>C32*'E Balans VL '!I20/100/3.6*1000000</f>
        <v>0.69388013656722503</v>
      </c>
      <c r="F10" s="33">
        <f>C32*'E Balans VL '!L20/100/3.6*1000000+C32*'E Balans VL '!N20/100/3.6*1000000</f>
        <v>7.0739355458148108</v>
      </c>
      <c r="G10" s="34"/>
      <c r="H10" s="33"/>
      <c r="I10" s="33"/>
      <c r="J10" s="40">
        <f>C32*'E Balans VL '!D20/100/3.6*1000000+C32*'E Balans VL '!E20/100/3.6*1000000</f>
        <v>0</v>
      </c>
      <c r="K10" s="33"/>
      <c r="L10" s="33"/>
      <c r="M10" s="33"/>
      <c r="N10" s="33">
        <f>C32*'E Balans VL '!Y20/100/3.6*1000000</f>
        <v>13.751607436499464</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55.368327041583001</v>
      </c>
      <c r="C13" s="33"/>
      <c r="D13" s="37">
        <f>IF( ISERROR(IND_papier_gas_kWh/1000),0,IND_papier_gas_kWh/1000)*0.903</f>
        <v>65.560585815031359</v>
      </c>
      <c r="E13" s="33">
        <f>C35*'E Balans VL '!I23/100/3.6*1000000</f>
        <v>0</v>
      </c>
      <c r="F13" s="33">
        <f>C35*'E Balans VL '!L23/100/3.6*1000000+C35*'E Balans VL '!N23/100/3.6*1000000</f>
        <v>2.3988133835101842E-3</v>
      </c>
      <c r="G13" s="34"/>
      <c r="H13" s="33"/>
      <c r="I13" s="33"/>
      <c r="J13" s="40">
        <f>C35*'E Balans VL '!D23/100/3.6*1000000+C35*'E Balans VL '!E23/100/3.6*1000000</f>
        <v>1.5256614760563237E-3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4.8825881065135999</v>
      </c>
      <c r="C15" s="33"/>
      <c r="D15" s="37">
        <f>IF( ISERROR(IND_rest_gas_kWh/1000),0,IND_rest_gas_kWh/1000)*0.903</f>
        <v>29.660946054170914</v>
      </c>
      <c r="E15" s="33">
        <f>C37*'E Balans VL '!I15/100/3.6*1000000</f>
        <v>0.12306947062325961</v>
      </c>
      <c r="F15" s="33">
        <f>C37*'E Balans VL '!L15/100/3.6*1000000+C37*'E Balans VL '!N15/100/3.6*1000000</f>
        <v>0.39637494443084703</v>
      </c>
      <c r="G15" s="34"/>
      <c r="H15" s="33"/>
      <c r="I15" s="33"/>
      <c r="J15" s="40">
        <f>C37*'E Balans VL '!D15/100/3.6*1000000+C37*'E Balans VL '!E15/100/3.6*1000000</f>
        <v>9.968093630233571E-3</v>
      </c>
      <c r="K15" s="33"/>
      <c r="L15" s="33"/>
      <c r="M15" s="33"/>
      <c r="N15" s="33">
        <f>C37*'E Balans VL '!Y15/100/3.6*1000000</f>
        <v>8.2502353096568184E-2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2722.9290008355488</v>
      </c>
      <c r="C18" s="21">
        <f>C5+C16</f>
        <v>0</v>
      </c>
      <c r="D18" s="21">
        <f>MAX((D5+D16),0)</f>
        <v>2064.2991026620166</v>
      </c>
      <c r="E18" s="21">
        <f>MAX((E5+E16),0)</f>
        <v>9.0161651807702281</v>
      </c>
      <c r="F18" s="21">
        <f>MAX((F5+F16),0)</f>
        <v>1031.8805063902064</v>
      </c>
      <c r="G18" s="21"/>
      <c r="H18" s="21"/>
      <c r="I18" s="21"/>
      <c r="J18" s="21">
        <f>MAX((J5+J16),0)</f>
        <v>0.56422452561416747</v>
      </c>
      <c r="K18" s="21"/>
      <c r="L18" s="21">
        <f>MAX((L5+L16),0)</f>
        <v>0</v>
      </c>
      <c r="M18" s="21"/>
      <c r="N18" s="21">
        <f>MAX((N5+N16),0)</f>
        <v>89.371465984355808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0.18227715935505789</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496.32776339780992</v>
      </c>
      <c r="C22" s="23">
        <f ca="1">C18*C20</f>
        <v>0</v>
      </c>
      <c r="D22" s="23">
        <f>D18*D20</f>
        <v>416.98841873772739</v>
      </c>
      <c r="E22" s="23">
        <f>E18*E20</f>
        <v>2.0466694960348417</v>
      </c>
      <c r="F22" s="23">
        <f>F18*F20</f>
        <v>275.51209520618511</v>
      </c>
      <c r="G22" s="23"/>
      <c r="H22" s="23"/>
      <c r="I22" s="23"/>
      <c r="J22" s="23">
        <f>J18*J20</f>
        <v>0.19973548206741529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623.43777843236091</v>
      </c>
      <c r="C30" s="39">
        <f>IF(ISERROR(B30*3.6/1000000/'E Balans VL '!Z18*100),0,B30*3.6/1000000/'E Balans VL '!Z18*100)</f>
        <v>3.0946046249274543E-2</v>
      </c>
      <c r="D30" s="237" t="s">
        <v>702</v>
      </c>
    </row>
    <row r="31" spans="1:18">
      <c r="A31" s="6" t="s">
        <v>32</v>
      </c>
      <c r="B31" s="37">
        <f>IF( ISERROR(IND_ander_ele_kWh/1000),0,IND_ander_ele_kWh/1000)</f>
        <v>1603.8561094752599</v>
      </c>
      <c r="C31" s="39">
        <f>IF(ISERROR(B31*3.6/1000000/'E Balans VL '!Z19*100),0,B31*3.6/1000000/'E Balans VL '!Z19*100)</f>
        <v>5.4121925027554869E-2</v>
      </c>
      <c r="D31" s="237" t="s">
        <v>702</v>
      </c>
    </row>
    <row r="32" spans="1:18">
      <c r="A32" s="171" t="s">
        <v>40</v>
      </c>
      <c r="B32" s="37">
        <f>IF( ISERROR(IND_voed_ele_kWh/1000),0,IND_voed_ele_kWh/1000)</f>
        <v>435.38419777983103</v>
      </c>
      <c r="C32" s="39">
        <f>IF(ISERROR(B32*3.6/1000000/'E Balans VL '!Z20*100),0,B32*3.6/1000000/'E Balans VL '!Z20*100)</f>
        <v>1.0224698810870791E-2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55.368327041583001</v>
      </c>
      <c r="C35" s="39">
        <f>IF(ISERROR(B35*3.6/1000000/'E Balans VL '!Z22*100),0,B35*3.6/1000000/'E Balans VL '!Z22*100)</f>
        <v>7.855146556976696E-3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4.8825881065135999</v>
      </c>
      <c r="C37" s="39">
        <f>IF(ISERROR(B37*3.6/1000000/'E Balans VL '!Z15*100),0,B37*3.6/1000000/'E Balans VL '!Z15*100)</f>
        <v>1.8297641513862988E-5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2137.0591657536102</v>
      </c>
      <c r="C5" s="17">
        <f>'Eigen informatie GS &amp; warmtenet'!B62</f>
        <v>0</v>
      </c>
      <c r="D5" s="30">
        <f>IF(ISERROR(SUM(LB_lb_gas_kWh,LB_rest_gas_kWh)/1000),0,SUM(LB_lb_gas_kWh,LB_rest_gas_kWh)/1000)*0.903</f>
        <v>417.8744379095188</v>
      </c>
      <c r="E5" s="17">
        <f>B17*'E Balans VL '!I25/3.6*1000000/100</f>
        <v>79.697473088632591</v>
      </c>
      <c r="F5" s="17">
        <f>B17*('E Balans VL '!L25/3.6*1000000+'E Balans VL '!N25/3.6*1000000)/100</f>
        <v>6933.4457258720659</v>
      </c>
      <c r="G5" s="18"/>
      <c r="H5" s="17"/>
      <c r="I5" s="17"/>
      <c r="J5" s="17">
        <f>('E Balans VL '!D25+'E Balans VL '!E25)/3.6*1000000*landbouw!B17/100</f>
        <v>560.98858147296278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2137.0591657536102</v>
      </c>
      <c r="C8" s="21">
        <f>C5+C6</f>
        <v>0</v>
      </c>
      <c r="D8" s="21">
        <f>MAX((D5+D6),0)</f>
        <v>417.8744379095188</v>
      </c>
      <c r="E8" s="21">
        <f>MAX((E5+E6),0)</f>
        <v>79.697473088632591</v>
      </c>
      <c r="F8" s="21">
        <f>MAX((F5+F6),0)</f>
        <v>6933.4457258720659</v>
      </c>
      <c r="G8" s="21"/>
      <c r="H8" s="21"/>
      <c r="I8" s="21"/>
      <c r="J8" s="21">
        <f>MAX((J5+J6),0)</f>
        <v>560.98858147296278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0.18227715935505789</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389.53707410725787</v>
      </c>
      <c r="C12" s="23">
        <f ca="1">C8*C10</f>
        <v>0</v>
      </c>
      <c r="D12" s="23">
        <f>D8*D10</f>
        <v>84.410636457722802</v>
      </c>
      <c r="E12" s="23">
        <f>E8*E10</f>
        <v>18.091326391119598</v>
      </c>
      <c r="F12" s="23">
        <f>F8*F10</f>
        <v>1851.2300088078416</v>
      </c>
      <c r="G12" s="23"/>
      <c r="H12" s="23"/>
      <c r="I12" s="23"/>
      <c r="J12" s="23">
        <f>J8*J10</f>
        <v>198.58995784142883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0.2935194997211415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488.4926961701006</v>
      </c>
      <c r="C26" s="247">
        <f>B26*'GWP N2O_CH4'!B5</f>
        <v>10258.346619572112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224.5357820796155</v>
      </c>
      <c r="C27" s="247">
        <f>B27*'GWP N2O_CH4'!B5</f>
        <v>4715.2514236719253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14.345029142947805</v>
      </c>
      <c r="C28" s="247">
        <f>B28*'GWP N2O_CH4'!B4</f>
        <v>4446.9590343138198</v>
      </c>
      <c r="D28" s="50"/>
    </row>
    <row r="29" spans="1:4">
      <c r="A29" s="41" t="s">
        <v>276</v>
      </c>
      <c r="B29" s="247">
        <f>B34*'ha_N2O bodem landbouw'!B4</f>
        <v>18.021385447288978</v>
      </c>
      <c r="C29" s="247">
        <f>B29*'GWP N2O_CH4'!B4</f>
        <v>5586.6294886595833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4.1071252091237432E-3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2.9312246731437794E-4</v>
      </c>
      <c r="C5" s="440" t="s">
        <v>210</v>
      </c>
      <c r="D5" s="425">
        <f>SUM(D6:D11)</f>
        <v>1.1489761817341118E-3</v>
      </c>
      <c r="E5" s="425">
        <f>SUM(E6:E11)</f>
        <v>6.5040325750836871E-4</v>
      </c>
      <c r="F5" s="438" t="s">
        <v>210</v>
      </c>
      <c r="G5" s="425">
        <f>SUM(G6:G11)</f>
        <v>0.3536134900444633</v>
      </c>
      <c r="H5" s="425">
        <f>SUM(H6:H11)</f>
        <v>7.3992458438209743E-2</v>
      </c>
      <c r="I5" s="440" t="s">
        <v>210</v>
      </c>
      <c r="J5" s="440" t="s">
        <v>210</v>
      </c>
      <c r="K5" s="440" t="s">
        <v>210</v>
      </c>
      <c r="L5" s="440" t="s">
        <v>210</v>
      </c>
      <c r="M5" s="425">
        <f>SUM(M6:M11)</f>
        <v>2.5052595319102047E-2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1.9187323315155783E-4</v>
      </c>
      <c r="C6" s="426"/>
      <c r="D6" s="893">
        <f>vkm_GW_PW*SUMIFS(TableVerdeelsleutelVkm[CNG],TableVerdeelsleutelVkm[Voertuigtype],"Lichte voertuigen")*SUMIFS(TableECFTransport[EnergieConsumptieFactor (PJ per km)],TableECFTransport[Index],CONCATENATE($A6,"_CNG_CNG"))</f>
        <v>6.9298756421303463E-4</v>
      </c>
      <c r="E6" s="893">
        <f>vkm_GW_PW*SUMIFS(TableVerdeelsleutelVkm[LPG],TableVerdeelsleutelVkm[Voertuigtype],"Lichte voertuigen")*SUMIFS(TableECFTransport[EnergieConsumptieFactor (PJ per km)],TableECFTransport[Index],CONCATENATE($A6,"_LPG_LPG"))</f>
        <v>3.766209530750247E-4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0.11720212010633466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4.4356296564221298E-2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9.6821699738149011E-3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6.0352409483043656E-2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6.3536258912604656E-7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3.3979351862245101E-3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3.5583754899990203E-5</v>
      </c>
      <c r="C8" s="426"/>
      <c r="D8" s="428">
        <f>vkm_NGW_PW*SUMIFS(TableVerdeelsleutelVkm[CNG],TableVerdeelsleutelVkm[Voertuigtype],"Lichte voertuigen")*SUMIFS(TableECFTransport[EnergieConsumptieFactor (PJ per km)],TableECFTransport[Index],CONCATENATE($A8,"_CNG_CNG"))</f>
        <v>2.17845817857106E-4</v>
      </c>
      <c r="E8" s="428">
        <f>vkm_NGW_PW*SUMIFS(TableVerdeelsleutelVkm[LPG],TableVerdeelsleutelVkm[Voertuigtype],"Lichte voertuigen")*SUMIFS(TableECFTransport[EnergieConsumptieFactor (PJ per km)],TableECFTransport[Index],CONCATENATE($A8,"_LPG_LPG"))</f>
        <v>1.1250556360161835E-4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3.2581638986512472E-2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1.3731448463505136E-2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2.7889661375239999E-3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5.9151226693353711E-3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9.0446901312045602E-8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3.3303263007379829E-4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6.5665479262829905E-5</v>
      </c>
      <c r="C10" s="426"/>
      <c r="D10" s="428">
        <f>vkm_SW_PW*SUMIFS(TableVerdeelsleutelVkm[CNG],TableVerdeelsleutelVkm[Voertuigtype],"Lichte voertuigen")*SUMIFS(TableECFTransport[EnergieConsumptieFactor (PJ per km)],TableECFTransport[Index],CONCATENATE($A10,"_CNG_CNG"))</f>
        <v>2.3814279966397121E-4</v>
      </c>
      <c r="E10" s="428">
        <f>vkm_SW_PW*SUMIFS(TableVerdeelsleutelVkm[LPG],TableVerdeelsleutelVkm[Voertuigtype],"Lichte voertuigen")*SUMIFS(TableECFTransport[EnergieConsumptieFactor (PJ per km)],TableECFTransport[Index],CONCATENATE($A10,"_LPG_LPG"))</f>
        <v>1.612767408317256E-4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4.4599615542874498E-2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1.5902951174759351E-2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3.6165483279111685E-3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9.2962583256362655E-2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1.0364262335172944E-6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5.2339430635536715E-3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81.422907587327202</v>
      </c>
      <c r="C14" s="21"/>
      <c r="D14" s="21">
        <f t="shared" ref="D14:M14" si="0">((D5)*10^9/3600)+D12</f>
        <v>319.16005048169774</v>
      </c>
      <c r="E14" s="21">
        <f t="shared" si="0"/>
        <v>180.66757153010241</v>
      </c>
      <c r="F14" s="21"/>
      <c r="G14" s="21">
        <f t="shared" si="0"/>
        <v>98225.969456795356</v>
      </c>
      <c r="H14" s="21">
        <f t="shared" si="0"/>
        <v>20553.460677280484</v>
      </c>
      <c r="I14" s="21"/>
      <c r="J14" s="21"/>
      <c r="K14" s="21"/>
      <c r="L14" s="21"/>
      <c r="M14" s="21">
        <f t="shared" si="0"/>
        <v>6959.054255306125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0.18227715935505789</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14.841536301447393</v>
      </c>
      <c r="C18" s="23"/>
      <c r="D18" s="23">
        <f t="shared" ref="D18:M18" si="1">D14*D16</f>
        <v>64.470330197302943</v>
      </c>
      <c r="E18" s="23">
        <f t="shared" si="1"/>
        <v>41.011538737333247</v>
      </c>
      <c r="F18" s="23"/>
      <c r="G18" s="23">
        <f t="shared" si="1"/>
        <v>26226.33384496436</v>
      </c>
      <c r="H18" s="23">
        <f t="shared" si="1"/>
        <v>5117.8117086428401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2.1706583389220729E-3</v>
      </c>
      <c r="H50" s="321">
        <f t="shared" si="2"/>
        <v>0</v>
      </c>
      <c r="I50" s="321">
        <f t="shared" si="2"/>
        <v>0</v>
      </c>
      <c r="J50" s="321">
        <f t="shared" si="2"/>
        <v>0</v>
      </c>
      <c r="K50" s="321">
        <f t="shared" si="2"/>
        <v>0</v>
      </c>
      <c r="L50" s="321">
        <f t="shared" si="2"/>
        <v>0</v>
      </c>
      <c r="M50" s="321">
        <f t="shared" si="2"/>
        <v>1.1779228464625971E-4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2.1706583389220729E-3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1.1779228464625971E-4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602.96064970057591</v>
      </c>
      <c r="H54" s="21">
        <f t="shared" si="3"/>
        <v>0</v>
      </c>
      <c r="I54" s="21">
        <f t="shared" si="3"/>
        <v>0</v>
      </c>
      <c r="J54" s="21">
        <f t="shared" si="3"/>
        <v>0</v>
      </c>
      <c r="K54" s="21">
        <f t="shared" si="3"/>
        <v>0</v>
      </c>
      <c r="L54" s="21">
        <f t="shared" si="3"/>
        <v>0</v>
      </c>
      <c r="M54" s="21">
        <f t="shared" si="3"/>
        <v>32.720079068405475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0.18227715935505789</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160.99049347005379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9251.0211991230626</v>
      </c>
      <c r="D10" s="689">
        <f ca="1">tertiair!C16</f>
        <v>24.351351351351351</v>
      </c>
      <c r="E10" s="689">
        <f ca="1">tertiair!D16</f>
        <v>10701.606186756617</v>
      </c>
      <c r="F10" s="689">
        <f>tertiair!E16</f>
        <v>31.593934571717902</v>
      </c>
      <c r="G10" s="689">
        <f ca="1">tertiair!F16</f>
        <v>1527.9773894416444</v>
      </c>
      <c r="H10" s="689">
        <f>tertiair!G16</f>
        <v>0</v>
      </c>
      <c r="I10" s="689">
        <f>tertiair!H16</f>
        <v>0</v>
      </c>
      <c r="J10" s="689">
        <f>tertiair!I16</f>
        <v>0</v>
      </c>
      <c r="K10" s="689">
        <f>tertiair!J16</f>
        <v>1.4236601318987968E-2</v>
      </c>
      <c r="L10" s="689">
        <f>tertiair!K16</f>
        <v>0</v>
      </c>
      <c r="M10" s="689">
        <f ca="1">tertiair!L16</f>
        <v>0</v>
      </c>
      <c r="N10" s="689">
        <f>tertiair!M16</f>
        <v>0</v>
      </c>
      <c r="O10" s="689">
        <f ca="1">tertiair!N16</f>
        <v>521.09086439400232</v>
      </c>
      <c r="P10" s="689">
        <f>tertiair!O16</f>
        <v>24.486303829205774</v>
      </c>
      <c r="Q10" s="690">
        <f>tertiair!P16</f>
        <v>157.61741491948504</v>
      </c>
      <c r="R10" s="692">
        <f ca="1">SUM(C10:Q10)</f>
        <v>22239.758880988404</v>
      </c>
      <c r="S10" s="67"/>
    </row>
    <row r="11" spans="1:19" s="451" customFormat="1">
      <c r="A11" s="811" t="s">
        <v>224</v>
      </c>
      <c r="B11" s="816"/>
      <c r="C11" s="689">
        <f>huishoudens!B8</f>
        <v>20175.808538394616</v>
      </c>
      <c r="D11" s="689">
        <f>huishoudens!C8</f>
        <v>0</v>
      </c>
      <c r="E11" s="689">
        <f>huishoudens!D8</f>
        <v>45645.768560030985</v>
      </c>
      <c r="F11" s="689">
        <f>huishoudens!E8</f>
        <v>3499.9735245610141</v>
      </c>
      <c r="G11" s="689">
        <f>huishoudens!F8</f>
        <v>10247.690294149539</v>
      </c>
      <c r="H11" s="689">
        <f>huishoudens!G8</f>
        <v>0</v>
      </c>
      <c r="I11" s="689">
        <f>huishoudens!H8</f>
        <v>0</v>
      </c>
      <c r="J11" s="689">
        <f>huishoudens!I8</f>
        <v>0</v>
      </c>
      <c r="K11" s="689">
        <f>huishoudens!J8</f>
        <v>0</v>
      </c>
      <c r="L11" s="689">
        <f>huishoudens!K8</f>
        <v>0</v>
      </c>
      <c r="M11" s="689">
        <f>huishoudens!L8</f>
        <v>0</v>
      </c>
      <c r="N11" s="689">
        <f>huishoudens!M8</f>
        <v>0</v>
      </c>
      <c r="O11" s="689">
        <f>huishoudens!N8</f>
        <v>27212.5888216354</v>
      </c>
      <c r="P11" s="689">
        <f>huishoudens!O8</f>
        <v>466.23018155595247</v>
      </c>
      <c r="Q11" s="690">
        <f>huishoudens!P8</f>
        <v>979.65821561470705</v>
      </c>
      <c r="R11" s="692">
        <f>SUM(C11:Q11)</f>
        <v>108227.7181359422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2722.9290008355488</v>
      </c>
      <c r="D13" s="689">
        <f>industrie!C18</f>
        <v>0</v>
      </c>
      <c r="E13" s="689">
        <f>industrie!D18</f>
        <v>2064.2991026620166</v>
      </c>
      <c r="F13" s="689">
        <f>industrie!E18</f>
        <v>9.0161651807702281</v>
      </c>
      <c r="G13" s="689">
        <f>industrie!F18</f>
        <v>1031.8805063902064</v>
      </c>
      <c r="H13" s="689">
        <f>industrie!G18</f>
        <v>0</v>
      </c>
      <c r="I13" s="689">
        <f>industrie!H18</f>
        <v>0</v>
      </c>
      <c r="J13" s="689">
        <f>industrie!I18</f>
        <v>0</v>
      </c>
      <c r="K13" s="689">
        <f>industrie!J18</f>
        <v>0.56422452561416747</v>
      </c>
      <c r="L13" s="689">
        <f>industrie!K18</f>
        <v>0</v>
      </c>
      <c r="M13" s="689">
        <f>industrie!L18</f>
        <v>0</v>
      </c>
      <c r="N13" s="689">
        <f>industrie!M18</f>
        <v>0</v>
      </c>
      <c r="O13" s="689">
        <f>industrie!N18</f>
        <v>89.371465984355808</v>
      </c>
      <c r="P13" s="689">
        <f>industrie!O18</f>
        <v>0</v>
      </c>
      <c r="Q13" s="690">
        <f>industrie!P18</f>
        <v>0</v>
      </c>
      <c r="R13" s="692">
        <f>SUM(C13:Q13)</f>
        <v>5918.0604655785119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32149.758738353226</v>
      </c>
      <c r="D16" s="725">
        <f t="shared" ref="D16:R16" ca="1" si="0">SUM(D9:D15)</f>
        <v>24.351351351351351</v>
      </c>
      <c r="E16" s="725">
        <f t="shared" ca="1" si="0"/>
        <v>58411.673849449617</v>
      </c>
      <c r="F16" s="725">
        <f t="shared" si="0"/>
        <v>3540.5836243135022</v>
      </c>
      <c r="G16" s="725">
        <f t="shared" ca="1" si="0"/>
        <v>12807.548189981389</v>
      </c>
      <c r="H16" s="725">
        <f t="shared" si="0"/>
        <v>0</v>
      </c>
      <c r="I16" s="725">
        <f t="shared" si="0"/>
        <v>0</v>
      </c>
      <c r="J16" s="725">
        <f t="shared" si="0"/>
        <v>0</v>
      </c>
      <c r="K16" s="725">
        <f t="shared" si="0"/>
        <v>0.57846112693315543</v>
      </c>
      <c r="L16" s="725">
        <f t="shared" si="0"/>
        <v>0</v>
      </c>
      <c r="M16" s="725">
        <f t="shared" ca="1" si="0"/>
        <v>0</v>
      </c>
      <c r="N16" s="725">
        <f t="shared" si="0"/>
        <v>0</v>
      </c>
      <c r="O16" s="725">
        <f t="shared" ca="1" si="0"/>
        <v>27823.051152013759</v>
      </c>
      <c r="P16" s="725">
        <f t="shared" si="0"/>
        <v>490.71648538515825</v>
      </c>
      <c r="Q16" s="725">
        <f t="shared" si="0"/>
        <v>1137.275630534192</v>
      </c>
      <c r="R16" s="725">
        <f t="shared" ca="1" si="0"/>
        <v>136385.5374825091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602.96064970057591</v>
      </c>
      <c r="I19" s="689">
        <f>transport!H54</f>
        <v>0</v>
      </c>
      <c r="J19" s="689">
        <f>transport!I54</f>
        <v>0</v>
      </c>
      <c r="K19" s="689">
        <f>transport!J54</f>
        <v>0</v>
      </c>
      <c r="L19" s="689">
        <f>transport!K54</f>
        <v>0</v>
      </c>
      <c r="M19" s="689">
        <f>transport!L54</f>
        <v>0</v>
      </c>
      <c r="N19" s="689">
        <f>transport!M54</f>
        <v>32.720079068405475</v>
      </c>
      <c r="O19" s="689">
        <f>transport!N54</f>
        <v>0</v>
      </c>
      <c r="P19" s="689">
        <f>transport!O54</f>
        <v>0</v>
      </c>
      <c r="Q19" s="690">
        <f>transport!P54</f>
        <v>0</v>
      </c>
      <c r="R19" s="692">
        <f>SUM(C19:Q19)</f>
        <v>635.68072876898134</v>
      </c>
      <c r="S19" s="67"/>
    </row>
    <row r="20" spans="1:19" s="451" customFormat="1">
      <c r="A20" s="811" t="s">
        <v>306</v>
      </c>
      <c r="B20" s="816"/>
      <c r="C20" s="689">
        <f>transport!B14</f>
        <v>81.422907587327202</v>
      </c>
      <c r="D20" s="689">
        <f>transport!C14</f>
        <v>0</v>
      </c>
      <c r="E20" s="689">
        <f>transport!D14</f>
        <v>319.16005048169774</v>
      </c>
      <c r="F20" s="689">
        <f>transport!E14</f>
        <v>180.66757153010241</v>
      </c>
      <c r="G20" s="689">
        <f>transport!F14</f>
        <v>0</v>
      </c>
      <c r="H20" s="689">
        <f>transport!G14</f>
        <v>98225.969456795356</v>
      </c>
      <c r="I20" s="689">
        <f>transport!H14</f>
        <v>20553.460677280484</v>
      </c>
      <c r="J20" s="689">
        <f>transport!I14</f>
        <v>0</v>
      </c>
      <c r="K20" s="689">
        <f>transport!J14</f>
        <v>0</v>
      </c>
      <c r="L20" s="689">
        <f>transport!K14</f>
        <v>0</v>
      </c>
      <c r="M20" s="689">
        <f>transport!L14</f>
        <v>0</v>
      </c>
      <c r="N20" s="689">
        <f>transport!M14</f>
        <v>6959.054255306125</v>
      </c>
      <c r="O20" s="689">
        <f>transport!N14</f>
        <v>0</v>
      </c>
      <c r="P20" s="689">
        <f>transport!O14</f>
        <v>0</v>
      </c>
      <c r="Q20" s="690">
        <f>transport!P14</f>
        <v>0</v>
      </c>
      <c r="R20" s="692">
        <f>SUM(C20:Q20)</f>
        <v>126319.73491898109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81.422907587327202</v>
      </c>
      <c r="D22" s="814">
        <f t="shared" ref="D22:R22" si="1">SUM(D18:D21)</f>
        <v>0</v>
      </c>
      <c r="E22" s="814">
        <f t="shared" si="1"/>
        <v>319.16005048169774</v>
      </c>
      <c r="F22" s="814">
        <f t="shared" si="1"/>
        <v>180.66757153010241</v>
      </c>
      <c r="G22" s="814">
        <f t="shared" si="1"/>
        <v>0</v>
      </c>
      <c r="H22" s="814">
        <f t="shared" si="1"/>
        <v>98828.930106495929</v>
      </c>
      <c r="I22" s="814">
        <f t="shared" si="1"/>
        <v>20553.460677280484</v>
      </c>
      <c r="J22" s="814">
        <f t="shared" si="1"/>
        <v>0</v>
      </c>
      <c r="K22" s="814">
        <f t="shared" si="1"/>
        <v>0</v>
      </c>
      <c r="L22" s="814">
        <f t="shared" si="1"/>
        <v>0</v>
      </c>
      <c r="M22" s="814">
        <f t="shared" si="1"/>
        <v>0</v>
      </c>
      <c r="N22" s="814">
        <f t="shared" si="1"/>
        <v>6991.7743343745306</v>
      </c>
      <c r="O22" s="814">
        <f t="shared" si="1"/>
        <v>0</v>
      </c>
      <c r="P22" s="814">
        <f t="shared" si="1"/>
        <v>0</v>
      </c>
      <c r="Q22" s="814">
        <f t="shared" si="1"/>
        <v>0</v>
      </c>
      <c r="R22" s="814">
        <f t="shared" si="1"/>
        <v>126955.41564775008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2137.0591657536102</v>
      </c>
      <c r="D24" s="689">
        <f>+landbouw!C8</f>
        <v>0</v>
      </c>
      <c r="E24" s="689">
        <f>+landbouw!D8</f>
        <v>417.8744379095188</v>
      </c>
      <c r="F24" s="689">
        <f>+landbouw!E8</f>
        <v>79.697473088632591</v>
      </c>
      <c r="G24" s="689">
        <f>+landbouw!F8</f>
        <v>6933.4457258720659</v>
      </c>
      <c r="H24" s="689">
        <f>+landbouw!G8</f>
        <v>0</v>
      </c>
      <c r="I24" s="689">
        <f>+landbouw!H8</f>
        <v>0</v>
      </c>
      <c r="J24" s="689">
        <f>+landbouw!I8</f>
        <v>0</v>
      </c>
      <c r="K24" s="689">
        <f>+landbouw!J8</f>
        <v>560.98858147296278</v>
      </c>
      <c r="L24" s="689">
        <f>+landbouw!K8</f>
        <v>0</v>
      </c>
      <c r="M24" s="689">
        <f>+landbouw!L8</f>
        <v>0</v>
      </c>
      <c r="N24" s="689">
        <f>+landbouw!M8</f>
        <v>0</v>
      </c>
      <c r="O24" s="689">
        <f>+landbouw!N8</f>
        <v>0</v>
      </c>
      <c r="P24" s="689">
        <f>+landbouw!O8</f>
        <v>0</v>
      </c>
      <c r="Q24" s="690">
        <f>+landbouw!P8</f>
        <v>0</v>
      </c>
      <c r="R24" s="692">
        <f>SUM(C24:Q24)</f>
        <v>10129.06538409679</v>
      </c>
      <c r="S24" s="67"/>
    </row>
    <row r="25" spans="1:19" s="451" customFormat="1" ht="15" thickBot="1">
      <c r="A25" s="833" t="s">
        <v>714</v>
      </c>
      <c r="B25" s="947"/>
      <c r="C25" s="948">
        <f>IF(Onbekend_ele_kWh="---",0,Onbekend_ele_kWh)/1000+IF(REST_rest_ele_kWh="---",0,REST_rest_ele_kWh)/1000</f>
        <v>430.90308504195099</v>
      </c>
      <c r="D25" s="948"/>
      <c r="E25" s="948">
        <f>IF(onbekend_gas_kWh="---",0,onbekend_gas_kWh)/1000+IF(REST_rest_gas_kWh="---",0,REST_rest_gas_kWh)/1000</f>
        <v>1037.4135911856101</v>
      </c>
      <c r="F25" s="948"/>
      <c r="G25" s="948"/>
      <c r="H25" s="948"/>
      <c r="I25" s="948"/>
      <c r="J25" s="948"/>
      <c r="K25" s="948"/>
      <c r="L25" s="948"/>
      <c r="M25" s="948"/>
      <c r="N25" s="948"/>
      <c r="O25" s="948"/>
      <c r="P25" s="948"/>
      <c r="Q25" s="949"/>
      <c r="R25" s="692">
        <f>SUM(C25:Q25)</f>
        <v>1468.3166762275612</v>
      </c>
      <c r="S25" s="67"/>
    </row>
    <row r="26" spans="1:19" s="451" customFormat="1" ht="15.75" thickBot="1">
      <c r="A26" s="697" t="s">
        <v>715</v>
      </c>
      <c r="B26" s="819"/>
      <c r="C26" s="814">
        <f>SUM(C24:C25)</f>
        <v>2567.962250795561</v>
      </c>
      <c r="D26" s="814">
        <f t="shared" ref="D26:R26" si="2">SUM(D24:D25)</f>
        <v>0</v>
      </c>
      <c r="E26" s="814">
        <f t="shared" si="2"/>
        <v>1455.2880290951289</v>
      </c>
      <c r="F26" s="814">
        <f t="shared" si="2"/>
        <v>79.697473088632591</v>
      </c>
      <c r="G26" s="814">
        <f t="shared" si="2"/>
        <v>6933.4457258720659</v>
      </c>
      <c r="H26" s="814">
        <f t="shared" si="2"/>
        <v>0</v>
      </c>
      <c r="I26" s="814">
        <f t="shared" si="2"/>
        <v>0</v>
      </c>
      <c r="J26" s="814">
        <f t="shared" si="2"/>
        <v>0</v>
      </c>
      <c r="K26" s="814">
        <f t="shared" si="2"/>
        <v>560.98858147296278</v>
      </c>
      <c r="L26" s="814">
        <f t="shared" si="2"/>
        <v>0</v>
      </c>
      <c r="M26" s="814">
        <f t="shared" si="2"/>
        <v>0</v>
      </c>
      <c r="N26" s="814">
        <f t="shared" si="2"/>
        <v>0</v>
      </c>
      <c r="O26" s="814">
        <f t="shared" si="2"/>
        <v>0</v>
      </c>
      <c r="P26" s="814">
        <f t="shared" si="2"/>
        <v>0</v>
      </c>
      <c r="Q26" s="814">
        <f t="shared" si="2"/>
        <v>0</v>
      </c>
      <c r="R26" s="814">
        <f t="shared" si="2"/>
        <v>11597.382060324351</v>
      </c>
      <c r="S26" s="67"/>
    </row>
    <row r="27" spans="1:19" s="451" customFormat="1" ht="17.25" thickTop="1" thickBot="1">
      <c r="A27" s="698" t="s">
        <v>115</v>
      </c>
      <c r="B27" s="806"/>
      <c r="C27" s="699">
        <f ca="1">C22+C16+C26</f>
        <v>34799.143896736117</v>
      </c>
      <c r="D27" s="699">
        <f t="shared" ref="D27:R27" ca="1" si="3">D22+D16+D26</f>
        <v>24.351351351351351</v>
      </c>
      <c r="E27" s="699">
        <f t="shared" ca="1" si="3"/>
        <v>60186.121929026442</v>
      </c>
      <c r="F27" s="699">
        <f t="shared" si="3"/>
        <v>3800.9486689322375</v>
      </c>
      <c r="G27" s="699">
        <f t="shared" ca="1" si="3"/>
        <v>19740.993915853454</v>
      </c>
      <c r="H27" s="699">
        <f t="shared" si="3"/>
        <v>98828.930106495929</v>
      </c>
      <c r="I27" s="699">
        <f t="shared" si="3"/>
        <v>20553.460677280484</v>
      </c>
      <c r="J27" s="699">
        <f t="shared" si="3"/>
        <v>0</v>
      </c>
      <c r="K27" s="699">
        <f t="shared" si="3"/>
        <v>561.5670425998959</v>
      </c>
      <c r="L27" s="699">
        <f t="shared" si="3"/>
        <v>0</v>
      </c>
      <c r="M27" s="699">
        <f t="shared" ca="1" si="3"/>
        <v>0</v>
      </c>
      <c r="N27" s="699">
        <f t="shared" si="3"/>
        <v>6991.7743343745306</v>
      </c>
      <c r="O27" s="699">
        <f t="shared" ca="1" si="3"/>
        <v>27823.051152013759</v>
      </c>
      <c r="P27" s="699">
        <f t="shared" si="3"/>
        <v>490.71648538515825</v>
      </c>
      <c r="Q27" s="699">
        <f t="shared" si="3"/>
        <v>1137.275630534192</v>
      </c>
      <c r="R27" s="699">
        <f t="shared" ca="1" si="3"/>
        <v>274938.33519058354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1686.2498653095731</v>
      </c>
      <c r="D40" s="689">
        <f ca="1">tertiair!C20</f>
        <v>5.4655255255255248</v>
      </c>
      <c r="E40" s="689">
        <f ca="1">tertiair!D20</f>
        <v>2161.7244497248366</v>
      </c>
      <c r="F40" s="689">
        <f>tertiair!E20</f>
        <v>7.1718231477799641</v>
      </c>
      <c r="G40" s="689">
        <f ca="1">tertiair!F20</f>
        <v>407.96996298091909</v>
      </c>
      <c r="H40" s="689">
        <f>tertiair!G20</f>
        <v>0</v>
      </c>
      <c r="I40" s="689">
        <f>tertiair!H20</f>
        <v>0</v>
      </c>
      <c r="J40" s="689">
        <f>tertiair!I20</f>
        <v>0</v>
      </c>
      <c r="K40" s="689">
        <f>tertiair!J20</f>
        <v>5.0397568669217404E-3</v>
      </c>
      <c r="L40" s="689">
        <f>tertiair!K20</f>
        <v>0</v>
      </c>
      <c r="M40" s="689">
        <f ca="1">tertiair!L20</f>
        <v>0</v>
      </c>
      <c r="N40" s="689">
        <f>tertiair!M20</f>
        <v>0</v>
      </c>
      <c r="O40" s="689">
        <f ca="1">tertiair!N20</f>
        <v>0</v>
      </c>
      <c r="P40" s="689">
        <f>tertiair!O20</f>
        <v>0</v>
      </c>
      <c r="Q40" s="772">
        <f>tertiair!P20</f>
        <v>0</v>
      </c>
      <c r="R40" s="852">
        <f t="shared" ca="1" si="4"/>
        <v>4268.5866664455007</v>
      </c>
    </row>
    <row r="41" spans="1:18">
      <c r="A41" s="824" t="s">
        <v>224</v>
      </c>
      <c r="B41" s="831"/>
      <c r="C41" s="689">
        <f ca="1">huishoudens!B12</f>
        <v>3677.5890680700932</v>
      </c>
      <c r="D41" s="689">
        <f ca="1">huishoudens!C12</f>
        <v>0</v>
      </c>
      <c r="E41" s="689">
        <f>huishoudens!D12</f>
        <v>9220.44524912626</v>
      </c>
      <c r="F41" s="689">
        <f>huishoudens!E12</f>
        <v>794.49399007535021</v>
      </c>
      <c r="G41" s="689">
        <f>huishoudens!F12</f>
        <v>2736.133308537927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16428.661615809633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496.32776339780992</v>
      </c>
      <c r="D43" s="689">
        <f ca="1">industrie!C22</f>
        <v>0</v>
      </c>
      <c r="E43" s="689">
        <f>industrie!D22</f>
        <v>416.98841873772739</v>
      </c>
      <c r="F43" s="689">
        <f>industrie!E22</f>
        <v>2.0466694960348417</v>
      </c>
      <c r="G43" s="689">
        <f>industrie!F22</f>
        <v>275.51209520618511</v>
      </c>
      <c r="H43" s="689">
        <f>industrie!G22</f>
        <v>0</v>
      </c>
      <c r="I43" s="689">
        <f>industrie!H22</f>
        <v>0</v>
      </c>
      <c r="J43" s="689">
        <f>industrie!I22</f>
        <v>0</v>
      </c>
      <c r="K43" s="689">
        <f>industrie!J22</f>
        <v>0.19973548206741529</v>
      </c>
      <c r="L43" s="689">
        <f>industrie!K22</f>
        <v>0</v>
      </c>
      <c r="M43" s="689">
        <f>industrie!L22</f>
        <v>0</v>
      </c>
      <c r="N43" s="689">
        <f>industrie!M22</f>
        <v>0</v>
      </c>
      <c r="O43" s="689">
        <f>industrie!N22</f>
        <v>0</v>
      </c>
      <c r="P43" s="689">
        <f>industrie!O22</f>
        <v>0</v>
      </c>
      <c r="Q43" s="772">
        <f>industrie!P22</f>
        <v>0</v>
      </c>
      <c r="R43" s="851">
        <f t="shared" ca="1" si="4"/>
        <v>1191.0746823198247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5860.1666967774754</v>
      </c>
      <c r="D46" s="725">
        <f t="shared" ref="D46:Q46" ca="1" si="5">SUM(D39:D45)</f>
        <v>5.4655255255255248</v>
      </c>
      <c r="E46" s="725">
        <f t="shared" ca="1" si="5"/>
        <v>11799.158117588822</v>
      </c>
      <c r="F46" s="725">
        <f t="shared" si="5"/>
        <v>803.712482719165</v>
      </c>
      <c r="G46" s="725">
        <f t="shared" ca="1" si="5"/>
        <v>3419.6153667250314</v>
      </c>
      <c r="H46" s="725">
        <f t="shared" si="5"/>
        <v>0</v>
      </c>
      <c r="I46" s="725">
        <f t="shared" si="5"/>
        <v>0</v>
      </c>
      <c r="J46" s="725">
        <f t="shared" si="5"/>
        <v>0</v>
      </c>
      <c r="K46" s="725">
        <f t="shared" si="5"/>
        <v>0.20477523893433702</v>
      </c>
      <c r="L46" s="725">
        <f t="shared" si="5"/>
        <v>0</v>
      </c>
      <c r="M46" s="725">
        <f t="shared" ca="1" si="5"/>
        <v>0</v>
      </c>
      <c r="N46" s="725">
        <f t="shared" si="5"/>
        <v>0</v>
      </c>
      <c r="O46" s="725">
        <f t="shared" ca="1" si="5"/>
        <v>0</v>
      </c>
      <c r="P46" s="725">
        <f t="shared" si="5"/>
        <v>0</v>
      </c>
      <c r="Q46" s="725">
        <f t="shared" si="5"/>
        <v>0</v>
      </c>
      <c r="R46" s="725">
        <f ca="1">SUM(R39:R45)</f>
        <v>21888.322964574956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160.99049347005379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160.99049347005379</v>
      </c>
    </row>
    <row r="50" spans="1:18">
      <c r="A50" s="827" t="s">
        <v>306</v>
      </c>
      <c r="B50" s="837"/>
      <c r="C50" s="695">
        <f ca="1">transport!B18</f>
        <v>14.841536301447393</v>
      </c>
      <c r="D50" s="695">
        <f>transport!C18</f>
        <v>0</v>
      </c>
      <c r="E50" s="695">
        <f>transport!D18</f>
        <v>64.470330197302943</v>
      </c>
      <c r="F50" s="695">
        <f>transport!E18</f>
        <v>41.011538737333247</v>
      </c>
      <c r="G50" s="695">
        <f>transport!F18</f>
        <v>0</v>
      </c>
      <c r="H50" s="695">
        <f>transport!G18</f>
        <v>26226.33384496436</v>
      </c>
      <c r="I50" s="695">
        <f>transport!H18</f>
        <v>5117.8117086428401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31464.468958843281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14.841536301447393</v>
      </c>
      <c r="D52" s="725">
        <f t="shared" ref="D52:Q52" ca="1" si="6">SUM(D48:D51)</f>
        <v>0</v>
      </c>
      <c r="E52" s="725">
        <f t="shared" si="6"/>
        <v>64.470330197302943</v>
      </c>
      <c r="F52" s="725">
        <f t="shared" si="6"/>
        <v>41.011538737333247</v>
      </c>
      <c r="G52" s="725">
        <f t="shared" si="6"/>
        <v>0</v>
      </c>
      <c r="H52" s="725">
        <f t="shared" si="6"/>
        <v>26387.324338434413</v>
      </c>
      <c r="I52" s="725">
        <f t="shared" si="6"/>
        <v>5117.8117086428401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31625.459452313335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389.53707410725787</v>
      </c>
      <c r="D54" s="695">
        <f ca="1">+landbouw!C12</f>
        <v>0</v>
      </c>
      <c r="E54" s="695">
        <f>+landbouw!D12</f>
        <v>84.410636457722802</v>
      </c>
      <c r="F54" s="695">
        <f>+landbouw!E12</f>
        <v>18.091326391119598</v>
      </c>
      <c r="G54" s="695">
        <f>+landbouw!F12</f>
        <v>1851.2300088078416</v>
      </c>
      <c r="H54" s="695">
        <f>+landbouw!G12</f>
        <v>0</v>
      </c>
      <c r="I54" s="695">
        <f>+landbouw!H12</f>
        <v>0</v>
      </c>
      <c r="J54" s="695">
        <f>+landbouw!I12</f>
        <v>0</v>
      </c>
      <c r="K54" s="695">
        <f>+landbouw!J12</f>
        <v>198.58995784142883</v>
      </c>
      <c r="L54" s="695">
        <f>+landbouw!K12</f>
        <v>0</v>
      </c>
      <c r="M54" s="695">
        <f>+landbouw!L12</f>
        <v>0</v>
      </c>
      <c r="N54" s="695">
        <f>+landbouw!M12</f>
        <v>0</v>
      </c>
      <c r="O54" s="695">
        <f>+landbouw!N12</f>
        <v>0</v>
      </c>
      <c r="P54" s="695">
        <f>+landbouw!O12</f>
        <v>0</v>
      </c>
      <c r="Q54" s="696">
        <f>+landbouw!P12</f>
        <v>0</v>
      </c>
      <c r="R54" s="724">
        <f ca="1">SUM(C54:Q54)</f>
        <v>2541.8590036053706</v>
      </c>
    </row>
    <row r="55" spans="1:18" ht="15" thickBot="1">
      <c r="A55" s="827" t="s">
        <v>714</v>
      </c>
      <c r="B55" s="837"/>
      <c r="C55" s="695">
        <f ca="1">C25*'EF ele_warmte'!B12</f>
        <v>78.543790298777765</v>
      </c>
      <c r="D55" s="695"/>
      <c r="E55" s="695">
        <f>E25*EF_CO2_aardgas</f>
        <v>209.55754541949327</v>
      </c>
      <c r="F55" s="695"/>
      <c r="G55" s="695"/>
      <c r="H55" s="695"/>
      <c r="I55" s="695"/>
      <c r="J55" s="695"/>
      <c r="K55" s="695"/>
      <c r="L55" s="695"/>
      <c r="M55" s="695"/>
      <c r="N55" s="695"/>
      <c r="O55" s="695"/>
      <c r="P55" s="695"/>
      <c r="Q55" s="696"/>
      <c r="R55" s="724">
        <f ca="1">SUM(C55:Q55)</f>
        <v>288.101335718271</v>
      </c>
    </row>
    <row r="56" spans="1:18" ht="15.75" thickBot="1">
      <c r="A56" s="825" t="s">
        <v>715</v>
      </c>
      <c r="B56" s="838"/>
      <c r="C56" s="725">
        <f ca="1">SUM(C54:C55)</f>
        <v>468.08086440603563</v>
      </c>
      <c r="D56" s="725">
        <f t="shared" ref="D56:Q56" ca="1" si="7">SUM(D54:D55)</f>
        <v>0</v>
      </c>
      <c r="E56" s="725">
        <f t="shared" si="7"/>
        <v>293.96818187721607</v>
      </c>
      <c r="F56" s="725">
        <f t="shared" si="7"/>
        <v>18.091326391119598</v>
      </c>
      <c r="G56" s="725">
        <f t="shared" si="7"/>
        <v>1851.2300088078416</v>
      </c>
      <c r="H56" s="725">
        <f t="shared" si="7"/>
        <v>0</v>
      </c>
      <c r="I56" s="725">
        <f t="shared" si="7"/>
        <v>0</v>
      </c>
      <c r="J56" s="725">
        <f t="shared" si="7"/>
        <v>0</v>
      </c>
      <c r="K56" s="725">
        <f t="shared" si="7"/>
        <v>198.58995784142883</v>
      </c>
      <c r="L56" s="725">
        <f t="shared" si="7"/>
        <v>0</v>
      </c>
      <c r="M56" s="725">
        <f t="shared" si="7"/>
        <v>0</v>
      </c>
      <c r="N56" s="725">
        <f t="shared" si="7"/>
        <v>0</v>
      </c>
      <c r="O56" s="725">
        <f t="shared" si="7"/>
        <v>0</v>
      </c>
      <c r="P56" s="725">
        <f t="shared" si="7"/>
        <v>0</v>
      </c>
      <c r="Q56" s="726">
        <f t="shared" si="7"/>
        <v>0</v>
      </c>
      <c r="R56" s="727">
        <f ca="1">SUM(R54:R55)</f>
        <v>2829.9603393236416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6343.0890974849581</v>
      </c>
      <c r="D61" s="733">
        <f t="shared" ref="D61:Q61" ca="1" si="8">D46+D52+D56</f>
        <v>5.4655255255255248</v>
      </c>
      <c r="E61" s="733">
        <f t="shared" ca="1" si="8"/>
        <v>12157.596629663341</v>
      </c>
      <c r="F61" s="733">
        <f t="shared" si="8"/>
        <v>862.81534784761789</v>
      </c>
      <c r="G61" s="733">
        <f t="shared" ca="1" si="8"/>
        <v>5270.8453755328728</v>
      </c>
      <c r="H61" s="733">
        <f t="shared" si="8"/>
        <v>26387.324338434413</v>
      </c>
      <c r="I61" s="733">
        <f t="shared" si="8"/>
        <v>5117.8117086428401</v>
      </c>
      <c r="J61" s="733">
        <f t="shared" si="8"/>
        <v>0</v>
      </c>
      <c r="K61" s="733">
        <f t="shared" si="8"/>
        <v>198.79473308036316</v>
      </c>
      <c r="L61" s="733">
        <f t="shared" si="8"/>
        <v>0</v>
      </c>
      <c r="M61" s="733">
        <f t="shared" ca="1" si="8"/>
        <v>0</v>
      </c>
      <c r="N61" s="733">
        <f t="shared" si="8"/>
        <v>0</v>
      </c>
      <c r="O61" s="733">
        <f t="shared" ca="1" si="8"/>
        <v>0</v>
      </c>
      <c r="P61" s="733">
        <f t="shared" si="8"/>
        <v>0</v>
      </c>
      <c r="Q61" s="733">
        <f t="shared" si="8"/>
        <v>0</v>
      </c>
      <c r="R61" s="733">
        <f ca="1">R46+R52+R56</f>
        <v>56343.742756211934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0.18227715935505784</v>
      </c>
      <c r="D63" s="779">
        <f t="shared" ca="1" si="9"/>
        <v>0.22444444444444442</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6097.6482318971866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17</v>
      </c>
      <c r="D76" s="956">
        <f>'lokale energieproductie'!C8</f>
        <v>18.888888888888886</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3.8155555555555551</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6097.6482318971866</v>
      </c>
      <c r="C78" s="751">
        <f>SUM(C72:C77)</f>
        <v>17</v>
      </c>
      <c r="D78" s="752">
        <f t="shared" ref="D78:H78" si="10">SUM(D76:D77)</f>
        <v>18.888888888888886</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3.8155555555555551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24.351351351351351</v>
      </c>
      <c r="D87" s="775">
        <f>'lokale energieproductie'!C17</f>
        <v>27.057057057057051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5.4655255255255248</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24.351351351351351</v>
      </c>
      <c r="D90" s="751">
        <f t="shared" ref="D90:H90" si="12">SUM(D87:D89)</f>
        <v>27.057057057057051</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5.4655255255255248</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6097.6482318971866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17</v>
      </c>
      <c r="C8" s="551">
        <f>B48</f>
        <v>18.888888888888886</v>
      </c>
      <c r="D8" s="552"/>
      <c r="E8" s="552">
        <f>E48</f>
        <v>0</v>
      </c>
      <c r="F8" s="553"/>
      <c r="G8" s="554"/>
      <c r="H8" s="552">
        <f>I48</f>
        <v>0</v>
      </c>
      <c r="I8" s="552">
        <f>G48+F48</f>
        <v>0</v>
      </c>
      <c r="J8" s="552">
        <f>H48+D48+C48</f>
        <v>0</v>
      </c>
      <c r="K8" s="552"/>
      <c r="L8" s="552"/>
      <c r="M8" s="552"/>
      <c r="N8" s="555"/>
      <c r="O8" s="556">
        <f>C8*$C$12+D8*$D$12+E8*$E$12+F8*$F$12+G8*$G$12+H8*$H$12+I8*$I$12+J8*$J$12</f>
        <v>3.8155555555555551</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6114.6482318971866</v>
      </c>
      <c r="C10" s="566">
        <f t="shared" ref="C10:L10" si="0">SUM(C8:C9)</f>
        <v>18.888888888888886</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3.8155555555555551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24.351351351351351</v>
      </c>
      <c r="C17" s="582">
        <f>B49</f>
        <v>27.057057057057051</v>
      </c>
      <c r="D17" s="583"/>
      <c r="E17" s="583">
        <f>E49</f>
        <v>0</v>
      </c>
      <c r="F17" s="584"/>
      <c r="G17" s="585"/>
      <c r="H17" s="582">
        <f>I49</f>
        <v>0</v>
      </c>
      <c r="I17" s="583">
        <f>G49+F49</f>
        <v>0</v>
      </c>
      <c r="J17" s="583">
        <f>H49+D49+C49</f>
        <v>0</v>
      </c>
      <c r="K17" s="583"/>
      <c r="L17" s="583"/>
      <c r="M17" s="583"/>
      <c r="N17" s="970"/>
      <c r="O17" s="586">
        <f>C17*$C$22+E17*$E$22+H17*$H$22+I17*$I$22+J17*$J$22+D17*$D$22+F17*$F$22+G17*$G$22+K17*$K$22+L17*$L$22</f>
        <v>5.4655255255255248</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24.351351351351351</v>
      </c>
      <c r="C20" s="565">
        <f>SUM(C17:C19)</f>
        <v>27.057057057057051</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5.4655255255255248</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v>13036</v>
      </c>
      <c r="C28" s="794">
        <v>2470</v>
      </c>
      <c r="D28" s="643" t="s">
        <v>865</v>
      </c>
      <c r="E28" s="642"/>
      <c r="F28" s="642" t="s">
        <v>866</v>
      </c>
      <c r="G28" s="642" t="s">
        <v>867</v>
      </c>
      <c r="H28" s="642" t="s">
        <v>868</v>
      </c>
      <c r="I28" s="642" t="s">
        <v>869</v>
      </c>
      <c r="J28" s="793">
        <v>42830</v>
      </c>
      <c r="K28" s="793">
        <v>42830</v>
      </c>
      <c r="L28" s="642" t="s">
        <v>870</v>
      </c>
      <c r="M28" s="642">
        <v>3.4</v>
      </c>
      <c r="N28" s="642">
        <v>17</v>
      </c>
      <c r="O28" s="642">
        <v>24.351351351351351</v>
      </c>
      <c r="P28" s="642">
        <v>45.945945945945944</v>
      </c>
      <c r="Q28" s="642">
        <v>0</v>
      </c>
      <c r="R28" s="642">
        <v>0</v>
      </c>
      <c r="S28" s="642">
        <v>0</v>
      </c>
      <c r="T28" s="642">
        <v>0</v>
      </c>
      <c r="U28" s="642">
        <v>0</v>
      </c>
      <c r="V28" s="642">
        <v>0</v>
      </c>
      <c r="W28" s="642">
        <v>0</v>
      </c>
      <c r="X28" s="642">
        <v>1100</v>
      </c>
      <c r="Y28" s="642" t="s">
        <v>160</v>
      </c>
      <c r="Z28" s="644" t="s">
        <v>155</v>
      </c>
    </row>
    <row r="29" spans="1:26" s="576" customFormat="1">
      <c r="A29" s="598" t="s">
        <v>279</v>
      </c>
      <c r="B29" s="599"/>
      <c r="C29" s="599"/>
      <c r="D29" s="599"/>
      <c r="E29" s="599"/>
      <c r="F29" s="599"/>
      <c r="G29" s="599"/>
      <c r="H29" s="599"/>
      <c r="I29" s="599"/>
      <c r="J29" s="599"/>
      <c r="K29" s="599"/>
      <c r="L29" s="600"/>
      <c r="M29" s="600">
        <f>SUM(M28:M28)</f>
        <v>3.4</v>
      </c>
      <c r="N29" s="600">
        <f>SUM(N28:N28)</f>
        <v>17</v>
      </c>
      <c r="O29" s="600">
        <f>SUM(O28:O28)</f>
        <v>24.351351351351351</v>
      </c>
      <c r="P29" s="600">
        <f>SUM(P28:P28)</f>
        <v>45.945945945945944</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3.4</v>
      </c>
      <c r="N31" s="600">
        <f ca="1">SUMIF($Z$28:AD28,"tertiair",N28:N28)</f>
        <v>17</v>
      </c>
      <c r="O31" s="600">
        <f ca="1">SUMIF($Z$28:AE28,"tertiair",O28:O28)</f>
        <v>24.351351351351351</v>
      </c>
      <c r="P31" s="600">
        <f ca="1">SUMIF($Z$28:AF28,"tertiair",P28:P28)</f>
        <v>45.945945945945944</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0.5888888888888888</v>
      </c>
      <c r="C45" s="625">
        <f>IF(ISERROR(N29/(O29+N29)),0,N29/(N29+O29))</f>
        <v>0.41111111111111109</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18.888888888888886</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27.057057057057051</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20175.808538394616</v>
      </c>
      <c r="C4" s="455">
        <f>huishoudens!C8</f>
        <v>0</v>
      </c>
      <c r="D4" s="455">
        <f>huishoudens!D8</f>
        <v>45645.768560030985</v>
      </c>
      <c r="E4" s="455">
        <f>huishoudens!E8</f>
        <v>3499.9735245610141</v>
      </c>
      <c r="F4" s="455">
        <f>huishoudens!F8</f>
        <v>10247.690294149539</v>
      </c>
      <c r="G4" s="455">
        <f>huishoudens!G8</f>
        <v>0</v>
      </c>
      <c r="H4" s="455">
        <f>huishoudens!H8</f>
        <v>0</v>
      </c>
      <c r="I4" s="455">
        <f>huishoudens!I8</f>
        <v>0</v>
      </c>
      <c r="J4" s="455">
        <f>huishoudens!J8</f>
        <v>0</v>
      </c>
      <c r="K4" s="455">
        <f>huishoudens!K8</f>
        <v>0</v>
      </c>
      <c r="L4" s="455">
        <f>huishoudens!L8</f>
        <v>0</v>
      </c>
      <c r="M4" s="455">
        <f>huishoudens!M8</f>
        <v>0</v>
      </c>
      <c r="N4" s="455">
        <f>huishoudens!N8</f>
        <v>27212.5888216354</v>
      </c>
      <c r="O4" s="455">
        <f>huishoudens!O8</f>
        <v>466.23018155595247</v>
      </c>
      <c r="P4" s="456">
        <f>huishoudens!P8</f>
        <v>979.65821561470705</v>
      </c>
      <c r="Q4" s="457">
        <f>SUM(B4:P4)</f>
        <v>108227.7181359422</v>
      </c>
    </row>
    <row r="5" spans="1:17">
      <c r="A5" s="454" t="s">
        <v>155</v>
      </c>
      <c r="B5" s="455">
        <f ca="1">tertiair!B16</f>
        <v>8700.7241991230621</v>
      </c>
      <c r="C5" s="455">
        <f ca="1">tertiair!C16</f>
        <v>24.351351351351351</v>
      </c>
      <c r="D5" s="455">
        <f ca="1">tertiair!D16</f>
        <v>10701.606186756617</v>
      </c>
      <c r="E5" s="455">
        <f>tertiair!E16</f>
        <v>31.593934571717902</v>
      </c>
      <c r="F5" s="455">
        <f ca="1">tertiair!F16</f>
        <v>1527.9773894416444</v>
      </c>
      <c r="G5" s="455">
        <f>tertiair!G16</f>
        <v>0</v>
      </c>
      <c r="H5" s="455">
        <f>tertiair!H16</f>
        <v>0</v>
      </c>
      <c r="I5" s="455">
        <f>tertiair!I16</f>
        <v>0</v>
      </c>
      <c r="J5" s="455">
        <f>tertiair!J16</f>
        <v>1.4236601318987968E-2</v>
      </c>
      <c r="K5" s="455">
        <f>tertiair!K16</f>
        <v>0</v>
      </c>
      <c r="L5" s="455">
        <f ca="1">tertiair!L16</f>
        <v>0</v>
      </c>
      <c r="M5" s="455">
        <f>tertiair!M16</f>
        <v>0</v>
      </c>
      <c r="N5" s="455">
        <f ca="1">tertiair!N16</f>
        <v>521.09086439400232</v>
      </c>
      <c r="O5" s="455">
        <f>tertiair!O16</f>
        <v>24.486303829205774</v>
      </c>
      <c r="P5" s="456">
        <f>tertiair!P16</f>
        <v>157.61741491948504</v>
      </c>
      <c r="Q5" s="454">
        <f t="shared" ref="Q5:Q14" ca="1" si="0">SUM(B5:P5)</f>
        <v>21689.461880988405</v>
      </c>
    </row>
    <row r="6" spans="1:17">
      <c r="A6" s="454" t="s">
        <v>193</v>
      </c>
      <c r="B6" s="455">
        <f>'openbare verlichting'!B8</f>
        <v>550.29700000000003</v>
      </c>
      <c r="C6" s="455"/>
      <c r="D6" s="455"/>
      <c r="E6" s="455"/>
      <c r="F6" s="455"/>
      <c r="G6" s="455"/>
      <c r="H6" s="455"/>
      <c r="I6" s="455"/>
      <c r="J6" s="455"/>
      <c r="K6" s="455"/>
      <c r="L6" s="455"/>
      <c r="M6" s="455"/>
      <c r="N6" s="455"/>
      <c r="O6" s="455"/>
      <c r="P6" s="456"/>
      <c r="Q6" s="454">
        <f t="shared" si="0"/>
        <v>550.29700000000003</v>
      </c>
    </row>
    <row r="7" spans="1:17">
      <c r="A7" s="454" t="s">
        <v>111</v>
      </c>
      <c r="B7" s="455">
        <f>landbouw!B8</f>
        <v>2137.0591657536102</v>
      </c>
      <c r="C7" s="455">
        <f>landbouw!C8</f>
        <v>0</v>
      </c>
      <c r="D7" s="455">
        <f>landbouw!D8</f>
        <v>417.8744379095188</v>
      </c>
      <c r="E7" s="455">
        <f>landbouw!E8</f>
        <v>79.697473088632591</v>
      </c>
      <c r="F7" s="455">
        <f>landbouw!F8</f>
        <v>6933.4457258720659</v>
      </c>
      <c r="G7" s="455">
        <f>landbouw!G8</f>
        <v>0</v>
      </c>
      <c r="H7" s="455">
        <f>landbouw!H8</f>
        <v>0</v>
      </c>
      <c r="I7" s="455">
        <f>landbouw!I8</f>
        <v>0</v>
      </c>
      <c r="J7" s="455">
        <f>landbouw!J8</f>
        <v>560.98858147296278</v>
      </c>
      <c r="K7" s="455">
        <f>landbouw!K8</f>
        <v>0</v>
      </c>
      <c r="L7" s="455">
        <f>landbouw!L8</f>
        <v>0</v>
      </c>
      <c r="M7" s="455">
        <f>landbouw!M8</f>
        <v>0</v>
      </c>
      <c r="N7" s="455">
        <f>landbouw!N8</f>
        <v>0</v>
      </c>
      <c r="O7" s="455">
        <f>landbouw!O8</f>
        <v>0</v>
      </c>
      <c r="P7" s="456">
        <f>landbouw!P8</f>
        <v>0</v>
      </c>
      <c r="Q7" s="454">
        <f t="shared" si="0"/>
        <v>10129.06538409679</v>
      </c>
    </row>
    <row r="8" spans="1:17">
      <c r="A8" s="454" t="s">
        <v>626</v>
      </c>
      <c r="B8" s="455">
        <f>industrie!B18</f>
        <v>2722.9290008355488</v>
      </c>
      <c r="C8" s="455">
        <f>industrie!C18</f>
        <v>0</v>
      </c>
      <c r="D8" s="455">
        <f>industrie!D18</f>
        <v>2064.2991026620166</v>
      </c>
      <c r="E8" s="455">
        <f>industrie!E18</f>
        <v>9.0161651807702281</v>
      </c>
      <c r="F8" s="455">
        <f>industrie!F18</f>
        <v>1031.8805063902064</v>
      </c>
      <c r="G8" s="455">
        <f>industrie!G18</f>
        <v>0</v>
      </c>
      <c r="H8" s="455">
        <f>industrie!H18</f>
        <v>0</v>
      </c>
      <c r="I8" s="455">
        <f>industrie!I18</f>
        <v>0</v>
      </c>
      <c r="J8" s="455">
        <f>industrie!J18</f>
        <v>0.56422452561416747</v>
      </c>
      <c r="K8" s="455">
        <f>industrie!K18</f>
        <v>0</v>
      </c>
      <c r="L8" s="455">
        <f>industrie!L18</f>
        <v>0</v>
      </c>
      <c r="M8" s="455">
        <f>industrie!M18</f>
        <v>0</v>
      </c>
      <c r="N8" s="455">
        <f>industrie!N18</f>
        <v>89.371465984355808</v>
      </c>
      <c r="O8" s="455">
        <f>industrie!O18</f>
        <v>0</v>
      </c>
      <c r="P8" s="456">
        <f>industrie!P18</f>
        <v>0</v>
      </c>
      <c r="Q8" s="454">
        <f t="shared" si="0"/>
        <v>5918.0604655785119</v>
      </c>
    </row>
    <row r="9" spans="1:17" s="460" customFormat="1">
      <c r="A9" s="458" t="s">
        <v>552</v>
      </c>
      <c r="B9" s="459">
        <f>transport!B14</f>
        <v>81.422907587327202</v>
      </c>
      <c r="C9" s="459">
        <f>transport!C14</f>
        <v>0</v>
      </c>
      <c r="D9" s="459">
        <f>transport!D14</f>
        <v>319.16005048169774</v>
      </c>
      <c r="E9" s="459">
        <f>transport!E14</f>
        <v>180.66757153010241</v>
      </c>
      <c r="F9" s="459">
        <f>transport!F14</f>
        <v>0</v>
      </c>
      <c r="G9" s="459">
        <f>transport!G14</f>
        <v>98225.969456795356</v>
      </c>
      <c r="H9" s="459">
        <f>transport!H14</f>
        <v>20553.460677280484</v>
      </c>
      <c r="I9" s="459">
        <f>transport!I14</f>
        <v>0</v>
      </c>
      <c r="J9" s="459">
        <f>transport!J14</f>
        <v>0</v>
      </c>
      <c r="K9" s="459">
        <f>transport!K14</f>
        <v>0</v>
      </c>
      <c r="L9" s="459">
        <f>transport!L14</f>
        <v>0</v>
      </c>
      <c r="M9" s="459">
        <f>transport!M14</f>
        <v>6959.054255306125</v>
      </c>
      <c r="N9" s="459">
        <f>transport!N14</f>
        <v>0</v>
      </c>
      <c r="O9" s="459">
        <f>transport!O14</f>
        <v>0</v>
      </c>
      <c r="P9" s="459">
        <f>transport!P14</f>
        <v>0</v>
      </c>
      <c r="Q9" s="458">
        <f>SUM(B9:P9)</f>
        <v>126319.73491898109</v>
      </c>
    </row>
    <row r="10" spans="1:17">
      <c r="A10" s="454" t="s">
        <v>542</v>
      </c>
      <c r="B10" s="455">
        <f>transport!B54</f>
        <v>0</v>
      </c>
      <c r="C10" s="455">
        <f>transport!C54</f>
        <v>0</v>
      </c>
      <c r="D10" s="455">
        <f>transport!D54</f>
        <v>0</v>
      </c>
      <c r="E10" s="455">
        <f>transport!E54</f>
        <v>0</v>
      </c>
      <c r="F10" s="455">
        <f>transport!F54</f>
        <v>0</v>
      </c>
      <c r="G10" s="455">
        <f>transport!G54</f>
        <v>602.96064970057591</v>
      </c>
      <c r="H10" s="455">
        <f>transport!H54</f>
        <v>0</v>
      </c>
      <c r="I10" s="455">
        <f>transport!I54</f>
        <v>0</v>
      </c>
      <c r="J10" s="455">
        <f>transport!J54</f>
        <v>0</v>
      </c>
      <c r="K10" s="455">
        <f>transport!K54</f>
        <v>0</v>
      </c>
      <c r="L10" s="455">
        <f>transport!L54</f>
        <v>0</v>
      </c>
      <c r="M10" s="455">
        <f>transport!M54</f>
        <v>32.720079068405475</v>
      </c>
      <c r="N10" s="455">
        <f>transport!N54</f>
        <v>0</v>
      </c>
      <c r="O10" s="455">
        <f>transport!O54</f>
        <v>0</v>
      </c>
      <c r="P10" s="456">
        <f>transport!P54</f>
        <v>0</v>
      </c>
      <c r="Q10" s="454">
        <f t="shared" si="0"/>
        <v>635.68072876898134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430.90308504195099</v>
      </c>
      <c r="C14" s="462"/>
      <c r="D14" s="462">
        <f>'SEAP template'!E25</f>
        <v>1037.4135911856101</v>
      </c>
      <c r="E14" s="462"/>
      <c r="F14" s="462"/>
      <c r="G14" s="462"/>
      <c r="H14" s="462"/>
      <c r="I14" s="462"/>
      <c r="J14" s="462"/>
      <c r="K14" s="462"/>
      <c r="L14" s="462"/>
      <c r="M14" s="462"/>
      <c r="N14" s="462"/>
      <c r="O14" s="462"/>
      <c r="P14" s="463"/>
      <c r="Q14" s="454">
        <f t="shared" si="0"/>
        <v>1468.3166762275612</v>
      </c>
    </row>
    <row r="15" spans="1:17" s="466" customFormat="1">
      <c r="A15" s="464" t="s">
        <v>546</v>
      </c>
      <c r="B15" s="465">
        <f ca="1">SUM(B4:B14)</f>
        <v>34799.143896736117</v>
      </c>
      <c r="C15" s="465">
        <f t="shared" ref="C15:Q15" ca="1" si="1">SUM(C4:C14)</f>
        <v>24.351351351351351</v>
      </c>
      <c r="D15" s="465">
        <f t="shared" ca="1" si="1"/>
        <v>60186.121929026442</v>
      </c>
      <c r="E15" s="465">
        <f t="shared" si="1"/>
        <v>3800.9486689322375</v>
      </c>
      <c r="F15" s="465">
        <f t="shared" ca="1" si="1"/>
        <v>19740.993915853458</v>
      </c>
      <c r="G15" s="465">
        <f t="shared" si="1"/>
        <v>98828.930106495929</v>
      </c>
      <c r="H15" s="465">
        <f t="shared" si="1"/>
        <v>20553.460677280484</v>
      </c>
      <c r="I15" s="465">
        <f t="shared" si="1"/>
        <v>0</v>
      </c>
      <c r="J15" s="465">
        <f t="shared" si="1"/>
        <v>561.5670425998959</v>
      </c>
      <c r="K15" s="465">
        <f t="shared" si="1"/>
        <v>0</v>
      </c>
      <c r="L15" s="465">
        <f t="shared" ca="1" si="1"/>
        <v>0</v>
      </c>
      <c r="M15" s="465">
        <f t="shared" si="1"/>
        <v>6991.7743343745306</v>
      </c>
      <c r="N15" s="465">
        <f t="shared" ca="1" si="1"/>
        <v>27823.051152013759</v>
      </c>
      <c r="O15" s="465">
        <f t="shared" si="1"/>
        <v>490.71648538515825</v>
      </c>
      <c r="P15" s="465">
        <f t="shared" si="1"/>
        <v>1137.275630534192</v>
      </c>
      <c r="Q15" s="465">
        <f t="shared" ca="1" si="1"/>
        <v>274938.33519058354</v>
      </c>
    </row>
    <row r="17" spans="1:17">
      <c r="A17" s="467" t="s">
        <v>547</v>
      </c>
      <c r="B17" s="784">
        <f ca="1">huishoudens!B10</f>
        <v>0.18227715935505789</v>
      </c>
      <c r="C17" s="784">
        <f ca="1">huishoudens!C10</f>
        <v>0.22444444444444442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3677.5890680700932</v>
      </c>
      <c r="C22" s="455">
        <f t="shared" ref="C22:C32" ca="1" si="3">C4*$C$17</f>
        <v>0</v>
      </c>
      <c r="D22" s="455">
        <f t="shared" ref="D22:D32" si="4">D4*$D$17</f>
        <v>9220.44524912626</v>
      </c>
      <c r="E22" s="455">
        <f t="shared" ref="E22:E32" si="5">E4*$E$17</f>
        <v>794.49399007535021</v>
      </c>
      <c r="F22" s="455">
        <f t="shared" ref="F22:F32" si="6">F4*$F$17</f>
        <v>2736.133308537927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16428.661615809633</v>
      </c>
    </row>
    <row r="23" spans="1:17">
      <c r="A23" s="454" t="s">
        <v>155</v>
      </c>
      <c r="B23" s="455">
        <f t="shared" ca="1" si="2"/>
        <v>1585.9432913479629</v>
      </c>
      <c r="C23" s="455">
        <f t="shared" ca="1" si="3"/>
        <v>5.4655255255255248</v>
      </c>
      <c r="D23" s="455">
        <f t="shared" ca="1" si="4"/>
        <v>2161.7244497248366</v>
      </c>
      <c r="E23" s="455">
        <f t="shared" si="5"/>
        <v>7.1718231477799641</v>
      </c>
      <c r="F23" s="455">
        <f t="shared" ca="1" si="6"/>
        <v>407.96996298091909</v>
      </c>
      <c r="G23" s="455">
        <f t="shared" si="7"/>
        <v>0</v>
      </c>
      <c r="H23" s="455">
        <f t="shared" si="8"/>
        <v>0</v>
      </c>
      <c r="I23" s="455">
        <f t="shared" si="9"/>
        <v>0</v>
      </c>
      <c r="J23" s="455">
        <f t="shared" si="10"/>
        <v>5.0397568669217404E-3</v>
      </c>
      <c r="K23" s="455">
        <f t="shared" si="11"/>
        <v>0</v>
      </c>
      <c r="L23" s="455">
        <f t="shared" ca="1" si="12"/>
        <v>0</v>
      </c>
      <c r="M23" s="455">
        <f t="shared" si="13"/>
        <v>0</v>
      </c>
      <c r="N23" s="455">
        <f t="shared" ca="1" si="14"/>
        <v>0</v>
      </c>
      <c r="O23" s="455">
        <f t="shared" si="15"/>
        <v>0</v>
      </c>
      <c r="P23" s="456">
        <f t="shared" si="16"/>
        <v>0</v>
      </c>
      <c r="Q23" s="454">
        <f t="shared" ref="Q23:Q31" ca="1" si="17">SUM(B23:P23)</f>
        <v>4168.2800924838903</v>
      </c>
    </row>
    <row r="24" spans="1:17">
      <c r="A24" s="454" t="s">
        <v>193</v>
      </c>
      <c r="B24" s="455">
        <f t="shared" ca="1" si="2"/>
        <v>100.3065739616103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100.3065739616103</v>
      </c>
    </row>
    <row r="25" spans="1:17">
      <c r="A25" s="454" t="s">
        <v>111</v>
      </c>
      <c r="B25" s="455">
        <f t="shared" ca="1" si="2"/>
        <v>389.53707410725787</v>
      </c>
      <c r="C25" s="455">
        <f t="shared" ca="1" si="3"/>
        <v>0</v>
      </c>
      <c r="D25" s="455">
        <f t="shared" si="4"/>
        <v>84.410636457722802</v>
      </c>
      <c r="E25" s="455">
        <f t="shared" si="5"/>
        <v>18.091326391119598</v>
      </c>
      <c r="F25" s="455">
        <f t="shared" si="6"/>
        <v>1851.2300088078416</v>
      </c>
      <c r="G25" s="455">
        <f t="shared" si="7"/>
        <v>0</v>
      </c>
      <c r="H25" s="455">
        <f t="shared" si="8"/>
        <v>0</v>
      </c>
      <c r="I25" s="455">
        <f t="shared" si="9"/>
        <v>0</v>
      </c>
      <c r="J25" s="455">
        <f t="shared" si="10"/>
        <v>198.58995784142883</v>
      </c>
      <c r="K25" s="455">
        <f t="shared" si="11"/>
        <v>0</v>
      </c>
      <c r="L25" s="455">
        <f t="shared" si="12"/>
        <v>0</v>
      </c>
      <c r="M25" s="455">
        <f t="shared" si="13"/>
        <v>0</v>
      </c>
      <c r="N25" s="455">
        <f t="shared" si="14"/>
        <v>0</v>
      </c>
      <c r="O25" s="455">
        <f t="shared" si="15"/>
        <v>0</v>
      </c>
      <c r="P25" s="456">
        <f t="shared" si="16"/>
        <v>0</v>
      </c>
      <c r="Q25" s="454">
        <f t="shared" ca="1" si="17"/>
        <v>2541.8590036053706</v>
      </c>
    </row>
    <row r="26" spans="1:17">
      <c r="A26" s="454" t="s">
        <v>626</v>
      </c>
      <c r="B26" s="455">
        <f t="shared" ca="1" si="2"/>
        <v>496.32776339780992</v>
      </c>
      <c r="C26" s="455">
        <f t="shared" ca="1" si="3"/>
        <v>0</v>
      </c>
      <c r="D26" s="455">
        <f t="shared" si="4"/>
        <v>416.98841873772739</v>
      </c>
      <c r="E26" s="455">
        <f t="shared" si="5"/>
        <v>2.0466694960348417</v>
      </c>
      <c r="F26" s="455">
        <f t="shared" si="6"/>
        <v>275.51209520618511</v>
      </c>
      <c r="G26" s="455">
        <f t="shared" si="7"/>
        <v>0</v>
      </c>
      <c r="H26" s="455">
        <f t="shared" si="8"/>
        <v>0</v>
      </c>
      <c r="I26" s="455">
        <f t="shared" si="9"/>
        <v>0</v>
      </c>
      <c r="J26" s="455">
        <f t="shared" si="10"/>
        <v>0.19973548206741529</v>
      </c>
      <c r="K26" s="455">
        <f t="shared" si="11"/>
        <v>0</v>
      </c>
      <c r="L26" s="455">
        <f t="shared" si="12"/>
        <v>0</v>
      </c>
      <c r="M26" s="455">
        <f t="shared" si="13"/>
        <v>0</v>
      </c>
      <c r="N26" s="455">
        <f t="shared" si="14"/>
        <v>0</v>
      </c>
      <c r="O26" s="455">
        <f t="shared" si="15"/>
        <v>0</v>
      </c>
      <c r="P26" s="456">
        <f t="shared" si="16"/>
        <v>0</v>
      </c>
      <c r="Q26" s="454">
        <f t="shared" ca="1" si="17"/>
        <v>1191.0746823198247</v>
      </c>
    </row>
    <row r="27" spans="1:17" s="460" customFormat="1">
      <c r="A27" s="458" t="s">
        <v>552</v>
      </c>
      <c r="B27" s="778">
        <f t="shared" ca="1" si="2"/>
        <v>14.841536301447393</v>
      </c>
      <c r="C27" s="459">
        <f t="shared" ca="1" si="3"/>
        <v>0</v>
      </c>
      <c r="D27" s="459">
        <f t="shared" si="4"/>
        <v>64.470330197302943</v>
      </c>
      <c r="E27" s="459">
        <f t="shared" si="5"/>
        <v>41.011538737333247</v>
      </c>
      <c r="F27" s="459">
        <f t="shared" si="6"/>
        <v>0</v>
      </c>
      <c r="G27" s="459">
        <f t="shared" si="7"/>
        <v>26226.33384496436</v>
      </c>
      <c r="H27" s="459">
        <f t="shared" si="8"/>
        <v>5117.8117086428401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31464.468958843281</v>
      </c>
    </row>
    <row r="28" spans="1:17" ht="16.5" customHeight="1">
      <c r="A28" s="454" t="s">
        <v>542</v>
      </c>
      <c r="B28" s="455">
        <f t="shared" ca="1" si="2"/>
        <v>0</v>
      </c>
      <c r="C28" s="455">
        <f t="shared" ca="1" si="3"/>
        <v>0</v>
      </c>
      <c r="D28" s="455">
        <f t="shared" si="4"/>
        <v>0</v>
      </c>
      <c r="E28" s="455">
        <f t="shared" si="5"/>
        <v>0</v>
      </c>
      <c r="F28" s="455">
        <f t="shared" si="6"/>
        <v>0</v>
      </c>
      <c r="G28" s="455">
        <f t="shared" si="7"/>
        <v>160.99049347005379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160.99049347005379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78.543790298777765</v>
      </c>
      <c r="C32" s="455">
        <f t="shared" ca="1" si="3"/>
        <v>0</v>
      </c>
      <c r="D32" s="455">
        <f t="shared" si="4"/>
        <v>209.55754541949327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288.101335718271</v>
      </c>
    </row>
    <row r="33" spans="1:17" s="466" customFormat="1">
      <c r="A33" s="464" t="s">
        <v>546</v>
      </c>
      <c r="B33" s="465">
        <f ca="1">SUM(B22:B32)</f>
        <v>6343.089097484959</v>
      </c>
      <c r="C33" s="465">
        <f t="shared" ref="C33:Q33" ca="1" si="19">SUM(C22:C32)</f>
        <v>5.4655255255255248</v>
      </c>
      <c r="D33" s="465">
        <f t="shared" ca="1" si="19"/>
        <v>12157.59662966334</v>
      </c>
      <c r="E33" s="465">
        <f t="shared" si="19"/>
        <v>862.81534784761789</v>
      </c>
      <c r="F33" s="465">
        <f t="shared" ca="1" si="19"/>
        <v>5270.8453755328728</v>
      </c>
      <c r="G33" s="465">
        <f t="shared" si="19"/>
        <v>26387.324338434413</v>
      </c>
      <c r="H33" s="465">
        <f t="shared" si="19"/>
        <v>5117.8117086428401</v>
      </c>
      <c r="I33" s="465">
        <f t="shared" si="19"/>
        <v>0</v>
      </c>
      <c r="J33" s="465">
        <f t="shared" si="19"/>
        <v>198.79473308036316</v>
      </c>
      <c r="K33" s="465">
        <f t="shared" si="19"/>
        <v>0</v>
      </c>
      <c r="L33" s="465">
        <f t="shared" ca="1" si="19"/>
        <v>0</v>
      </c>
      <c r="M33" s="465">
        <f t="shared" si="19"/>
        <v>0</v>
      </c>
      <c r="N33" s="465">
        <f t="shared" ca="1" si="19"/>
        <v>0</v>
      </c>
      <c r="O33" s="465">
        <f t="shared" si="19"/>
        <v>0</v>
      </c>
      <c r="P33" s="465">
        <f t="shared" si="19"/>
        <v>0</v>
      </c>
      <c r="Q33" s="465">
        <f t="shared" ca="1" si="19"/>
        <v>56343.742756211941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6097.6482318971866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17</v>
      </c>
      <c r="D8" s="1026">
        <f>'SEAP template'!D76</f>
        <v>18.888888888888886</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3.8155555555555551</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6097.6482318971866</v>
      </c>
      <c r="C10" s="1028">
        <f>SUM(C4:C9)</f>
        <v>17</v>
      </c>
      <c r="D10" s="1028">
        <f t="shared" ref="D10:H10" si="0">SUM(D8:D9)</f>
        <v>18.888888888888886</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3.8155555555555551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0.18227715935505789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24.351351351351351</v>
      </c>
      <c r="D17" s="1027">
        <f>'SEAP template'!D87</f>
        <v>27.057057057057051</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5.4655255255255248</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24.351351351351351</v>
      </c>
      <c r="D20" s="1028">
        <f t="shared" ref="D20:H20" si="2">SUM(D17:D19)</f>
        <v>27.057057057057051</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5.4655255255255248</v>
      </c>
    </row>
    <row r="21" spans="1:16">
      <c r="B21" s="890"/>
    </row>
    <row r="22" spans="1:16">
      <c r="A22" s="467" t="s">
        <v>773</v>
      </c>
      <c r="B22" s="784" t="s">
        <v>771</v>
      </c>
      <c r="C22" s="784">
        <f ca="1">'EF ele_warmte'!B22</f>
        <v>0.22444444444444442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0.18227715935505789</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2020-06-20T15:18:54Z</dcterms:modified>
</cp:coreProperties>
</file>