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5"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4" i="18" l="1"/>
  <c r="V54" i="18"/>
  <c r="U54" i="18"/>
  <c r="T54" i="18"/>
  <c r="S54" i="18"/>
  <c r="R54" i="18"/>
  <c r="Q54" i="18"/>
  <c r="P54" i="18"/>
  <c r="O54" i="18"/>
  <c r="N54" i="18"/>
  <c r="M54" i="18"/>
  <c r="W53" i="18"/>
  <c r="V53" i="18"/>
  <c r="U53" i="18"/>
  <c r="T53" i="18"/>
  <c r="S53" i="18"/>
  <c r="R53" i="18"/>
  <c r="Q53" i="18"/>
  <c r="P53" i="18"/>
  <c r="O53" i="18"/>
  <c r="N53" i="18"/>
  <c r="M53" i="18"/>
  <c r="W52" i="18"/>
  <c r="V52" i="18"/>
  <c r="U52" i="18"/>
  <c r="T52" i="18"/>
  <c r="S52" i="18"/>
  <c r="R52" i="18"/>
  <c r="Q52" i="18"/>
  <c r="P52" i="18"/>
  <c r="O52" i="18"/>
  <c r="N52" i="18"/>
  <c r="M52" i="18"/>
  <c r="W51" i="18"/>
  <c r="H9" i="18" s="1"/>
  <c r="M77" i="14" s="1"/>
  <c r="M9" i="59" s="1"/>
  <c r="V51" i="18"/>
  <c r="U51" i="18"/>
  <c r="I9" i="18" s="1"/>
  <c r="I77" i="14" s="1"/>
  <c r="I9" i="59" s="1"/>
  <c r="T51" i="18"/>
  <c r="S51" i="18"/>
  <c r="E9" i="18" s="1"/>
  <c r="F77" i="14" s="1"/>
  <c r="F9" i="59" s="1"/>
  <c r="R51" i="18"/>
  <c r="Q51" i="18"/>
  <c r="P51" i="18"/>
  <c r="O51" i="18"/>
  <c r="N51" i="18"/>
  <c r="B9" i="18" s="1"/>
  <c r="M51" i="18"/>
  <c r="W47" i="18"/>
  <c r="V47" i="18"/>
  <c r="U47" i="18"/>
  <c r="T47" i="18"/>
  <c r="L6" i="17" s="1"/>
  <c r="L5" i="17" s="1"/>
  <c r="S47" i="18"/>
  <c r="R47" i="18"/>
  <c r="Q47" i="18"/>
  <c r="P47" i="18"/>
  <c r="D6" i="17" s="1"/>
  <c r="O47" i="18"/>
  <c r="N47" i="18"/>
  <c r="M47" i="18"/>
  <c r="W46" i="18"/>
  <c r="V46" i="18"/>
  <c r="U46" i="18"/>
  <c r="T46" i="18"/>
  <c r="S46" i="18"/>
  <c r="R46" i="18"/>
  <c r="Q46" i="18"/>
  <c r="P46" i="18"/>
  <c r="O46" i="18"/>
  <c r="C13" i="15" s="1"/>
  <c r="N46" i="18"/>
  <c r="B13" i="15" s="1"/>
  <c r="M46" i="18"/>
  <c r="W45" i="18"/>
  <c r="V45" i="18"/>
  <c r="U45" i="18"/>
  <c r="T45" i="18"/>
  <c r="S45" i="18"/>
  <c r="F16" i="16" s="1"/>
  <c r="R45" i="18"/>
  <c r="Q45" i="18"/>
  <c r="P45" i="18"/>
  <c r="D16" i="16" s="1"/>
  <c r="O45" i="18"/>
  <c r="N45" i="18"/>
  <c r="W44" i="18"/>
  <c r="V44" i="18"/>
  <c r="U44" i="18"/>
  <c r="T44" i="18"/>
  <c r="S44" i="18"/>
  <c r="R44" i="18"/>
  <c r="Q44" i="18"/>
  <c r="P44" i="18"/>
  <c r="O44" i="18"/>
  <c r="B17" i="18" s="1"/>
  <c r="N44" i="18"/>
  <c r="B8" i="18" s="1"/>
  <c r="M4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6" i="17" l="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60" i="18"/>
  <c r="B64" i="18" s="1"/>
  <c r="B16" i="16"/>
  <c r="K9" i="14"/>
  <c r="H77" i="14"/>
  <c r="J11" i="48"/>
  <c r="J29" i="48" s="1"/>
  <c r="M9" i="14"/>
  <c r="L11" i="48"/>
  <c r="O19" i="14"/>
  <c r="O22" i="14" s="1"/>
  <c r="N10" i="48"/>
  <c r="N28" i="48" s="1"/>
  <c r="J19" i="14"/>
  <c r="J22" i="14" s="1"/>
  <c r="J27" i="14" s="1"/>
  <c r="I10" i="48"/>
  <c r="I28" i="48" s="1"/>
  <c r="J19" i="19"/>
  <c r="K39" i="14" s="1"/>
  <c r="N19" i="19"/>
  <c r="O39" i="14" s="1"/>
  <c r="C60" i="18"/>
  <c r="I6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3" i="18"/>
  <c r="E8" i="18" s="1"/>
  <c r="F76" i="14" s="1"/>
  <c r="F7" i="48"/>
  <c r="F25" i="48" s="1"/>
  <c r="D63" i="18"/>
  <c r="O9" i="18"/>
  <c r="M29" i="48"/>
  <c r="F12" i="17"/>
  <c r="G54" i="14" s="1"/>
  <c r="G56" i="14" s="1"/>
  <c r="C64" i="18"/>
  <c r="C63" i="18"/>
  <c r="B10" i="18"/>
  <c r="E64" i="18"/>
  <c r="E17" i="18" s="1"/>
  <c r="F87" i="14" s="1"/>
  <c r="G64" i="18"/>
  <c r="D7" i="48"/>
  <c r="D25" i="48" s="1"/>
  <c r="H63" i="18"/>
  <c r="G63" i="18"/>
  <c r="D64" i="18"/>
  <c r="L28" i="48"/>
  <c r="H64" i="18"/>
  <c r="I64" i="18"/>
  <c r="H17" i="18" s="1"/>
  <c r="F64" i="18"/>
  <c r="F63" i="18"/>
  <c r="H10" i="18"/>
  <c r="M78" i="14"/>
  <c r="B6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9" i="20"/>
  <c r="C20" i="16"/>
  <c r="C22" i="16" s="1"/>
  <c r="D43" i="14" s="1"/>
  <c r="C17" i="49"/>
  <c r="C18" i="15"/>
  <c r="C20" i="15" s="1"/>
  <c r="D40" i="14" s="1"/>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<sst xmlns="http://schemas.openxmlformats.org/spreadsheetml/2006/main" count="2514" uniqueCount="925">
  <si>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</si>
  <si>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</si>
  <si>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</si>
  <si>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</si>
  <si>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</si>
  <si>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</si>
  <si>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</si>
  <si>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</si>
  <si>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</si>
  <si>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</si>
  <si>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</si>
  <si>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</si>
  <si>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</si>
  <si>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</si>
  <si>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</si>
  <si>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</si>
  <si>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</si>
  <si>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</si>
  <si>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</si>
  <si>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</si>
  <si>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</si>
  <si>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</si>
  <si>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</si>
  <si>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</si>
  <si>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</si>
  <si>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</si>
  <si>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</si>
  <si>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</si>
  <si>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</si>
  <si>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</si>
  <si>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</si>
  <si>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</si>
  <si>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</si>
  <si>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</si>
  <si>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</si>
  <si>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</si>
  <si>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</si>
  <si>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</si>
  <si>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</si>
  <si>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</si>
  <si>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</si>
  <si>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</si>
  <si>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</si>
  <si>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</si>
  <si>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</si>
  <si>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</si>
  <si>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</si>
  <si>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</si>
  <si>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</si>
  <si>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</si>
  <si>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</si>
  <si>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</si>
  <si>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</si>
  <si>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</si>
  <si>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</si>
  <si>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</si>
  <si>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</si>
  <si>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</si>
  <si>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</si>
  <si>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</si>
  <si>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</si>
  <si>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</si>
  <si>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</si>
  <si>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</si>
  <si>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</si>
  <si>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</si>
  <si>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</si>
  <si>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</si>
  <si>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</si>
  <si>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</si>
  <si>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</si>
  <si>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</si>
  <si>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</si>
  <si>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</si>
  <si>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</si>
  <si>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</si>
  <si>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</si>
  <si>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</si>
  <si>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</si>
  <si>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</si>
  <si>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</si>
  <si>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</si>
  <si>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</si>
  <si>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</si>
  <si>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</si>
  <si>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</si>
  <si>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</si>
  <si>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</si>
  <si>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</si>
  <si>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</si>
  <si>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</si>
  <si>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</si>
  <si>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</si>
  <si>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</si>
  <si>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</si>
  <si>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</si>
  <si>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</si>
  <si>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</si>
  <si>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</si>
  <si>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</si>
  <si>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</si>
  <si>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</si>
  <si>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</si>
  <si>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</si>
  <si>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</si>
  <si>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</si>
  <si>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</si>
  <si>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</si>
  <si>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</si>
  <si>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</si>
  <si>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</si>
  <si>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</si>
  <si>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</si>
  <si>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</si>
  <si>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</si>
  <si>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</si>
  <si>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</si>
  <si>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</si>
  <si>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</si>
  <si>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</si>
  <si>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</si>
  <si>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</si>
  <si>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</si>
  <si>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</si>
  <si>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</si>
  <si>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</si>
  <si>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</si>
  <si>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</si>
  <si>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</si>
  <si>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</si>
  <si>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</si>
  <si>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</si>
  <si>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</si>
  <si>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</si>
  <si>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</si>
  <si>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</si>
  <si>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</si>
  <si>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</si>
  <si>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</si>
  <si>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</si>
  <si>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</si>
  <si>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</si>
  <si>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</si>
  <si>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</si>
  <si>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</si>
  <si>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</si>
  <si>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</si>
  <si>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</si>
  <si>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</si>
  <si>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</si>
  <si>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</si>
  <si>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</si>
  <si>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</si>
  <si>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</si>
  <si>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</si>
  <si>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</si>
  <si>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</si>
  <si>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</si>
  <si>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</si>
  <si>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</si>
  <si>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</si>
  <si>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</si>
  <si>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</si>
  <si>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</si>
  <si>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</si>
  <si>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</si>
  <si>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</si>
  <si>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</si>
  <si>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</si>
  <si>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</si>
  <si>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</si>
  <si>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</si>
  <si>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</si>
  <si>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</si>
  <si>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</si>
  <si>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</si>
  <si>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</si>
  <si>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</si>
  <si>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</si>
  <si>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</si>
  <si>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</si>
  <si>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</si>
  <si>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</si>
  <si>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</si>
  <si>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</si>
  <si>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</si>
  <si>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</si>
  <si>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</si>
  <si>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</si>
  <si>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</si>
  <si>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</si>
  <si>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</si>
  <si>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</si>
  <si>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</si>
  <si>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</si>
  <si>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</si>
  <si>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</si>
  <si>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</si>
  <si>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</si>
  <si>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</si>
  <si>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</si>
  <si>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</si>
  <si>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</si>
  <si>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</si>
  <si>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</si>
  <si>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</si>
  <si>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</si>
  <si>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</si>
  <si>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</si>
  <si>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</si>
  <si>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</si>
  <si>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</si>
  <si>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</si>
  <si>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</si>
  <si>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</si>
  <si>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</si>
  <si>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</si>
  <si>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</si>
  <si>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</si>
  <si>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</si>
  <si>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</si>
  <si>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</si>
  <si>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</si>
  <si>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</si>
  <si>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</si>
  <si>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</si>
  <si>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</si>
  <si>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</si>
  <si>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</si>
  <si>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</si>
  <si>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</si>
  <si>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</si>
  <si>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</si>
  <si>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</si>
  <si>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</si>
  <si>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</si>
  <si>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</si>
  <si>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</si>
  <si>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</si>
  <si>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</si>
  <si>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</si>
  <si>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</si>
  <si>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</si>
  <si>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</si>
  <si>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</si>
  <si>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</si>
  <si>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</si>
  <si>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</si>
  <si>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</si>
  <si>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</si>
  <si>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</si>
  <si>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</si>
  <si>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</si>
  <si>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</si>
  <si>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</si>
  <si>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</si>
  <si>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</si>
  <si>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</si>
  <si>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</si>
  <si>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</si>
  <si>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</si>
  <si>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</si>
  <si>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</si>
  <si>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</si>
  <si>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</si>
  <si>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</si>
  <si>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</si>
  <si>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</si>
  <si>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</si>
  <si>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</si>
  <si>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</si>
  <si>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</si>
  <si>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</si>
  <si>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</si>
  <si>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</si>
  <si>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</si>
  <si>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</si>
  <si>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</si>
  <si>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</si>
  <si>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</si>
  <si>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</si>
  <si>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</si>
  <si>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</si>
  <si>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</si>
  <si>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</si>
  <si>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</si>
  <si>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</si>
  <si>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</si>
  <si>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</si>
  <si>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</si>
  <si>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</si>
  <si>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</si>
  <si>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</si>
  <si>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</si>
  <si>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</si>
  <si>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</si>
  <si>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</si>
  <si>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</si>
  <si>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</si>
  <si>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</si>
  <si>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</si>
  <si>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</si>
  <si>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</si>
  <si>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</si>
  <si>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</si>
  <si>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</si>
  <si>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</si>
  <si>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</si>
  <si>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</si>
  <si>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</si>
  <si>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</si>
  <si>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</si>
  <si>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</si>
  <si>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</si>
  <si>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</si>
  <si>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</si>
  <si>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</si>
  <si>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</si>
  <si>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</si>
  <si>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</si>
  <si>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</si>
  <si>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</si>
  <si>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</si>
  <si>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</si>
  <si>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</si>
  <si>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</si>
  <si>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</si>
  <si>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</si>
  <si>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</si>
  <si>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</si>
  <si>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</si>
  <si>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</si>
  <si>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</si>
  <si>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</si>
  <si>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</si>
  <si>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</si>
  <si>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</si>
  <si>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</si>
  <si>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</si>
  <si>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</si>
  <si>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</si>
  <si>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</si>
  <si>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</si>
  <si>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</si>
  <si>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</si>
  <si>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</si>
  <si>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</si>
  <si>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</si>
  <si>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</si>
  <si>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</si>
  <si>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</si>
  <si>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</si>
  <si>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</si>
  <si>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</si>
  <si>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</si>
  <si>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</si>
  <si>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</si>
  <si>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</si>
  <si>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</si>
  <si>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</si>
  <si>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</si>
  <si>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</si>
  <si>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</si>
  <si>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</si>
  <si>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</si>
  <si>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</si>
  <si>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</si>
  <si>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</si>
  <si>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</si>
  <si>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</si>
  <si>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</si>
  <si>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</si>
  <si>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</si>
  <si>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</si>
  <si>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</si>
  <si>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</si>
  <si>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</si>
  <si>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</si>
  <si>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</si>
  <si>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</si>
  <si>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</si>
  <si>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</si>
  <si>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</si>
  <si>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</si>
  <si>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</si>
  <si>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</si>
  <si>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</si>
  <si>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</si>
  <si>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</si>
  <si>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</si>
  <si>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</si>
  <si>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</si>
  <si>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</si>
  <si>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</si>
  <si>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</si>
  <si>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</si>
  <si>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</si>
  <si>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</si>
  <si>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</si>
  <si>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</si>
  <si>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</si>
  <si>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</si>
  <si>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</si>
  <si>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</si>
  <si>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</si>
  <si>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</si>
  <si>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</si>
  <si>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</si>
  <si>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</si>
  <si>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</si>
  <si>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</si>
  <si>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</si>
  <si>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</si>
  <si>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</si>
  <si>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</si>
  <si>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</si>
  <si>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</si>
  <si>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</si>
  <si>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</si>
  <si>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</si>
  <si>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</si>
  <si>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</si>
  <si>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</si>
  <si>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</si>
  <si>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</si>
  <si>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</si>
  <si>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</si>
  <si>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</si>
  <si>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</si>
  <si>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</si>
  <si>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</si>
  <si>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</si>
  <si>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</si>
  <si>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</si>
  <si>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</si>
  <si>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</si>
  <si>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</si>
  <si>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</si>
  <si>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</si>
  <si>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</si>
  <si>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</si>
  <si>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</si>
  <si>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</si>
  <si>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</si>
  <si>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</si>
  <si>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</si>
  <si>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</si>
  <si>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</si>
  <si>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</si>
  <si>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</si>
  <si>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</si>
  <si>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</si>
  <si>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</si>
  <si>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</si>
  <si>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</si>
  <si>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</si>
  <si>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</si>
  <si>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</si>
  <si>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</si>
  <si>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</si>
  <si>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</si>
  <si>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</si>
  <si>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</si>
  <si>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</si>
  <si>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</si>
  <si>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</si>
  <si>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</si>
  <si>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</si>
  <si>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</si>
  <si>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</si>
  <si>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</si>
  <si>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</si>
  <si>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</si>
  <si>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</si>
  <si>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</si>
  <si>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</si>
  <si>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</si>
  <si>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</si>
  <si>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</si>
  <si>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</si>
  <si>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</si>
  <si>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</si>
  <si>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</si>
  <si>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</si>
  <si>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</si>
  <si>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</si>
  <si>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</si>
  <si>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</si>
  <si>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</si>
  <si>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</si>
  <si>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</si>
  <si>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</si>
  <si>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</si>
  <si>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</si>
  <si>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</si>
  <si>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</si>
  <si>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</si>
  <si>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</si>
  <si>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</si>
  <si>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</si>
  <si>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</si>
  <si>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</si>
  <si>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</si>
  <si>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</si>
  <si>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</si>
  <si>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</si>
  <si>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</si>
  <si>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</si>
  <si>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</si>
  <si>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</si>
  <si>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</si>
  <si>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</si>
  <si>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</si>
  <si>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</si>
  <si>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</si>
  <si>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</si>
  <si>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</si>
  <si>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</si>
  <si>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</si>
  <si>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</si>
  <si>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</si>
  <si>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</si>
  <si>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</si>
  <si>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</si>
  <si>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</si>
  <si>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</si>
  <si>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</si>
  <si>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</si>
  <si>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</si>
  <si>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</si>
  <si>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</si>
  <si>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</si>
  <si>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</si>
  <si>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</si>
  <si>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</si>
  <si>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</si>
  <si>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</si>
  <si>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</si>
  <si>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</si>
  <si>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</si>
  <si>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</si>
  <si>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</si>
  <si>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</si>
  <si>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</si>
  <si>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</si>
  <si>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</si>
  <si>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</si>
  <si>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</si>
  <si>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</si>
  <si>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</si>
  <si>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</si>
  <si>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</si>
  <si>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</si>
  <si>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</si>
  <si>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</si>
  <si>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</si>
  <si>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</si>
  <si>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</si>
  <si>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</si>
  <si>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</si>
  <si>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</si>
  <si>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</si>
  <si>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</si>
  <si>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</si>
  <si>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</si>
  <si>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</si>
  <si>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</si>
  <si>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</si>
  <si>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</si>
  <si>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</si>
  <si>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</si>
  <si>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</si>
  <si>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</si>
  <si>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</si>
  <si>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</si>
  <si>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</si>
  <si>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</si>
  <si>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</si>
  <si>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</si>
  <si>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</si>
  <si>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</si>
  <si>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</si>
  <si>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</si>
  <si>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</si>
  <si>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</si>
  <si>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</si>
  <si>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</si>
  <si>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</si>
  <si>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</si>
  <si>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</si>
  <si>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</si>
  <si>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</si>
  <si>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</si>
  <si>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</si>
  <si>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</si>
  <si>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</si>
  <si>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</si>
  <si>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</si>
  <si>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</si>
  <si>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</si>
  <si>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</si>
  <si>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</si>
  <si>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</si>
  <si>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</si>
  <si>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</si>
  <si>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</si>
  <si>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</si>
  <si>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</si>
  <si>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</si>
  <si>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</si>
  <si>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</si>
  <si>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</si>
  <si>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</si>
  <si>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</si>
  <si>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</si>
  <si>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</si>
  <si>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</si>
  <si>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</si>
  <si>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</si>
  <si>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</si>
  <si>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</si>
  <si>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</si>
  <si>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</si>
  <si>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</si>
  <si>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</si>
  <si>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</si>
  <si>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</si>
  <si>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</si>
  <si>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</si>
  <si>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</si>
  <si>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</si>
  <si>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</si>
  <si>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</si>
  <si>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</si>
  <si>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</si>
  <si>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</si>
  <si>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</si>
  <si>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</si>
  <si>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</si>
  <si>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</si>
  <si>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</si>
  <si>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</si>
  <si>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</si>
  <si>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</si>
  <si>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</si>
  <si>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</si>
  <si>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</si>
  <si>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</si>
  <si>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</si>
  <si>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</si>
  <si>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</si>
  <si>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</si>
  <si>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</si>
  <si>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</si>
  <si>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</si>
  <si>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</si>
  <si>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</si>
  <si>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</si>
  <si>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</si>
  <si>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</si>
  <si>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</si>
  <si>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</si>
  <si>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</si>
  <si>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</si>
  <si>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</si>
  <si>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</si>
  <si>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</si>
  <si>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</si>
  <si>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</si>
  <si>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</si>
  <si>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</si>
  <si>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</si>
  <si>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</si>
  <si>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</si>
  <si>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</si>
  <si>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</si>
  <si>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</si>
  <si>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</si>
  <si>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</si>
  <si>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</si>
  <si>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</si>
  <si>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</si>
  <si>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</si>
  <si>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</si>
  <si>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</si>
  <si>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</si>
  <si>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</si>
  <si>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</si>
  <si>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</si>
  <si>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</si>
  <si>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</si>
  <si>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</si>
  <si>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</si>
  <si>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</si>
  <si>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</si>
  <si>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</si>
  <si>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</si>
  <si>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</si>
  <si>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</si>
  <si>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</si>
  <si>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</si>
  <si>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</si>
  <si>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</si>
  <si>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</si>
  <si>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</si>
  <si>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</si>
  <si>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</si>
  <si>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</si>
  <si>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</si>
  <si>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</si>
  <si>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</si>
  <si>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</si>
  <si>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</si>
  <si>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</si>
  <si>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</si>
  <si>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</si>
  <si>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</si>
  <si>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</si>
  <si>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</si>
  <si>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</si>
  <si>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</si>
  <si>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</si>
  <si>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</si>
  <si>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</si>
  <si>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</si>
  <si>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</si>
  <si>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</si>
  <si>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</si>
  <si>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</si>
  <si>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</si>
  <si>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</si>
  <si>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</si>
  <si>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</si>
  <si>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</si>
  <si>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</si>
  <si>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</si>
  <si>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</si>
  <si>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</si>
  <si>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</si>
  <si>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</si>
  <si>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</si>
  <si>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</si>
  <si>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</si>
  <si>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</si>
  <si>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</si>
  <si>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</si>
  <si>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</si>
  <si>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</si>
  <si>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</si>
  <si>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</si>
  <si>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</si>
  <si>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</si>
  <si>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</si>
  <si>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</si>
  <si>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</si>
  <si>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</si>
  <si>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</si>
  <si>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</si>
  <si>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</si>
  <si>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</si>
  <si>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</si>
  <si>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</si>
  <si>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</si>
  <si>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</si>
  <si>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</si>
  <si>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</si>
  <si>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</si>
  <si>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</si>
  <si>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</si>
  <si>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</si>
  <si>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</si>
  <si>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</si>
  <si>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</si>
  <si>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</si>
  <si>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</si>
  <si>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</si>
  <si>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</si>
  <si>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</si>
  <si>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</si>
  <si>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</si>
  <si>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</si>
  <si>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</si>
  <si>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</si>
  <si>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</si>
  <si>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</si>
  <si>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</si>
  <si>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</si>
  <si>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</si>
  <si>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</si>
  <si>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</si>
  <si>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</si>
  <si>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</si>
  <si>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</si>
  <si>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</si>
  <si>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</si>
  <si>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</si>
  <si>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</si>
  <si>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</si>
  <si>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</si>
  <si>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</si>
  <si>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</si>
  <si>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</si>
  <si>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</si>
  <si>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</si>
  <si>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</si>
  <si>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</si>
  <si>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</si>
  <si>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</si>
  <si>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</si>
  <si>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</si>
  <si>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</si>
  <si>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</si>
  <si>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</si>
  <si>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</si>
  <si>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</si>
  <si>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</si>
  <si>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</si>
  <si>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</si>
  <si>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</si>
  <si>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</si>
  <si>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</si>
  <si>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</si>
  <si>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</si>
  <si>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</si>
  <si>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</si>
  <si>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</si>
  <si>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</si>
  <si>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</si>
  <si>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</si>
  <si>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</si>
  <si>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</si>
  <si>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</si>
  <si>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</si>
  <si>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</si>
  <si>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</si>
  <si>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</si>
  <si>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</si>
  <si>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</si>
  <si>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</si>
  <si>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</si>
  <si>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</si>
  <si>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</si>
  <si>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</si>
  <si>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</si>
  <si>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</si>
  <si>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</si>
  <si>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</si>
  <si>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</si>
  <si>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</si>
  <si>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</si>
  <si>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</si>
  <si>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</si>
  <si>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</si>
  <si>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</si>
  <si>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</si>
  <si>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</si>
  <si>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</si>
  <si>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</si>
  <si>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</si>
  <si>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</si>
  <si>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</si>
  <si>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</si>
  <si>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13023</t>
  </si>
  <si>
    <t>MERKSPLAS</t>
  </si>
  <si>
    <t>referentietaak LNE (2017); Jaarverslag De Lijn</t>
  </si>
  <si>
    <t>Groeikracht Merksplas nv</t>
  </si>
  <si>
    <t>Horst 8, 2330 Merksplas</t>
  </si>
  <si>
    <t>WKK-0012a Groeikracht Merksplas</t>
  </si>
  <si>
    <t>interne verbrandingsmotor</t>
  </si>
  <si>
    <t>WKK interne verbrandinsgmotor (gas)</t>
  </si>
  <si>
    <t>IVEG</t>
  </si>
  <si>
    <t>BVBA De Groentuin</t>
  </si>
  <si>
    <t>Koekhoven 41 A, 2330 Merksplas</t>
  </si>
  <si>
    <t>WKK-0052 De Groentuin</t>
  </si>
  <si>
    <t>Koekhoven 31, 2330 Merksplas</t>
  </si>
  <si>
    <t>Groeikracht Marvado NV</t>
  </si>
  <si>
    <t>Geheul 13, 2330 Merksplas</t>
  </si>
  <si>
    <t>WKK-0071 Groeikracht Marvado</t>
  </si>
  <si>
    <t>IVEG (via INFRAX)</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</si>
  <si>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</si>
  <si>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</si>
  <si>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</si>
  <si>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</si>
  <si>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</si>
  <si>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</si>
  <si>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</si>
  <si>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</si>
  <si>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</si>
  <si>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</si>
  <si>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</si>
  <si>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</si>
  <si>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</si>
  <si>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</si>
  <si>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</si>
  <si>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</si>
  <si>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</si>
  <si>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</si>
  <si>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</si>
  <si>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</si>
  <si>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</si>
  <si>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</si>
  <si>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</si>
  <si>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</si>
  <si>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</si>
  <si>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</si>
  <si>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</si>
  <si>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Dielis B</t>
  </si>
  <si>
    <t>WKK-0692</t>
  </si>
  <si>
    <t>Interne verbrandingsmotor</t>
  </si>
  <si>
    <t>Koekhoven  59</t>
  </si>
  <si>
    <t>Den Berk II</t>
  </si>
  <si>
    <t>WKK-0634</t>
  </si>
  <si>
    <t>Berkelaar 10</t>
  </si>
  <si>
    <t>Groeikracht de Markvallei</t>
  </si>
  <si>
    <t>Merksplas</t>
  </si>
  <si>
    <t>WKK-0034</t>
  </si>
  <si>
    <t>Horst 12</t>
  </si>
  <si>
    <t>Groeikracht De Markvallei II</t>
  </si>
  <si>
    <t>WKK-0741</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</si>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</sst>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81278.027132829273</c:v>
                </c:pt>
                <c:pt idx="1">
                  <c:v>36120.173573297463</c:v>
                </c:pt>
                <c:pt idx="2">
                  <c:v>450.24934400000001</c:v>
                </c:pt>
                <c:pt idx="3">
                  <c:v>462640.60903936072</c:v>
                </c:pt>
                <c:pt idx="4">
                  <c:v>7269.7514782018588</c:v>
                </c:pt>
                <c:pt idx="5">
                  <c:v>45748.456838934988</c:v>
                </c:pt>
                <c:pt idx="6">
                  <c:v>829.80201317599369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81278.027132829273</c:v>
                </c:pt>
                <c:pt idx="1">
                  <c:v>36120.173573297463</c:v>
                </c:pt>
                <c:pt idx="2">
                  <c:v>450.24934400000001</c:v>
                </c:pt>
                <c:pt idx="3">
                  <c:v>462640.60903936072</c:v>
                </c:pt>
                <c:pt idx="4">
                  <c:v>7269.7514782018588</c:v>
                </c:pt>
                <c:pt idx="5">
                  <c:v>45748.456838934988</c:v>
                </c:pt>
                <c:pt idx="6">
                  <c:v>829.80201317599369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12406.717810848897</c:v>
                </c:pt>
                <c:pt idx="1">
                  <c:v>7597.9737839194431</c:v>
                </c:pt>
                <c:pt idx="2">
                  <c:v>93.464899517119662</c:v>
                </c:pt>
                <c:pt idx="3">
                  <c:v>100571.33142738185</c:v>
                </c:pt>
                <c:pt idx="4">
                  <c:v>1519.6006578393637</c:v>
                </c:pt>
                <c:pt idx="5">
                  <c:v>11353.500564839995</c:v>
                </c:pt>
                <c:pt idx="6">
                  <c:v>210.15303679623824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12406.717810848897</c:v>
                </c:pt>
                <c:pt idx="1">
                  <c:v>7597.9737839194431</c:v>
                </c:pt>
                <c:pt idx="2">
                  <c:v>93.464899517119662</c:v>
                </c:pt>
                <c:pt idx="3">
                  <c:v>100571.33142738185</c:v>
                </c:pt>
                <c:pt idx="4">
                  <c:v>1519.6006578393637</c:v>
                </c:pt>
                <c:pt idx="5">
                  <c:v>11353.500564839995</c:v>
                </c:pt>
                <c:pt idx="6">
                  <c:v>210.15303679623824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13023</v>
      </c>
      <c r="B6" s="392"/>
      <c r="C6" s="393"/>
    </row>
    <row r="7" spans="1:7" s="390" customFormat="1" ht="15.75" customHeight="1">
      <c r="A7" s="394" t="str">
        <f>txtMunicipality</f>
        <v>MERKSPLAS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0.20758475445356708</v>
      </c>
      <c r="C17" s="504">
        <f ca="1">'EF ele_warmte'!B22</f>
        <v>0.21240394011438188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0.20758475445356708</v>
      </c>
      <c r="C29" s="505">
        <f ca="1">'EF ele_warmte'!B22</f>
        <v>0.21240394011438188</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2542.71</v>
      </c>
      <c r="C14" s="332"/>
      <c r="D14" s="332"/>
      <c r="E14" s="332"/>
      <c r="F14" s="332"/>
    </row>
    <row r="15" spans="1:6">
      <c r="A15" s="1310" t="s">
        <v>183</v>
      </c>
      <c r="B15" s="1311">
        <v>12293</v>
      </c>
      <c r="C15" s="332"/>
      <c r="D15" s="332"/>
      <c r="E15" s="332"/>
      <c r="F15" s="332"/>
    </row>
    <row r="16" spans="1:6">
      <c r="A16" s="1310" t="s">
        <v>6</v>
      </c>
      <c r="B16" s="1311">
        <v>4106</v>
      </c>
      <c r="C16" s="332"/>
      <c r="D16" s="332"/>
      <c r="E16" s="332"/>
      <c r="F16" s="332"/>
    </row>
    <row r="17" spans="1:6">
      <c r="A17" s="1310" t="s">
        <v>7</v>
      </c>
      <c r="B17" s="1311">
        <v>412</v>
      </c>
      <c r="C17" s="332"/>
      <c r="D17" s="332"/>
      <c r="E17" s="332"/>
      <c r="F17" s="332"/>
    </row>
    <row r="18" spans="1:6">
      <c r="A18" s="1310" t="s">
        <v>8</v>
      </c>
      <c r="B18" s="1311">
        <v>2110</v>
      </c>
      <c r="C18" s="332"/>
      <c r="D18" s="332"/>
      <c r="E18" s="332"/>
      <c r="F18" s="332"/>
    </row>
    <row r="19" spans="1:6">
      <c r="A19" s="1310" t="s">
        <v>9</v>
      </c>
      <c r="B19" s="1311">
        <v>1781</v>
      </c>
      <c r="C19" s="332"/>
      <c r="D19" s="332"/>
      <c r="E19" s="332"/>
      <c r="F19" s="332"/>
    </row>
    <row r="20" spans="1:6">
      <c r="A20" s="1310" t="s">
        <v>10</v>
      </c>
      <c r="B20" s="1311">
        <v>792</v>
      </c>
      <c r="C20" s="332"/>
      <c r="D20" s="332"/>
      <c r="E20" s="332"/>
      <c r="F20" s="332"/>
    </row>
    <row r="21" spans="1:6">
      <c r="A21" s="1310" t="s">
        <v>11</v>
      </c>
      <c r="B21" s="1311">
        <v>21196</v>
      </c>
      <c r="C21" s="332"/>
      <c r="D21" s="332"/>
      <c r="E21" s="332"/>
      <c r="F21" s="332"/>
    </row>
    <row r="22" spans="1:6">
      <c r="A22" s="1310" t="s">
        <v>12</v>
      </c>
      <c r="B22" s="1311">
        <v>43272</v>
      </c>
      <c r="C22" s="332"/>
      <c r="D22" s="332"/>
      <c r="E22" s="332"/>
      <c r="F22" s="332"/>
    </row>
    <row r="23" spans="1:6">
      <c r="A23" s="1310" t="s">
        <v>13</v>
      </c>
      <c r="B23" s="1311">
        <v>1020</v>
      </c>
      <c r="C23" s="332"/>
      <c r="D23" s="332"/>
      <c r="E23" s="332"/>
      <c r="F23" s="332"/>
    </row>
    <row r="24" spans="1:6">
      <c r="A24" s="1310" t="s">
        <v>14</v>
      </c>
      <c r="B24" s="1311">
        <v>30</v>
      </c>
      <c r="C24" s="332"/>
      <c r="D24" s="332"/>
      <c r="E24" s="332"/>
      <c r="F24" s="332"/>
    </row>
    <row r="25" spans="1:6">
      <c r="A25" s="1310" t="s">
        <v>15</v>
      </c>
      <c r="B25" s="1311">
        <v>5073</v>
      </c>
      <c r="C25" s="332"/>
      <c r="D25" s="332"/>
      <c r="E25" s="332"/>
      <c r="F25" s="332"/>
    </row>
    <row r="26" spans="1:6">
      <c r="A26" s="1310" t="s">
        <v>16</v>
      </c>
      <c r="B26" s="1311">
        <v>14</v>
      </c>
      <c r="C26" s="332"/>
      <c r="D26" s="332"/>
      <c r="E26" s="332"/>
      <c r="F26" s="332"/>
    </row>
    <row r="27" spans="1:6">
      <c r="A27" s="1310" t="s">
        <v>17</v>
      </c>
      <c r="B27" s="1311">
        <v>2007</v>
      </c>
      <c r="C27" s="332"/>
      <c r="D27" s="332"/>
      <c r="E27" s="332"/>
      <c r="F27" s="332"/>
    </row>
    <row r="28" spans="1:6" s="43" customFormat="1">
      <c r="A28" s="1312" t="s">
        <v>18</v>
      </c>
      <c r="B28" s="1313">
        <v>778579</v>
      </c>
      <c r="C28" s="338"/>
      <c r="D28" s="338"/>
      <c r="E28" s="338"/>
      <c r="F28" s="338"/>
    </row>
    <row r="29" spans="1:6">
      <c r="A29" s="1312" t="s">
        <v>699</v>
      </c>
      <c r="B29" s="1313">
        <v>112</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62797.258000000002</v>
      </c>
    </row>
    <row r="36" spans="1:6">
      <c r="A36" s="1310" t="s">
        <v>24</v>
      </c>
      <c r="B36" s="1310" t="s">
        <v>26</v>
      </c>
      <c r="C36" s="1311">
        <v>0</v>
      </c>
      <c r="D36" s="1311">
        <v>0</v>
      </c>
      <c r="E36" s="1311">
        <v>10</v>
      </c>
      <c r="F36" s="1311">
        <v>352514.92300000001</v>
      </c>
    </row>
    <row r="37" spans="1:6">
      <c r="A37" s="1310" t="s">
        <v>24</v>
      </c>
      <c r="B37" s="1310" t="s">
        <v>27</v>
      </c>
      <c r="C37" s="1311">
        <v>0</v>
      </c>
      <c r="D37" s="1311">
        <v>0</v>
      </c>
      <c r="E37" s="1311">
        <v>0</v>
      </c>
      <c r="F37" s="1311">
        <v>0</v>
      </c>
    </row>
    <row r="38" spans="1:6">
      <c r="A38" s="1310" t="s">
        <v>24</v>
      </c>
      <c r="B38" s="1310" t="s">
        <v>28</v>
      </c>
      <c r="C38" s="1311">
        <v>3</v>
      </c>
      <c r="D38" s="1311">
        <v>33123111.542034</v>
      </c>
      <c r="E38" s="1311">
        <v>1</v>
      </c>
      <c r="F38" s="1311">
        <v>5262.39</v>
      </c>
    </row>
    <row r="39" spans="1:6">
      <c r="A39" s="1310" t="s">
        <v>29</v>
      </c>
      <c r="B39" s="1310" t="s">
        <v>30</v>
      </c>
      <c r="C39" s="1311">
        <v>2397</v>
      </c>
      <c r="D39" s="1311">
        <v>41443222.716752902</v>
      </c>
      <c r="E39" s="1311">
        <v>3247</v>
      </c>
      <c r="F39" s="1311">
        <v>11095473.21785289</v>
      </c>
    </row>
    <row r="40" spans="1:6">
      <c r="A40" s="1310" t="s">
        <v>29</v>
      </c>
      <c r="B40" s="1310" t="s">
        <v>28</v>
      </c>
      <c r="C40" s="1311">
        <v>0</v>
      </c>
      <c r="D40" s="1311">
        <v>0</v>
      </c>
      <c r="E40" s="1311">
        <v>0</v>
      </c>
      <c r="F40" s="1311">
        <v>0</v>
      </c>
    </row>
    <row r="41" spans="1:6">
      <c r="A41" s="1310" t="s">
        <v>31</v>
      </c>
      <c r="B41" s="1310" t="s">
        <v>32</v>
      </c>
      <c r="C41" s="1311">
        <v>46</v>
      </c>
      <c r="D41" s="1311">
        <v>2276731.2262633899</v>
      </c>
      <c r="E41" s="1311">
        <v>93</v>
      </c>
      <c r="F41" s="1311">
        <v>1233199.334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300484.80245154299</v>
      </c>
      <c r="E44" s="1311">
        <v>22</v>
      </c>
      <c r="F44" s="1311">
        <v>629408.63899999997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27997.1594625578</v>
      </c>
      <c r="E48" s="1311">
        <v>3</v>
      </c>
      <c r="F48" s="1311">
        <v>27167.530999999999</v>
      </c>
    </row>
    <row r="49" spans="1:6">
      <c r="A49" s="1310" t="s">
        <v>31</v>
      </c>
      <c r="B49" s="1310" t="s">
        <v>39</v>
      </c>
      <c r="C49" s="1311">
        <v>0</v>
      </c>
      <c r="D49" s="1311">
        <v>0</v>
      </c>
      <c r="E49" s="1311">
        <v>0</v>
      </c>
      <c r="F49" s="1311">
        <v>0</v>
      </c>
    </row>
    <row r="50" spans="1:6">
      <c r="A50" s="1310" t="s">
        <v>31</v>
      </c>
      <c r="B50" s="1310" t="s">
        <v>40</v>
      </c>
      <c r="C50" s="1311">
        <v>4</v>
      </c>
      <c r="D50" s="1311">
        <v>495503.04102864303</v>
      </c>
      <c r="E50" s="1311">
        <v>7</v>
      </c>
      <c r="F50" s="1311">
        <v>1630429.5819999999</v>
      </c>
    </row>
    <row r="51" spans="1:6">
      <c r="A51" s="1310" t="s">
        <v>41</v>
      </c>
      <c r="B51" s="1310" t="s">
        <v>42</v>
      </c>
      <c r="C51" s="1311">
        <v>22</v>
      </c>
      <c r="D51" s="1311">
        <v>804316790.12497497</v>
      </c>
      <c r="E51" s="1311">
        <v>145</v>
      </c>
      <c r="F51" s="1311">
        <v>11454556.919</v>
      </c>
    </row>
    <row r="52" spans="1:6">
      <c r="A52" s="1310" t="s">
        <v>41</v>
      </c>
      <c r="B52" s="1310" t="s">
        <v>28</v>
      </c>
      <c r="C52" s="1311">
        <v>0</v>
      </c>
      <c r="D52" s="1311">
        <v>0</v>
      </c>
      <c r="E52" s="1311">
        <v>0</v>
      </c>
      <c r="F52" s="1311">
        <v>0</v>
      </c>
    </row>
    <row r="53" spans="1:6">
      <c r="A53" s="1310" t="s">
        <v>43</v>
      </c>
      <c r="B53" s="1310" t="s">
        <v>44</v>
      </c>
      <c r="C53" s="1311">
        <v>12</v>
      </c>
      <c r="D53" s="1311">
        <v>259064.0322861</v>
      </c>
      <c r="E53" s="1311">
        <v>53</v>
      </c>
      <c r="F53" s="1311">
        <v>527605.99300000002</v>
      </c>
    </row>
    <row r="54" spans="1:6">
      <c r="A54" s="1310" t="s">
        <v>45</v>
      </c>
      <c r="B54" s="1310" t="s">
        <v>46</v>
      </c>
      <c r="C54" s="1311">
        <v>0</v>
      </c>
      <c r="D54" s="1311">
        <v>0</v>
      </c>
      <c r="E54" s="1311">
        <v>1</v>
      </c>
      <c r="F54" s="1311">
        <v>450249.34399999998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20</v>
      </c>
      <c r="D57" s="1311">
        <v>790489.09558830399</v>
      </c>
      <c r="E57" s="1311">
        <v>48</v>
      </c>
      <c r="F57" s="1311">
        <v>4232377.5930000003</v>
      </c>
    </row>
    <row r="58" spans="1:6">
      <c r="A58" s="1310" t="s">
        <v>48</v>
      </c>
      <c r="B58" s="1310" t="s">
        <v>50</v>
      </c>
      <c r="C58" s="1311">
        <v>22</v>
      </c>
      <c r="D58" s="1311">
        <v>4755783.2747593196</v>
      </c>
      <c r="E58" s="1311">
        <v>29</v>
      </c>
      <c r="F58" s="1311">
        <v>1172180.7690000001</v>
      </c>
    </row>
    <row r="59" spans="1:6">
      <c r="A59" s="1310" t="s">
        <v>48</v>
      </c>
      <c r="B59" s="1310" t="s">
        <v>51</v>
      </c>
      <c r="C59" s="1311">
        <v>43</v>
      </c>
      <c r="D59" s="1311">
        <v>1864647.4650672399</v>
      </c>
      <c r="E59" s="1311">
        <v>97</v>
      </c>
      <c r="F59" s="1311">
        <v>2510538.1529999999</v>
      </c>
    </row>
    <row r="60" spans="1:6">
      <c r="A60" s="1310" t="s">
        <v>48</v>
      </c>
      <c r="B60" s="1310" t="s">
        <v>52</v>
      </c>
      <c r="C60" s="1311">
        <v>17</v>
      </c>
      <c r="D60" s="1311">
        <v>893021.13562499895</v>
      </c>
      <c r="E60" s="1311">
        <v>30</v>
      </c>
      <c r="F60" s="1311">
        <v>1512259.1710000001</v>
      </c>
    </row>
    <row r="61" spans="1:6">
      <c r="A61" s="1310" t="s">
        <v>48</v>
      </c>
      <c r="B61" s="1310" t="s">
        <v>53</v>
      </c>
      <c r="C61" s="1311">
        <v>62</v>
      </c>
      <c r="D61" s="1311">
        <v>11352785.8916381</v>
      </c>
      <c r="E61" s="1311">
        <v>94</v>
      </c>
      <c r="F61" s="1311">
        <v>3650761.534</v>
      </c>
    </row>
    <row r="62" spans="1:6">
      <c r="A62" s="1310" t="s">
        <v>48</v>
      </c>
      <c r="B62" s="1310" t="s">
        <v>54</v>
      </c>
      <c r="C62" s="1311">
        <v>0</v>
      </c>
      <c r="D62" s="1311">
        <v>0</v>
      </c>
      <c r="E62" s="1311">
        <v>0</v>
      </c>
      <c r="F62" s="1311">
        <v>0</v>
      </c>
    </row>
    <row r="63" spans="1:6">
      <c r="A63" s="1310" t="s">
        <v>48</v>
      </c>
      <c r="B63" s="1310" t="s">
        <v>28</v>
      </c>
      <c r="C63" s="1311">
        <v>1</v>
      </c>
      <c r="D63" s="1311">
        <v>70502.436929130607</v>
      </c>
      <c r="E63" s="1311">
        <v>2</v>
      </c>
      <c r="F63" s="1311">
        <v>110698</v>
      </c>
    </row>
    <row r="64" spans="1:6">
      <c r="A64" s="1310" t="s">
        <v>55</v>
      </c>
      <c r="B64" s="1310" t="s">
        <v>56</v>
      </c>
      <c r="C64" s="1311">
        <v>0</v>
      </c>
      <c r="D64" s="1311">
        <v>0</v>
      </c>
      <c r="E64" s="1311">
        <v>0</v>
      </c>
      <c r="F64" s="1311">
        <v>0</v>
      </c>
    </row>
    <row r="65" spans="1:6">
      <c r="A65" s="1310" t="s">
        <v>55</v>
      </c>
      <c r="B65" s="1310" t="s">
        <v>28</v>
      </c>
      <c r="C65" s="1311">
        <v>1</v>
      </c>
      <c r="D65" s="1311">
        <v>15404.9542690865</v>
      </c>
      <c r="E65" s="1311">
        <v>2</v>
      </c>
      <c r="F65" s="1311">
        <v>9247.366</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70791.760999999999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45871296</v>
      </c>
      <c r="E73" s="453"/>
      <c r="F73" s="332"/>
    </row>
    <row r="74" spans="1:6">
      <c r="A74" s="1310" t="s">
        <v>63</v>
      </c>
      <c r="B74" s="1310" t="s">
        <v>648</v>
      </c>
      <c r="C74" s="1324" t="s">
        <v>650</v>
      </c>
      <c r="D74" s="1325">
        <v>3331612.5376340277</v>
      </c>
      <c r="E74" s="453"/>
      <c r="F74" s="332"/>
    </row>
    <row r="75" spans="1:6">
      <c r="A75" s="1310" t="s">
        <v>64</v>
      </c>
      <c r="B75" s="1310" t="s">
        <v>647</v>
      </c>
      <c r="C75" s="1324" t="s">
        <v>651</v>
      </c>
      <c r="D75" s="1325">
        <v>8323123</v>
      </c>
      <c r="E75" s="453"/>
      <c r="F75" s="332"/>
    </row>
    <row r="76" spans="1:6">
      <c r="A76" s="1310" t="s">
        <v>64</v>
      </c>
      <c r="B76" s="1310" t="s">
        <v>648</v>
      </c>
      <c r="C76" s="1324" t="s">
        <v>652</v>
      </c>
      <c r="D76" s="1325">
        <v>217699.53763402748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230166.92473194501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3110.0885994773807</v>
      </c>
      <c r="C91" s="332"/>
      <c r="D91" s="332"/>
      <c r="E91" s="332"/>
      <c r="F91" s="332"/>
    </row>
    <row r="92" spans="1:6">
      <c r="A92" s="1305" t="s">
        <v>68</v>
      </c>
      <c r="B92" s="1306">
        <v>1757.4071549241646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1528</v>
      </c>
      <c r="C97" s="332"/>
      <c r="D97" s="332"/>
      <c r="E97" s="332"/>
      <c r="F97" s="332"/>
    </row>
    <row r="98" spans="1:6">
      <c r="A98" s="1310" t="s">
        <v>71</v>
      </c>
      <c r="B98" s="1311">
        <v>2</v>
      </c>
      <c r="C98" s="332"/>
      <c r="D98" s="332"/>
      <c r="E98" s="332"/>
      <c r="F98" s="332"/>
    </row>
    <row r="99" spans="1:6">
      <c r="A99" s="1310" t="s">
        <v>72</v>
      </c>
      <c r="B99" s="1311">
        <v>75</v>
      </c>
      <c r="C99" s="332"/>
      <c r="D99" s="332"/>
      <c r="E99" s="332"/>
      <c r="F99" s="332"/>
    </row>
    <row r="100" spans="1:6">
      <c r="A100" s="1310" t="s">
        <v>73</v>
      </c>
      <c r="B100" s="1311">
        <v>103</v>
      </c>
      <c r="C100" s="332"/>
      <c r="D100" s="332"/>
      <c r="E100" s="332"/>
      <c r="F100" s="332"/>
    </row>
    <row r="101" spans="1:6">
      <c r="A101" s="1310" t="s">
        <v>74</v>
      </c>
      <c r="B101" s="1311">
        <v>100</v>
      </c>
      <c r="C101" s="332"/>
      <c r="D101" s="332"/>
      <c r="E101" s="332"/>
      <c r="F101" s="332"/>
    </row>
    <row r="102" spans="1:6">
      <c r="A102" s="1310" t="s">
        <v>75</v>
      </c>
      <c r="B102" s="1311">
        <v>31</v>
      </c>
      <c r="C102" s="332"/>
      <c r="D102" s="332"/>
      <c r="E102" s="332"/>
      <c r="F102" s="332"/>
    </row>
    <row r="103" spans="1:6">
      <c r="A103" s="1310" t="s">
        <v>76</v>
      </c>
      <c r="B103" s="1311">
        <v>63</v>
      </c>
      <c r="C103" s="332"/>
      <c r="D103" s="332"/>
      <c r="E103" s="332"/>
      <c r="F103" s="332"/>
    </row>
    <row r="104" spans="1:6">
      <c r="A104" s="1310" t="s">
        <v>77</v>
      </c>
      <c r="B104" s="1311">
        <v>786</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14</v>
      </c>
      <c r="C123" s="1311">
        <v>13</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64</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45030.603423677327</v>
      </c>
      <c r="C3" s="43" t="s">
        <v>169</v>
      </c>
      <c r="D3" s="43"/>
      <c r="E3" s="154"/>
      <c r="F3" s="43"/>
      <c r="G3" s="43"/>
      <c r="H3" s="43"/>
      <c r="I3" s="43"/>
      <c r="J3" s="43"/>
      <c r="K3" s="96"/>
    </row>
    <row r="4" spans="1:11">
      <c r="A4" s="360" t="s">
        <v>170</v>
      </c>
      <c r="B4" s="49">
        <f>IF(ISERROR('SEAP template'!B78+'SEAP template'!C78),0,'SEAP template'!B78+'SEAP template'!C78)</f>
        <v>287124.14575440157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59602.595294117658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0.20758475445356708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85146.564705882382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400870.92857142864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0.21240394011438188</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450.24934400000001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450.24934400000001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0.20758475445356708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93.464899517119662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11095.47321785289</v>
      </c>
      <c r="C5" s="17">
        <f>IF(ISERROR('Eigen informatie GS &amp; warmtenet'!B59),0,'Eigen informatie GS &amp; warmtenet'!B59)</f>
        <v>0</v>
      </c>
      <c r="D5" s="30">
        <f>(SUM(HH_hh_gas_kWh,HH_rest_gas_kWh)/1000)*0.903</f>
        <v>37423.230113227866</v>
      </c>
      <c r="E5" s="17">
        <f>B46*B57</f>
        <v>8362.8513931779489</v>
      </c>
      <c r="F5" s="17">
        <f>B51*B62</f>
        <v>0</v>
      </c>
      <c r="G5" s="18"/>
      <c r="H5" s="17"/>
      <c r="I5" s="17"/>
      <c r="J5" s="17">
        <f>B50*B61+C50*C61</f>
        <v>0</v>
      </c>
      <c r="K5" s="17"/>
      <c r="L5" s="17"/>
      <c r="M5" s="17"/>
      <c r="N5" s="17">
        <f>B48*B59+C48*C59</f>
        <v>20899.887963211939</v>
      </c>
      <c r="O5" s="17">
        <f>B69*B70*B71</f>
        <v>154.7487411121885</v>
      </c>
      <c r="P5" s="17">
        <f>B77*B78*B79/1000-B77*B78*B79/1000/B80</f>
        <v>231.74710476907052</v>
      </c>
    </row>
    <row r="6" spans="1:16">
      <c r="A6" s="16" t="s">
        <v>612</v>
      </c>
      <c r="B6" s="786">
        <f>kWh_PV_kleiner_dan_10kW</f>
        <v>3110.0885994773807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14205.561817330272</v>
      </c>
      <c r="C8" s="21">
        <f>C5</f>
        <v>0</v>
      </c>
      <c r="D8" s="21">
        <f>D5</f>
        <v>37423.230113227866</v>
      </c>
      <c r="E8" s="21">
        <f>E5</f>
        <v>8362.8513931779489</v>
      </c>
      <c r="F8" s="21">
        <f>F5</f>
        <v>0</v>
      </c>
      <c r="G8" s="21"/>
      <c r="H8" s="21"/>
      <c r="I8" s="21"/>
      <c r="J8" s="21">
        <f>J5</f>
        <v>0</v>
      </c>
      <c r="K8" s="21"/>
      <c r="L8" s="21">
        <f>L5</f>
        <v>0</v>
      </c>
      <c r="M8" s="21">
        <f>M5</f>
        <v>0</v>
      </c>
      <c r="N8" s="21">
        <f>N5</f>
        <v>20899.887963211939</v>
      </c>
      <c r="O8" s="21">
        <f>O5</f>
        <v>154.7487411121885</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0.20758475445356708</v>
      </c>
      <c r="C10" s="25">
        <f ca="1">'EF ele_warmte'!B22</f>
        <v>0.21240394011438188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2948.8580617254725</v>
      </c>
      <c r="C12" s="23">
        <f ca="1">C10*C8</f>
        <v>0</v>
      </c>
      <c r="D12" s="23">
        <f>D8*D10</f>
        <v>7559.4924828720295</v>
      </c>
      <c r="E12" s="23">
        <f>E10*E8</f>
        <v>1898.3672662513945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1528</v>
      </c>
      <c r="C18" s="166" t="s">
        <v>110</v>
      </c>
      <c r="D18" s="228"/>
      <c r="E18" s="15"/>
    </row>
    <row r="19" spans="1:7">
      <c r="A19" s="171" t="s">
        <v>71</v>
      </c>
      <c r="B19" s="37">
        <f>aantalw2001_ander</f>
        <v>2</v>
      </c>
      <c r="C19" s="166" t="s">
        <v>110</v>
      </c>
      <c r="D19" s="229"/>
      <c r="E19" s="15"/>
    </row>
    <row r="20" spans="1:7">
      <c r="A20" s="171" t="s">
        <v>72</v>
      </c>
      <c r="B20" s="37">
        <f>aantalw2001_propaan</f>
        <v>75</v>
      </c>
      <c r="C20" s="167">
        <f>IF(ISERROR(B20/SUM($B$20,$B$21,$B$22)*100),0,B20/SUM($B$20,$B$21,$B$22)*100)</f>
        <v>26.978417266187048</v>
      </c>
      <c r="D20" s="229"/>
      <c r="E20" s="15"/>
    </row>
    <row r="21" spans="1:7">
      <c r="A21" s="171" t="s">
        <v>73</v>
      </c>
      <c r="B21" s="37">
        <f>aantalw2001_elektriciteit</f>
        <v>103</v>
      </c>
      <c r="C21" s="167">
        <f>IF(ISERROR(B21/SUM($B$20,$B$21,$B$22)*100),0,B21/SUM($B$20,$B$21,$B$22)*100)</f>
        <v>37.050359712230211</v>
      </c>
      <c r="D21" s="229"/>
      <c r="E21" s="15"/>
    </row>
    <row r="22" spans="1:7">
      <c r="A22" s="171" t="s">
        <v>74</v>
      </c>
      <c r="B22" s="37">
        <f>aantalw2001_hout</f>
        <v>100</v>
      </c>
      <c r="C22" s="167">
        <f>IF(ISERROR(B22/SUM($B$20,$B$21,$B$22)*100),0,B22/SUM($B$20,$B$21,$B$22)*100)</f>
        <v>35.97122302158273</v>
      </c>
      <c r="D22" s="229"/>
      <c r="E22" s="15"/>
    </row>
    <row r="23" spans="1:7">
      <c r="A23" s="171" t="s">
        <v>75</v>
      </c>
      <c r="B23" s="37">
        <f>aantalw2001_niet_gespec</f>
        <v>31</v>
      </c>
      <c r="C23" s="166" t="s">
        <v>110</v>
      </c>
      <c r="D23" s="228"/>
      <c r="E23" s="15"/>
    </row>
    <row r="24" spans="1:7">
      <c r="A24" s="171" t="s">
        <v>76</v>
      </c>
      <c r="B24" s="37">
        <f>aantalw2001_steenkool</f>
        <v>63</v>
      </c>
      <c r="C24" s="166" t="s">
        <v>110</v>
      </c>
      <c r="D24" s="229"/>
      <c r="E24" s="15"/>
    </row>
    <row r="25" spans="1:7">
      <c r="A25" s="171" t="s">
        <v>77</v>
      </c>
      <c r="B25" s="37">
        <f>aantalw2001_stookolie</f>
        <v>786</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3281</v>
      </c>
      <c r="C28" s="36"/>
      <c r="D28" s="228"/>
    </row>
    <row r="29" spans="1:7" s="15" customFormat="1">
      <c r="A29" s="230" t="s">
        <v>839</v>
      </c>
      <c r="B29" s="37">
        <f>SUM(HH_hh_gas_aantal,HH_rest_gas_aantal)</f>
        <v>2397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2397</v>
      </c>
      <c r="C32" s="167">
        <f>IF(ISERROR(B32/SUM($B$32,$B$34,$B$35,$B$36,$B$38,$B$39)*100),0,B32/SUM($B$32,$B$34,$B$35,$B$36,$B$38,$B$39)*100)</f>
        <v>73.550168763424367</v>
      </c>
      <c r="D32" s="233"/>
      <c r="G32" s="15"/>
    </row>
    <row r="33" spans="1:7">
      <c r="A33" s="171" t="s">
        <v>71</v>
      </c>
      <c r="B33" s="34" t="s">
        <v>110</v>
      </c>
      <c r="C33" s="167"/>
      <c r="D33" s="233"/>
      <c r="G33" s="15"/>
    </row>
    <row r="34" spans="1:7">
      <c r="A34" s="171" t="s">
        <v>72</v>
      </c>
      <c r="B34" s="33">
        <f>IF((($B$28-$B$32-$B$39-$B$77-$B$38)*C20/100)&lt;0,0,($B$28-$B$32-$B$39-$B$77-$B$38)*C20/100)</f>
        <v>232.55395683453236</v>
      </c>
      <c r="C34" s="167">
        <f>IF(ISERROR(B34/SUM($B$32,$B$34,$B$35,$B$36,$B$38,$B$39)*100),0,B34/SUM($B$32,$B$34,$B$35,$B$36,$B$38,$B$39)*100)</f>
        <v>7.1357458372056568</v>
      </c>
      <c r="D34" s="233"/>
      <c r="G34" s="15"/>
    </row>
    <row r="35" spans="1:7">
      <c r="A35" s="171" t="s">
        <v>73</v>
      </c>
      <c r="B35" s="33">
        <f>IF((($B$28-$B$32-$B$39-$B$77-$B$38)*C21/100)&lt;0,0,($B$28-$B$32-$B$39-$B$77-$B$38)*C21/100)</f>
        <v>319.3741007194244</v>
      </c>
      <c r="C35" s="167">
        <f>IF(ISERROR(B35/SUM($B$32,$B$34,$B$35,$B$36,$B$38,$B$39)*100),0,B35/SUM($B$32,$B$34,$B$35,$B$36,$B$38,$B$39)*100)</f>
        <v>9.7997576164291011</v>
      </c>
      <c r="D35" s="233"/>
      <c r="G35" s="15"/>
    </row>
    <row r="36" spans="1:7">
      <c r="A36" s="171" t="s">
        <v>74</v>
      </c>
      <c r="B36" s="33">
        <f>IF((($B$28-$B$32-$B$39-$B$77-$B$38)*C22/100)&lt;0,0,($B$28-$B$32-$B$39-$B$77-$B$38)*C22/100)</f>
        <v>310.07194244604312</v>
      </c>
      <c r="C36" s="167">
        <f>IF(ISERROR(B36/SUM($B$32,$B$34,$B$35,$B$36,$B$38,$B$39)*100),0,B36/SUM($B$32,$B$34,$B$35,$B$36,$B$38,$B$39)*100)</f>
        <v>9.5143277829408746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2397</v>
      </c>
      <c r="C44" s="34" t="s">
        <v>110</v>
      </c>
      <c r="D44" s="174"/>
    </row>
    <row r="45" spans="1:7">
      <c r="A45" s="171" t="s">
        <v>71</v>
      </c>
      <c r="B45" s="33" t="str">
        <f t="shared" si="0"/>
        <v>-</v>
      </c>
      <c r="C45" s="34" t="s">
        <v>110</v>
      </c>
      <c r="D45" s="174"/>
    </row>
    <row r="46" spans="1:7">
      <c r="A46" s="171" t="s">
        <v>72</v>
      </c>
      <c r="B46" s="33">
        <f t="shared" si="0"/>
        <v>232.55395683453236</v>
      </c>
      <c r="C46" s="34" t="s">
        <v>110</v>
      </c>
      <c r="D46" s="174"/>
    </row>
    <row r="47" spans="1:7">
      <c r="A47" s="171" t="s">
        <v>73</v>
      </c>
      <c r="B47" s="33">
        <f t="shared" si="0"/>
        <v>319.3741007194244</v>
      </c>
      <c r="C47" s="34" t="s">
        <v>110</v>
      </c>
      <c r="D47" s="174"/>
    </row>
    <row r="48" spans="1:7">
      <c r="A48" s="171" t="s">
        <v>74</v>
      </c>
      <c r="B48" s="33">
        <f t="shared" si="0"/>
        <v>310.07194244604312</v>
      </c>
      <c r="C48" s="33">
        <f>B48*10</f>
        <v>3100.7194244604311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13188.81522</v>
      </c>
      <c r="C5" s="17">
        <f>IF(ISERROR('Eigen informatie GS &amp; warmtenet'!B60),0,'Eigen informatie GS &amp; warmtenet'!B60)</f>
        <v>0</v>
      </c>
      <c r="D5" s="30">
        <f>SUM(D6:D12)</f>
        <v>17813.688057545205</v>
      </c>
      <c r="E5" s="17">
        <f>SUM(E6:E12)</f>
        <v>70.754556705757196</v>
      </c>
      <c r="F5" s="17">
        <f>SUM(F6:F12)</f>
        <v>3385.1819348071981</v>
      </c>
      <c r="G5" s="18"/>
      <c r="H5" s="17"/>
      <c r="I5" s="17"/>
      <c r="J5" s="17">
        <f>SUM(J6:J12)</f>
        <v>4.2021941778727603E-2</v>
      </c>
      <c r="K5" s="17"/>
      <c r="L5" s="17"/>
      <c r="M5" s="17"/>
      <c r="N5" s="17">
        <f>SUM(N6:N12)</f>
        <v>1530.6311709670799</v>
      </c>
      <c r="O5" s="17">
        <f>B38*B39*B40</f>
        <v>14.691782297523464</v>
      </c>
      <c r="P5" s="17">
        <f>B46*B47*B48/1000-B46*B47*B48/1000/B49</f>
        <v>0</v>
      </c>
      <c r="R5" s="32"/>
    </row>
    <row r="6" spans="1:18">
      <c r="A6" s="32" t="s">
        <v>53</v>
      </c>
      <c r="B6" s="37">
        <f>B26</f>
        <v>3650.7615340000002</v>
      </c>
      <c r="C6" s="33"/>
      <c r="D6" s="37">
        <f>IF(ISERROR(TER_kantoor_gas_kWh/1000),0,TER_kantoor_gas_kWh/1000)*0.903</f>
        <v>10251.565660149205</v>
      </c>
      <c r="E6" s="33">
        <f>$C$26*'E Balans VL '!I12/100/3.6*1000000</f>
        <v>0.87463568633554423</v>
      </c>
      <c r="F6" s="33">
        <f>$C$26*('E Balans VL '!L12+'E Balans VL '!N12)/100/3.6*1000000</f>
        <v>346.19742833524947</v>
      </c>
      <c r="G6" s="34"/>
      <c r="H6" s="33"/>
      <c r="I6" s="33"/>
      <c r="J6" s="33">
        <f>$C$26*('E Balans VL '!D12+'E Balans VL '!E12)/100/3.6*1000000</f>
        <v>0</v>
      </c>
      <c r="K6" s="33"/>
      <c r="L6" s="33"/>
      <c r="M6" s="33"/>
      <c r="N6" s="33">
        <f>$C$26*'E Balans VL '!Y12/100/3.6*1000000</f>
        <v>1.8543980283928845</v>
      </c>
      <c r="O6" s="33"/>
      <c r="P6" s="33"/>
      <c r="R6" s="32"/>
    </row>
    <row r="7" spans="1:18">
      <c r="A7" s="32" t="s">
        <v>52</v>
      </c>
      <c r="B7" s="37">
        <f t="shared" ref="B7:B12" si="0">B27</f>
        <v>1512.2591710000002</v>
      </c>
      <c r="C7" s="33"/>
      <c r="D7" s="37">
        <f>IF(ISERROR(TER_horeca_gas_kWh/1000),0,TER_horeca_gas_kWh/1000)*0.903</f>
        <v>806.398085469374</v>
      </c>
      <c r="E7" s="33">
        <f>$C$27*'E Balans VL '!I9/100/3.6*1000000</f>
        <v>0</v>
      </c>
      <c r="F7" s="33">
        <f>$C$27*('E Balans VL '!L9+'E Balans VL '!N9)/100/3.6*1000000</f>
        <v>124.0016971705504</v>
      </c>
      <c r="G7" s="34"/>
      <c r="H7" s="33"/>
      <c r="I7" s="33"/>
      <c r="J7" s="33">
        <f>$C$27*('E Balans VL '!D9+'E Balans VL '!E9)/100/3.6*1000000</f>
        <v>0</v>
      </c>
      <c r="K7" s="33"/>
      <c r="L7" s="33"/>
      <c r="M7" s="33"/>
      <c r="N7" s="33">
        <f>$C$27*'E Balans VL '!Y9/100/3.6*1000000</f>
        <v>0.46356819402937438</v>
      </c>
      <c r="O7" s="33"/>
      <c r="P7" s="33"/>
      <c r="R7" s="32"/>
    </row>
    <row r="8" spans="1:18">
      <c r="A8" s="6" t="s">
        <v>51</v>
      </c>
      <c r="B8" s="37">
        <f t="shared" si="0"/>
        <v>2510.538153</v>
      </c>
      <c r="C8" s="33"/>
      <c r="D8" s="37">
        <f>IF(ISERROR(TER_handel_gas_kWh/1000),0,TER_handel_gas_kWh/1000)*0.903</f>
        <v>1683.7766609557177</v>
      </c>
      <c r="E8" s="33">
        <f>$C$28*'E Balans VL '!I13/100/3.6*1000000</f>
        <v>8.8231694653789248</v>
      </c>
      <c r="F8" s="33">
        <f>$C$28*('E Balans VL '!L13+'E Balans VL '!N13)/100/3.6*1000000</f>
        <v>229.70973249373972</v>
      </c>
      <c r="G8" s="34"/>
      <c r="H8" s="33"/>
      <c r="I8" s="33"/>
      <c r="J8" s="33">
        <f>$C$28*('E Balans VL '!D13+'E Balans VL '!E13)/100/3.6*1000000</f>
        <v>0</v>
      </c>
      <c r="K8" s="33"/>
      <c r="L8" s="33"/>
      <c r="M8" s="33"/>
      <c r="N8" s="33">
        <f>$C$28*'E Balans VL '!Y13/100/3.6*1000000</f>
        <v>0.90920883630415739</v>
      </c>
      <c r="O8" s="33"/>
      <c r="P8" s="33"/>
      <c r="R8" s="32"/>
    </row>
    <row r="9" spans="1:18">
      <c r="A9" s="32" t="s">
        <v>50</v>
      </c>
      <c r="B9" s="37">
        <f t="shared" si="0"/>
        <v>1172.1807690000001</v>
      </c>
      <c r="C9" s="33"/>
      <c r="D9" s="37">
        <f>IF(ISERROR(TER_gezond_gas_kWh/1000),0,TER_gezond_gas_kWh/1000)*0.903</f>
        <v>4294.4722971076653</v>
      </c>
      <c r="E9" s="33">
        <f>$C$29*'E Balans VL '!I10/100/3.6*1000000</f>
        <v>0</v>
      </c>
      <c r="F9" s="33">
        <f>$C$29*('E Balans VL '!L10+'E Balans VL '!N10)/100/3.6*1000000</f>
        <v>143.68783758456436</v>
      </c>
      <c r="G9" s="34"/>
      <c r="H9" s="33"/>
      <c r="I9" s="33"/>
      <c r="J9" s="33">
        <f>$C$29*('E Balans VL '!D10+'E Balans VL '!E10)/100/3.6*1000000</f>
        <v>0</v>
      </c>
      <c r="K9" s="33"/>
      <c r="L9" s="33"/>
      <c r="M9" s="33"/>
      <c r="N9" s="33">
        <f>$C$29*'E Balans VL '!Y10/100/3.6*1000000</f>
        <v>8.6440163315382463</v>
      </c>
      <c r="O9" s="33"/>
      <c r="P9" s="33"/>
      <c r="R9" s="32"/>
    </row>
    <row r="10" spans="1:18">
      <c r="A10" s="32" t="s">
        <v>49</v>
      </c>
      <c r="B10" s="37">
        <f t="shared" si="0"/>
        <v>4232.3775930000002</v>
      </c>
      <c r="C10" s="33"/>
      <c r="D10" s="37">
        <f>IF(ISERROR(TER_ander_gas_kWh/1000),0,TER_ander_gas_kWh/1000)*0.903</f>
        <v>713.81165331623845</v>
      </c>
      <c r="E10" s="33">
        <f>$C$30*'E Balans VL '!I14/100/3.6*1000000</f>
        <v>60.616989187641977</v>
      </c>
      <c r="F10" s="33">
        <f>$C$30*('E Balans VL '!L14+'E Balans VL '!N14)/100/3.6*1000000</f>
        <v>2519.6782890236364</v>
      </c>
      <c r="G10" s="34"/>
      <c r="H10" s="33"/>
      <c r="I10" s="33"/>
      <c r="J10" s="33">
        <f>$C$30*('E Balans VL '!D14+'E Balans VL '!E14)/100/3.6*1000000</f>
        <v>4.1798199733828263E-2</v>
      </c>
      <c r="K10" s="33"/>
      <c r="L10" s="33"/>
      <c r="M10" s="33"/>
      <c r="N10" s="33">
        <f>$C$30*'E Balans VL '!Y14/100/3.6*1000000</f>
        <v>1510.5649577495883</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110.69799999999999</v>
      </c>
      <c r="C12" s="33"/>
      <c r="D12" s="37">
        <f>IF(ISERROR(TER_rest_gas_kWh/1000),0,TER_rest_gas_kWh/1000)*0.903</f>
        <v>63.663700547004943</v>
      </c>
      <c r="E12" s="33">
        <f>$C$32*'E Balans VL '!I8/100/3.6*1000000</f>
        <v>0.43976236640075422</v>
      </c>
      <c r="F12" s="33">
        <f>$C$32*('E Balans VL '!L8+'E Balans VL '!N8)/100/3.6*1000000</f>
        <v>21.906950199457569</v>
      </c>
      <c r="G12" s="34"/>
      <c r="H12" s="33"/>
      <c r="I12" s="33"/>
      <c r="J12" s="33">
        <f>$C$32*('E Balans VL '!D8+'E Balans VL '!E8)/100/3.6*1000000</f>
        <v>2.2374204489933805E-4</v>
      </c>
      <c r="K12" s="33"/>
      <c r="L12" s="33"/>
      <c r="M12" s="33"/>
      <c r="N12" s="33">
        <f>$C$32*'E Balans VL '!Y8/100/3.6*1000000</f>
        <v>8.1950218272271105</v>
      </c>
      <c r="O12" s="33"/>
      <c r="P12" s="33"/>
      <c r="R12" s="32"/>
    </row>
    <row r="13" spans="1:18">
      <c r="A13" s="16" t="s">
        <v>479</v>
      </c>
      <c r="B13" s="247">
        <f ca="1">'lokale energieproductie'!N53+'lokale energieproductie'!N46</f>
        <v>1647</v>
      </c>
      <c r="C13" s="247">
        <f ca="1">'lokale energieproductie'!O53+'lokale energieproductie'!O46</f>
        <v>0</v>
      </c>
      <c r="D13" s="310">
        <f ca="1">('lokale energieproductie'!P46+'lokale energieproductie'!P53)*(-1)</f>
        <v>0</v>
      </c>
      <c r="E13" s="248"/>
      <c r="F13" s="310">
        <f ca="1">('lokale energieproductie'!S46+'lokale energieproductie'!S53)*(-1)</f>
        <v>0</v>
      </c>
      <c r="G13" s="249"/>
      <c r="H13" s="248"/>
      <c r="I13" s="248"/>
      <c r="J13" s="248"/>
      <c r="K13" s="248"/>
      <c r="L13" s="310">
        <f ca="1">('lokale energieproductie'!U46+'lokale energieproductie'!T46+'lokale energieproductie'!U53+'lokale energieproductie'!T53)*(-1)</f>
        <v>0</v>
      </c>
      <c r="M13" s="248"/>
      <c r="N13" s="310">
        <f ca="1">('lokale energieproductie'!Q46+'lokale energieproductie'!R46+'lokale energieproductie'!V46+'lokale energieproductie'!Q53+'lokale energieproductie'!R53+'lokale energieproductie'!V53)*(-1)</f>
        <v>-4705.7142857142862</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14835.81522</v>
      </c>
      <c r="C16" s="21">
        <f t="shared" ca="1" si="1"/>
        <v>0</v>
      </c>
      <c r="D16" s="21">
        <f t="shared" ca="1" si="1"/>
        <v>17813.688057545205</v>
      </c>
      <c r="E16" s="21">
        <f t="shared" si="1"/>
        <v>70.754556705757196</v>
      </c>
      <c r="F16" s="21">
        <f t="shared" ca="1" si="1"/>
        <v>3385.1819348071981</v>
      </c>
      <c r="G16" s="21">
        <f t="shared" si="1"/>
        <v>0</v>
      </c>
      <c r="H16" s="21">
        <f t="shared" si="1"/>
        <v>0</v>
      </c>
      <c r="I16" s="21">
        <f t="shared" si="1"/>
        <v>0</v>
      </c>
      <c r="J16" s="21">
        <f t="shared" si="1"/>
        <v>4.2021941778727603E-2</v>
      </c>
      <c r="K16" s="21">
        <f t="shared" si="1"/>
        <v>0</v>
      </c>
      <c r="L16" s="21">
        <f t="shared" ca="1" si="1"/>
        <v>0</v>
      </c>
      <c r="M16" s="21">
        <f t="shared" si="1"/>
        <v>0</v>
      </c>
      <c r="N16" s="21">
        <f t="shared" ca="1" si="1"/>
        <v>0</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0.20758475445356708</v>
      </c>
      <c r="C18" s="25">
        <f ca="1">'EF ele_warmte'!B22</f>
        <v>0.21240394011438188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3079.6890595621935</v>
      </c>
      <c r="C20" s="23">
        <f t="shared" ref="C20:P20" ca="1" si="2">C16*C18</f>
        <v>0</v>
      </c>
      <c r="D20" s="23">
        <f t="shared" ca="1" si="2"/>
        <v>3598.3649876241316</v>
      </c>
      <c r="E20" s="23">
        <f t="shared" si="2"/>
        <v>16.061284372206885</v>
      </c>
      <c r="F20" s="23">
        <f t="shared" ca="1" si="2"/>
        <v>903.8435765935219</v>
      </c>
      <c r="G20" s="23">
        <f t="shared" si="2"/>
        <v>0</v>
      </c>
      <c r="H20" s="23">
        <f t="shared" si="2"/>
        <v>0</v>
      </c>
      <c r="I20" s="23">
        <f t="shared" si="2"/>
        <v>0</v>
      </c>
      <c r="J20" s="23">
        <f t="shared" si="2"/>
        <v>1.4875767389669571E-2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3650.7615340000002</v>
      </c>
      <c r="C26" s="39">
        <f>IF(ISERROR(B26*3.6/1000000/'E Balans VL '!Z12*100),0,B26*3.6/1000000/'E Balans VL '!Z12*100)</f>
        <v>0.10296114296481972</v>
      </c>
      <c r="D26" s="237" t="s">
        <v>702</v>
      </c>
      <c r="F26" s="6"/>
    </row>
    <row r="27" spans="1:18">
      <c r="A27" s="231" t="s">
        <v>52</v>
      </c>
      <c r="B27" s="33">
        <f>IF(ISERROR(TER_horeca_ele_kWh/1000),0,TER_horeca_ele_kWh/1000)</f>
        <v>1512.2591710000002</v>
      </c>
      <c r="C27" s="39">
        <f>IF(ISERROR(B27*3.6/1000000/'E Balans VL '!Z9*100),0,B27*3.6/1000000/'E Balans VL '!Z9*100)</f>
        <v>0.11211543991384569</v>
      </c>
      <c r="D27" s="237" t="s">
        <v>702</v>
      </c>
      <c r="F27" s="6"/>
    </row>
    <row r="28" spans="1:18">
      <c r="A28" s="171" t="s">
        <v>51</v>
      </c>
      <c r="B28" s="33">
        <f>IF(ISERROR(TER_handel_ele_kWh/1000),0,TER_handel_ele_kWh/1000)</f>
        <v>2510.538153</v>
      </c>
      <c r="C28" s="39">
        <f>IF(ISERROR(B28*3.6/1000000/'E Balans VL '!Z13*100),0,B28*3.6/1000000/'E Balans VL '!Z13*100)</f>
        <v>7.520975403656284E-2</v>
      </c>
      <c r="D28" s="237" t="s">
        <v>702</v>
      </c>
      <c r="F28" s="6"/>
    </row>
    <row r="29" spans="1:18">
      <c r="A29" s="231" t="s">
        <v>50</v>
      </c>
      <c r="B29" s="33">
        <f>IF(ISERROR(TER_gezond_ele_kWh/1000),0,TER_gezond_ele_kWh/1000)</f>
        <v>1172.1807690000001</v>
      </c>
      <c r="C29" s="39">
        <f>IF(ISERROR(B29*3.6/1000000/'E Balans VL '!Z10*100),0,B29*3.6/1000000/'E Balans VL '!Z10*100)</f>
        <v>0.11590569387275923</v>
      </c>
      <c r="D29" s="237" t="s">
        <v>702</v>
      </c>
      <c r="F29" s="6"/>
    </row>
    <row r="30" spans="1:18">
      <c r="A30" s="231" t="s">
        <v>49</v>
      </c>
      <c r="B30" s="33">
        <f>IF(ISERROR(TER_ander_ele_kWh/1000),0,TER_ander_ele_kWh/1000)</f>
        <v>4232.3775930000002</v>
      </c>
      <c r="C30" s="39">
        <f>IF(ISERROR(B30*3.6/1000000/'E Balans VL '!Z14*100),0,B30*3.6/1000000/'E Balans VL '!Z14*100)</f>
        <v>0.17118716614537169</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110.69799999999999</v>
      </c>
      <c r="C32" s="39">
        <f>IF(ISERROR(B32*3.6/1000000/'E Balans VL '!Z8*100),0,B32*3.6/1000000/'E Balans VL '!Z8*100)</f>
        <v>9.1634967194268141E-4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3520.2050859999999</v>
      </c>
      <c r="C5" s="17">
        <f>IF(ISERROR('Eigen informatie GS &amp; warmtenet'!B61),0,'Eigen informatie GS &amp; warmtenet'!B61)</f>
        <v>0</v>
      </c>
      <c r="D5" s="30">
        <f>SUM(D6:D15)</f>
        <v>2799.9467549731389</v>
      </c>
      <c r="E5" s="17">
        <f>SUM(E6:E15)</f>
        <v>10.344149765223381</v>
      </c>
      <c r="F5" s="17">
        <f>SUM(F6:F15)</f>
        <v>826.61126583781879</v>
      </c>
      <c r="G5" s="18"/>
      <c r="H5" s="17"/>
      <c r="I5" s="17"/>
      <c r="J5" s="17">
        <f>SUM(J6:J15)</f>
        <v>0.61348857592672834</v>
      </c>
      <c r="K5" s="17"/>
      <c r="L5" s="17"/>
      <c r="M5" s="17"/>
      <c r="N5" s="17">
        <f>SUM(N6:N15)</f>
        <v>112.03073304975152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629.40863899999999</v>
      </c>
      <c r="C8" s="33"/>
      <c r="D8" s="37">
        <f>IF( ISERROR(IND_metaal_Gas_kWH/1000),0,IND_metaal_Gas_kWH/1000)*0.903</f>
        <v>271.3377766137433</v>
      </c>
      <c r="E8" s="33">
        <f>C30*'E Balans VL '!I18/100/3.6*1000000</f>
        <v>3.173588176632991</v>
      </c>
      <c r="F8" s="33">
        <f>C30*'E Balans VL '!L18/100/3.6*1000000+C30*'E Balans VL '!N18/100/3.6*1000000</f>
        <v>43.002484382209921</v>
      </c>
      <c r="G8" s="34"/>
      <c r="H8" s="33"/>
      <c r="I8" s="33"/>
      <c r="J8" s="40">
        <f>C30*'E Balans VL '!D18/100/3.6*1000000+C30*'E Balans VL '!E18/100/3.6*1000000</f>
        <v>0.55802444772205717</v>
      </c>
      <c r="K8" s="33"/>
      <c r="L8" s="33"/>
      <c r="M8" s="33"/>
      <c r="N8" s="33">
        <f>C30*'E Balans VL '!Y18/100/3.6*1000000</f>
        <v>8.3648445475527442</v>
      </c>
      <c r="O8" s="33"/>
      <c r="P8" s="33"/>
      <c r="R8" s="32"/>
    </row>
    <row r="9" spans="1:18">
      <c r="A9" s="6" t="s">
        <v>32</v>
      </c>
      <c r="B9" s="37">
        <f t="shared" si="0"/>
        <v>1233.1993340000001</v>
      </c>
      <c r="C9" s="33"/>
      <c r="D9" s="37">
        <f>IF( ISERROR(IND_andere_gas_kWh/1000),0,IND_andere_gas_kWh/1000)*0.903</f>
        <v>2055.8882973158411</v>
      </c>
      <c r="E9" s="33">
        <f>C31*'E Balans VL '!I19/100/3.6*1000000</f>
        <v>3.8873357591749649</v>
      </c>
      <c r="F9" s="33">
        <f>C31*'E Balans VL '!L19/100/3.6*1000000+C31*'E Balans VL '!N19/100/3.6*1000000</f>
        <v>754.91276549990573</v>
      </c>
      <c r="G9" s="34"/>
      <c r="H9" s="33"/>
      <c r="I9" s="33"/>
      <c r="J9" s="40">
        <f>C31*'E Balans VL '!D19/100/3.6*1000000+C31*'E Balans VL '!E19/100/3.6*1000000</f>
        <v>0</v>
      </c>
      <c r="K9" s="33"/>
      <c r="L9" s="33"/>
      <c r="M9" s="33"/>
      <c r="N9" s="33">
        <f>C31*'E Balans VL '!Y19/100/3.6*1000000</f>
        <v>51.709722538404584</v>
      </c>
      <c r="O9" s="33"/>
      <c r="P9" s="33"/>
      <c r="R9" s="32"/>
    </row>
    <row r="10" spans="1:18">
      <c r="A10" s="6" t="s">
        <v>40</v>
      </c>
      <c r="B10" s="37">
        <f t="shared" si="0"/>
        <v>1630.429582</v>
      </c>
      <c r="C10" s="33"/>
      <c r="D10" s="37">
        <f>IF( ISERROR(IND_voed_gas_kWh/1000),0,IND_voed_gas_kWh/1000)*0.903</f>
        <v>447.43924604886467</v>
      </c>
      <c r="E10" s="33">
        <f>C32*'E Balans VL '!I20/100/3.6*1000000</f>
        <v>2.5984468586374856</v>
      </c>
      <c r="F10" s="33">
        <f>C32*'E Balans VL '!L20/100/3.6*1000000+C32*'E Balans VL '!N20/100/3.6*1000000</f>
        <v>26.490519945076588</v>
      </c>
      <c r="G10" s="34"/>
      <c r="H10" s="33"/>
      <c r="I10" s="33"/>
      <c r="J10" s="40">
        <f>C32*'E Balans VL '!D20/100/3.6*1000000+C32*'E Balans VL '!E20/100/3.6*1000000</f>
        <v>0</v>
      </c>
      <c r="K10" s="33"/>
      <c r="L10" s="33"/>
      <c r="M10" s="33"/>
      <c r="N10" s="33">
        <f>C32*'E Balans VL '!Y20/100/3.6*1000000</f>
        <v>51.497109171284116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27.167531</v>
      </c>
      <c r="C15" s="33"/>
      <c r="D15" s="37">
        <f>IF( ISERROR(IND_rest_gas_kWh/1000),0,IND_rest_gas_kWh/1000)*0.903</f>
        <v>25.281434994689693</v>
      </c>
      <c r="E15" s="33">
        <f>C37*'E Balans VL '!I15/100/3.6*1000000</f>
        <v>0.68477897077794014</v>
      </c>
      <c r="F15" s="33">
        <f>C37*'E Balans VL '!L15/100/3.6*1000000+C37*'E Balans VL '!N15/100/3.6*1000000</f>
        <v>2.2054960106265353</v>
      </c>
      <c r="G15" s="34"/>
      <c r="H15" s="33"/>
      <c r="I15" s="33"/>
      <c r="J15" s="40">
        <f>C37*'E Balans VL '!D15/100/3.6*1000000+C37*'E Balans VL '!E15/100/3.6*1000000</f>
        <v>5.5464128204671191E-2</v>
      </c>
      <c r="K15" s="33"/>
      <c r="L15" s="33"/>
      <c r="M15" s="33"/>
      <c r="N15" s="33">
        <f>C37*'E Balans VL '!Y15/100/3.6*1000000</f>
        <v>0.4590567925100727</v>
      </c>
      <c r="O15" s="33"/>
      <c r="P15" s="33"/>
      <c r="R15" s="32"/>
    </row>
    <row r="16" spans="1:18">
      <c r="A16" s="16" t="s">
        <v>479</v>
      </c>
      <c r="B16" s="247">
        <f>'lokale energieproductie'!N52+'lokale energieproductie'!N45</f>
        <v>0</v>
      </c>
      <c r="C16" s="247">
        <f>'lokale energieproductie'!O52+'lokale energieproductie'!O45</f>
        <v>0</v>
      </c>
      <c r="D16" s="310">
        <f>('lokale energieproductie'!P45+'lokale energieproductie'!P52)*(-1)</f>
        <v>0</v>
      </c>
      <c r="E16" s="248"/>
      <c r="F16" s="310">
        <f>('lokale energieproductie'!S45+'lokale energieproductie'!S52)*(-1)</f>
        <v>0</v>
      </c>
      <c r="G16" s="249"/>
      <c r="H16" s="248"/>
      <c r="I16" s="248"/>
      <c r="J16" s="248"/>
      <c r="K16" s="248"/>
      <c r="L16" s="310">
        <f>('lokale energieproductie'!T45+'lokale energieproductie'!U45+'lokale energieproductie'!T52+'lokale energieproductie'!U52)*(-1)</f>
        <v>0</v>
      </c>
      <c r="M16" s="248"/>
      <c r="N16" s="310">
        <f>('lokale energieproductie'!Q45+'lokale energieproductie'!R45+'lokale energieproductie'!V45+'lokale energieproductie'!Q52+'lokale energieproductie'!R52+'lokale energieproductie'!V52)*(-1)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3520.2050859999999</v>
      </c>
      <c r="C18" s="21">
        <f>C5+C16</f>
        <v>0</v>
      </c>
      <c r="D18" s="21">
        <f>MAX((D5+D16),0)</f>
        <v>2799.9467549731389</v>
      </c>
      <c r="E18" s="21">
        <f>MAX((E5+E16),0)</f>
        <v>10.344149765223381</v>
      </c>
      <c r="F18" s="21">
        <f>MAX((F5+F16),0)</f>
        <v>826.61126583781879</v>
      </c>
      <c r="G18" s="21"/>
      <c r="H18" s="21"/>
      <c r="I18" s="21"/>
      <c r="J18" s="21">
        <f>MAX((J5+J16),0)</f>
        <v>0.61348857592672834</v>
      </c>
      <c r="K18" s="21"/>
      <c r="L18" s="21">
        <f>MAX((L5+L16),0)</f>
        <v>0</v>
      </c>
      <c r="M18" s="21"/>
      <c r="N18" s="21">
        <f>MAX((N5+N16),0)</f>
        <v>112.03073304975152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0.20758475445356708</v>
      </c>
      <c r="C20" s="25">
        <f ca="1">'EF ele_warmte'!B22</f>
        <v>0.21240394011438188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730.740908403508</v>
      </c>
      <c r="C22" s="23">
        <f ca="1">C18*C20</f>
        <v>0</v>
      </c>
      <c r="D22" s="23">
        <f>D18*D20</f>
        <v>565.58924450457414</v>
      </c>
      <c r="E22" s="23">
        <f>E18*E20</f>
        <v>2.3481219967057076</v>
      </c>
      <c r="F22" s="23">
        <f>F18*F20</f>
        <v>220.70520797869764</v>
      </c>
      <c r="G22" s="23"/>
      <c r="H22" s="23"/>
      <c r="I22" s="23"/>
      <c r="J22" s="23">
        <f>J18*J20</f>
        <v>0.21717495587806182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629.40863899999999</v>
      </c>
      <c r="C30" s="39">
        <f>IF(ISERROR(B30*3.6/1000000/'E Balans VL '!Z18*100),0,B30*3.6/1000000/'E Balans VL '!Z18*100)</f>
        <v>3.1242426311032665E-2</v>
      </c>
      <c r="D30" s="237" t="s">
        <v>702</v>
      </c>
    </row>
    <row r="31" spans="1:18">
      <c r="A31" s="6" t="s">
        <v>32</v>
      </c>
      <c r="B31" s="37">
        <f>IF( ISERROR(IND_ander_ele_kWh/1000),0,IND_ander_ele_kWh/1000)</f>
        <v>1233.1993340000001</v>
      </c>
      <c r="C31" s="39">
        <f>IF(ISERROR(B31*3.6/1000000/'E Balans VL '!Z19*100),0,B31*3.6/1000000/'E Balans VL '!Z19*100)</f>
        <v>4.1614158218105497E-2</v>
      </c>
      <c r="D31" s="237" t="s">
        <v>702</v>
      </c>
    </row>
    <row r="32" spans="1:18">
      <c r="A32" s="171" t="s">
        <v>40</v>
      </c>
      <c r="B32" s="37">
        <f>IF( ISERROR(IND_voed_ele_kWh/1000),0,IND_voed_ele_kWh/1000)</f>
        <v>1630.429582</v>
      </c>
      <c r="C32" s="39">
        <f>IF(ISERROR(B32*3.6/1000000/'E Balans VL '!Z20*100),0,B32*3.6/1000000/'E Balans VL '!Z20*100)</f>
        <v>3.8289518759048131E-2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27.167531</v>
      </c>
      <c r="C37" s="39">
        <f>IF(ISERROR(B37*3.6/1000000/'E Balans VL '!Z15*100),0,B37*3.6/1000000/'E Balans VL '!Z15*100)</f>
        <v>1.0181111578746583E-4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11454.556919000001</v>
      </c>
      <c r="C5" s="17">
        <f>'Eigen informatie GS &amp; warmtenet'!B62</f>
        <v>0</v>
      </c>
      <c r="D5" s="30">
        <f>IF(ISERROR(SUM(LB_lb_gas_kWh,LB_rest_gas_kWh)/1000),0,SUM(LB_lb_gas_kWh,LB_rest_gas_kWh)/1000)*0.903</f>
        <v>726298.06148285232</v>
      </c>
      <c r="E5" s="17">
        <f>B17*'E Balans VL '!I25/3.6*1000000/100</f>
        <v>427.17546449973418</v>
      </c>
      <c r="F5" s="17">
        <f>B17*('E Balans VL '!L25/3.6*1000000+'E Balans VL '!N25/3.6*1000000)/100</f>
        <v>37163.008860258873</v>
      </c>
      <c r="G5" s="18"/>
      <c r="H5" s="17"/>
      <c r="I5" s="17"/>
      <c r="J5" s="17">
        <f>('E Balans VL '!D25+'E Balans VL '!E25)/3.6*1000000*landbouw!B17/100</f>
        <v>3006.8777413212651</v>
      </c>
      <c r="K5" s="17"/>
      <c r="L5" s="17">
        <f>L6*(-1)</f>
        <v>0</v>
      </c>
      <c r="M5" s="17"/>
      <c r="N5" s="17">
        <f>N6*(-1)</f>
        <v>85161.857142857159</v>
      </c>
      <c r="O5" s="17"/>
      <c r="P5" s="17"/>
      <c r="R5" s="32"/>
    </row>
    <row r="6" spans="1:18">
      <c r="A6" s="16" t="s">
        <v>479</v>
      </c>
      <c r="B6" s="17" t="s">
        <v>210</v>
      </c>
      <c r="C6" s="17">
        <f>'lokale energieproductie'!O54+'lokale energieproductie'!O47</f>
        <v>400870.92857142864</v>
      </c>
      <c r="D6" s="310">
        <f>('lokale energieproductie'!P47+'lokale energieproductie'!P54)*(-1)</f>
        <v>-716580.00000000012</v>
      </c>
      <c r="E6" s="248"/>
      <c r="F6" s="310">
        <f>('lokale energieproductie'!S47+'lokale energieproductie'!S54)*(-1)</f>
        <v>0</v>
      </c>
      <c r="G6" s="249"/>
      <c r="H6" s="248"/>
      <c r="I6" s="248"/>
      <c r="J6" s="248"/>
      <c r="K6" s="248"/>
      <c r="L6" s="310">
        <f>('lokale energieproductie'!T47+'lokale energieproductie'!U47+'lokale energieproductie'!T54+'lokale energieproductie'!U54)*(-1)</f>
        <v>0</v>
      </c>
      <c r="M6" s="248"/>
      <c r="N6" s="310">
        <f>('lokale energieproductie'!V47+'lokale energieproductie'!R47+'lokale energieproductie'!Q47+'lokale energieproductie'!Q54+'lokale energieproductie'!R54+'lokale energieproductie'!V54)*(-1)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11454.556919000001</v>
      </c>
      <c r="C8" s="21">
        <f>C5+C6</f>
        <v>400870.92857142864</v>
      </c>
      <c r="D8" s="21">
        <f>MAX((D5+D6),0)</f>
        <v>9718.0614828522084</v>
      </c>
      <c r="E8" s="21">
        <f>MAX((E5+E6),0)</f>
        <v>427.17546449973418</v>
      </c>
      <c r="F8" s="21">
        <f>MAX((F5+F6),0)</f>
        <v>37163.008860258873</v>
      </c>
      <c r="G8" s="21"/>
      <c r="H8" s="21"/>
      <c r="I8" s="21"/>
      <c r="J8" s="21">
        <f>MAX((J5+J6),0)</f>
        <v>3006.8777413212651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0.20758475445356708</v>
      </c>
      <c r="C10" s="31">
        <f ca="1">'EF ele_warmte'!B22</f>
        <v>0.21240394011438188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2377.791385405023</v>
      </c>
      <c r="C12" s="23">
        <f ca="1">C8*C10</f>
        <v>85146.564705882382</v>
      </c>
      <c r="D12" s="23">
        <f>D8*D10</f>
        <v>1963.0484195361462</v>
      </c>
      <c r="E12" s="23">
        <f>E8*E10</f>
        <v>96.968830441439664</v>
      </c>
      <c r="F12" s="23">
        <f>F8*F10</f>
        <v>9922.5233656891196</v>
      </c>
      <c r="G12" s="23"/>
      <c r="H12" s="23"/>
      <c r="I12" s="23"/>
      <c r="J12" s="23">
        <f>J8*J10</f>
        <v>1064.4347204277278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1.5732535019481317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1038.9666623286905</v>
      </c>
      <c r="C26" s="247">
        <f>B26*'GWP N2O_CH4'!B5</f>
        <v>21818.2999089025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557.71642673891301</v>
      </c>
      <c r="C27" s="247">
        <f>B27*'GWP N2O_CH4'!B5</f>
        <v>11712.044961517173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22.374595019230007</v>
      </c>
      <c r="C28" s="247">
        <f>B28*'GWP N2O_CH4'!B4</f>
        <v>6936.1244559613024</v>
      </c>
      <c r="D28" s="50"/>
    </row>
    <row r="29" spans="1:4">
      <c r="A29" s="41" t="s">
        <v>276</v>
      </c>
      <c r="B29" s="247">
        <f>B34*'ha_N2O bodem landbouw'!B4</f>
        <v>16.506484703439089</v>
      </c>
      <c r="C29" s="247">
        <f>B29*'GWP N2O_CH4'!B4</f>
        <v>5117.0102580661178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3.7618750033288182E-3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1.3179255964938157E-4</v>
      </c>
      <c r="C5" s="440" t="s">
        <v>210</v>
      </c>
      <c r="D5" s="425">
        <f>SUM(D6:D11)</f>
        <v>5.2680568005993879E-4</v>
      </c>
      <c r="E5" s="425">
        <f>SUM(E6:E11)</f>
        <v>2.829561568265781E-4</v>
      </c>
      <c r="F5" s="438" t="s">
        <v>210</v>
      </c>
      <c r="G5" s="425">
        <f>SUM(G6:G11)</f>
        <v>0.12100536629640257</v>
      </c>
      <c r="H5" s="425">
        <f>SUM(H6:H11)</f>
        <v>3.3599057474614953E-2</v>
      </c>
      <c r="I5" s="440" t="s">
        <v>210</v>
      </c>
      <c r="J5" s="440" t="s">
        <v>210</v>
      </c>
      <c r="K5" s="440" t="s">
        <v>210</v>
      </c>
      <c r="L5" s="440" t="s">
        <v>210</v>
      </c>
      <c r="M5" s="425">
        <f>SUM(M6:M11)</f>
        <v>9.1484664526125248E-3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1.1155199420579521E-4</v>
      </c>
      <c r="C6" s="426"/>
      <c r="D6" s="893">
        <f>vkm_GW_PW*SUMIFS(TableVerdeelsleutelVkm[CNG],TableVerdeelsleutelVkm[Voertuigtype],"Lichte voertuigen")*SUMIFS(TableECFTransport[EnergieConsumptieFactor (PJ per km)],TableECFTransport[Index],CONCATENATE($A6,"_CNG_CNG"))</f>
        <v>4.0289176076331167E-4</v>
      </c>
      <c r="E6" s="893">
        <f>vkm_GW_PW*SUMIFS(TableVerdeelsleutelVkm[LPG],TableVerdeelsleutelVkm[Voertuigtype],"Lichte voertuigen")*SUMIFS(TableECFTransport[EnergieConsumptieFactor (PJ per km)],TableECFTransport[Index],CONCATENATE($A6,"_LPG_LPG"))</f>
        <v>2.1896133027591663E-4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6.8139416886156767E-2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2.5788033359578452E-2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5.6290570137284149E-3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3.1826242839518661E-2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3.3505214167716272E-7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1.7918673225484035E-3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2.0240565443586348E-5</v>
      </c>
      <c r="C8" s="426"/>
      <c r="D8" s="428">
        <f>vkm_NGW_PW*SUMIFS(TableVerdeelsleutelVkm[CNG],TableVerdeelsleutelVkm[Voertuigtype],"Lichte voertuigen")*SUMIFS(TableECFTransport[EnergieConsumptieFactor (PJ per km)],TableECFTransport[Index],CONCATENATE($A8,"_CNG_CNG"))</f>
        <v>1.2391391929662712E-4</v>
      </c>
      <c r="E8" s="428">
        <f>vkm_NGW_PW*SUMIFS(TableVerdeelsleutelVkm[LPG],TableVerdeelsleutelVkm[Voertuigtype],"Lichte voertuigen")*SUMIFS(TableECFTransport[EnergieConsumptieFactor (PJ per km)],TableECFTransport[Index],CONCATENATE($A8,"_LPG_LPG"))</f>
        <v>6.3994826550661449E-5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1.8532917563626534E-2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7.8106507321093728E-3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1.586405138669509E-3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2.506789007100615E-3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3.8330785447738799E-8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1.411369776661972E-4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36.609044347050428</v>
      </c>
      <c r="C14" s="21"/>
      <c r="D14" s="21">
        <f t="shared" ref="D14:M14" si="0">((D5)*10^9/3600)+D12</f>
        <v>146.33491112776079</v>
      </c>
      <c r="E14" s="21">
        <f t="shared" si="0"/>
        <v>78.598932451827238</v>
      </c>
      <c r="F14" s="21"/>
      <c r="G14" s="21">
        <f t="shared" si="0"/>
        <v>33612.601749000714</v>
      </c>
      <c r="H14" s="21">
        <f t="shared" si="0"/>
        <v>9333.0715207263765</v>
      </c>
      <c r="I14" s="21"/>
      <c r="J14" s="21"/>
      <c r="K14" s="21"/>
      <c r="L14" s="21"/>
      <c r="M14" s="21">
        <f t="shared" si="0"/>
        <v>2541.2406812812569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0.20758475445356708</v>
      </c>
      <c r="C16" s="56">
        <f ca="1">'EF ele_warmte'!B22</f>
        <v>0.21240394011438188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7.5994794815622111</v>
      </c>
      <c r="C18" s="23"/>
      <c r="D18" s="23">
        <f t="shared" ref="D18:M18" si="1">D14*D16</f>
        <v>29.559652047807681</v>
      </c>
      <c r="E18" s="23">
        <f t="shared" si="1"/>
        <v>17.841957666564785</v>
      </c>
      <c r="F18" s="23"/>
      <c r="G18" s="23">
        <f t="shared" si="1"/>
        <v>8974.5646669831913</v>
      </c>
      <c r="H18" s="23">
        <f t="shared" si="1"/>
        <v>2323.9348086608679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2.8335240916346725E-3</v>
      </c>
      <c r="H50" s="321">
        <f t="shared" si="2"/>
        <v>0</v>
      </c>
      <c r="I50" s="321">
        <f t="shared" si="2"/>
        <v>0</v>
      </c>
      <c r="J50" s="321">
        <f t="shared" si="2"/>
        <v>0</v>
      </c>
      <c r="K50" s="321">
        <f t="shared" si="2"/>
        <v>0</v>
      </c>
      <c r="L50" s="321">
        <f t="shared" si="2"/>
        <v>0</v>
      </c>
      <c r="M50" s="321">
        <f t="shared" si="2"/>
        <v>1.5376315579890444E-4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2.8335240916346725E-3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1.5376315579890444E-4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787.09002545407577</v>
      </c>
      <c r="H54" s="21">
        <f t="shared" si="3"/>
        <v>0</v>
      </c>
      <c r="I54" s="21">
        <f t="shared" si="3"/>
        <v>0</v>
      </c>
      <c r="J54" s="21">
        <f t="shared" si="3"/>
        <v>0</v>
      </c>
      <c r="K54" s="21">
        <f t="shared" si="3"/>
        <v>0</v>
      </c>
      <c r="L54" s="21">
        <f t="shared" si="3"/>
        <v>0</v>
      </c>
      <c r="M54" s="21">
        <f t="shared" si="3"/>
        <v>42.7119877219179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0.20758475445356708</v>
      </c>
      <c r="C56" s="56">
        <f ca="1">'EF ele_warmte'!B22</f>
        <v>0.21240394011438188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210.15303679623824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15286.064564</v>
      </c>
      <c r="D10" s="689">
        <f ca="1">tertiair!C16</f>
        <v>0</v>
      </c>
      <c r="E10" s="689">
        <f ca="1">tertiair!D16</f>
        <v>17813.688057545205</v>
      </c>
      <c r="F10" s="689">
        <f>tertiair!E16</f>
        <v>70.754556705757196</v>
      </c>
      <c r="G10" s="689">
        <f ca="1">tertiair!F16</f>
        <v>3385.1819348071981</v>
      </c>
      <c r="H10" s="689">
        <f>tertiair!G16</f>
        <v>0</v>
      </c>
      <c r="I10" s="689">
        <f>tertiair!H16</f>
        <v>0</v>
      </c>
      <c r="J10" s="689">
        <f>tertiair!I16</f>
        <v>0</v>
      </c>
      <c r="K10" s="689">
        <f>tertiair!J16</f>
        <v>4.2021941778727603E-2</v>
      </c>
      <c r="L10" s="689">
        <f>tertiair!K16</f>
        <v>0</v>
      </c>
      <c r="M10" s="689">
        <f ca="1">tertiair!L16</f>
        <v>0</v>
      </c>
      <c r="N10" s="689">
        <f>tertiair!M16</f>
        <v>0</v>
      </c>
      <c r="O10" s="689">
        <f ca="1">tertiair!N16</f>
        <v>0</v>
      </c>
      <c r="P10" s="689">
        <f>tertiair!O16</f>
        <v>14.691782297523464</v>
      </c>
      <c r="Q10" s="690">
        <f>tertiair!P16</f>
        <v>0</v>
      </c>
      <c r="R10" s="692">
        <f ca="1">SUM(C10:Q10)</f>
        <v>36570.422917297466</v>
      </c>
      <c r="S10" s="67"/>
    </row>
    <row r="11" spans="1:19" s="451" customFormat="1">
      <c r="A11" s="811" t="s">
        <v>224</v>
      </c>
      <c r="B11" s="816"/>
      <c r="C11" s="689">
        <f>huishoudens!B8</f>
        <v>14205.561817330272</v>
      </c>
      <c r="D11" s="689">
        <f>huishoudens!C8</f>
        <v>0</v>
      </c>
      <c r="E11" s="689">
        <f>huishoudens!D8</f>
        <v>37423.230113227866</v>
      </c>
      <c r="F11" s="689">
        <f>huishoudens!E8</f>
        <v>8362.8513931779489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20899.887963211939</v>
      </c>
      <c r="P11" s="689">
        <f>huishoudens!O8</f>
        <v>154.7487411121885</v>
      </c>
      <c r="Q11" s="690">
        <f>huishoudens!P8</f>
        <v>231.74710476907052</v>
      </c>
      <c r="R11" s="692">
        <f>SUM(C11:Q11)</f>
        <v>81278.027132829273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3520.2050859999999</v>
      </c>
      <c r="D13" s="689">
        <f>industrie!C18</f>
        <v>0</v>
      </c>
      <c r="E13" s="689">
        <f>industrie!D18</f>
        <v>2799.9467549731389</v>
      </c>
      <c r="F13" s="689">
        <f>industrie!E18</f>
        <v>10.344149765223381</v>
      </c>
      <c r="G13" s="689">
        <f>industrie!F18</f>
        <v>826.61126583781879</v>
      </c>
      <c r="H13" s="689">
        <f>industrie!G18</f>
        <v>0</v>
      </c>
      <c r="I13" s="689">
        <f>industrie!H18</f>
        <v>0</v>
      </c>
      <c r="J13" s="689">
        <f>industrie!I18</f>
        <v>0</v>
      </c>
      <c r="K13" s="689">
        <f>industrie!J18</f>
        <v>0.61348857592672834</v>
      </c>
      <c r="L13" s="689">
        <f>industrie!K18</f>
        <v>0</v>
      </c>
      <c r="M13" s="689">
        <f>industrie!L18</f>
        <v>0</v>
      </c>
      <c r="N13" s="689">
        <f>industrie!M18</f>
        <v>0</v>
      </c>
      <c r="O13" s="689">
        <f>industrie!N18</f>
        <v>112.03073304975152</v>
      </c>
      <c r="P13" s="689">
        <f>industrie!O18</f>
        <v>0</v>
      </c>
      <c r="Q13" s="690">
        <f>industrie!P18</f>
        <v>0</v>
      </c>
      <c r="R13" s="692">
        <f>SUM(C13:Q13)</f>
        <v>7269.7514782018588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33011.831467330274</v>
      </c>
      <c r="D16" s="725">
        <f t="shared" ref="D16:R16" ca="1" si="0">SUM(D9:D15)</f>
        <v>0</v>
      </c>
      <c r="E16" s="725">
        <f t="shared" ca="1" si="0"/>
        <v>58036.864925746217</v>
      </c>
      <c r="F16" s="725">
        <f t="shared" si="0"/>
        <v>8443.9500996489296</v>
      </c>
      <c r="G16" s="725">
        <f t="shared" ca="1" si="0"/>
        <v>4211.7932006450174</v>
      </c>
      <c r="H16" s="725">
        <f t="shared" si="0"/>
        <v>0</v>
      </c>
      <c r="I16" s="725">
        <f t="shared" si="0"/>
        <v>0</v>
      </c>
      <c r="J16" s="725">
        <f t="shared" si="0"/>
        <v>0</v>
      </c>
      <c r="K16" s="725">
        <f t="shared" si="0"/>
        <v>0.65551051770545599</v>
      </c>
      <c r="L16" s="725">
        <f t="shared" si="0"/>
        <v>0</v>
      </c>
      <c r="M16" s="725">
        <f t="shared" ca="1" si="0"/>
        <v>0</v>
      </c>
      <c r="N16" s="725">
        <f t="shared" si="0"/>
        <v>0</v>
      </c>
      <c r="O16" s="725">
        <f t="shared" ca="1" si="0"/>
        <v>21011.918696261691</v>
      </c>
      <c r="P16" s="725">
        <f t="shared" si="0"/>
        <v>169.44052340971197</v>
      </c>
      <c r="Q16" s="725">
        <f t="shared" si="0"/>
        <v>231.74710476907052</v>
      </c>
      <c r="R16" s="725">
        <f t="shared" ca="1" si="0"/>
        <v>125118.20152832859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787.09002545407577</v>
      </c>
      <c r="I19" s="689">
        <f>transport!H54</f>
        <v>0</v>
      </c>
      <c r="J19" s="689">
        <f>transport!I54</f>
        <v>0</v>
      </c>
      <c r="K19" s="689">
        <f>transport!J54</f>
        <v>0</v>
      </c>
      <c r="L19" s="689">
        <f>transport!K54</f>
        <v>0</v>
      </c>
      <c r="M19" s="689">
        <f>transport!L54</f>
        <v>0</v>
      </c>
      <c r="N19" s="689">
        <f>transport!M54</f>
        <v>42.7119877219179</v>
      </c>
      <c r="O19" s="689">
        <f>transport!N54</f>
        <v>0</v>
      </c>
      <c r="P19" s="689">
        <f>transport!O54</f>
        <v>0</v>
      </c>
      <c r="Q19" s="690">
        <f>transport!P54</f>
        <v>0</v>
      </c>
      <c r="R19" s="692">
        <f>SUM(C19:Q19)</f>
        <v>829.80201317599369</v>
      </c>
      <c r="S19" s="67"/>
    </row>
    <row r="20" spans="1:19" s="451" customFormat="1">
      <c r="A20" s="811" t="s">
        <v>306</v>
      </c>
      <c r="B20" s="816"/>
      <c r="C20" s="689">
        <f>transport!B14</f>
        <v>36.609044347050428</v>
      </c>
      <c r="D20" s="689">
        <f>transport!C14</f>
        <v>0</v>
      </c>
      <c r="E20" s="689">
        <f>transport!D14</f>
        <v>146.33491112776079</v>
      </c>
      <c r="F20" s="689">
        <f>transport!E14</f>
        <v>78.598932451827238</v>
      </c>
      <c r="G20" s="689">
        <f>transport!F14</f>
        <v>0</v>
      </c>
      <c r="H20" s="689">
        <f>transport!G14</f>
        <v>33612.601749000714</v>
      </c>
      <c r="I20" s="689">
        <f>transport!H14</f>
        <v>9333.0715207263765</v>
      </c>
      <c r="J20" s="689">
        <f>transport!I14</f>
        <v>0</v>
      </c>
      <c r="K20" s="689">
        <f>transport!J14</f>
        <v>0</v>
      </c>
      <c r="L20" s="689">
        <f>transport!K14</f>
        <v>0</v>
      </c>
      <c r="M20" s="689">
        <f>transport!L14</f>
        <v>0</v>
      </c>
      <c r="N20" s="689">
        <f>transport!M14</f>
        <v>2541.2406812812569</v>
      </c>
      <c r="O20" s="689">
        <f>transport!N14</f>
        <v>0</v>
      </c>
      <c r="P20" s="689">
        <f>transport!O14</f>
        <v>0</v>
      </c>
      <c r="Q20" s="690">
        <f>transport!P14</f>
        <v>0</v>
      </c>
      <c r="R20" s="692">
        <f>SUM(C20:Q20)</f>
        <v>45748.456838934988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36.609044347050428</v>
      </c>
      <c r="D22" s="814">
        <f t="shared" ref="D22:R22" si="1">SUM(D18:D21)</f>
        <v>0</v>
      </c>
      <c r="E22" s="814">
        <f t="shared" si="1"/>
        <v>146.33491112776079</v>
      </c>
      <c r="F22" s="814">
        <f t="shared" si="1"/>
        <v>78.598932451827238</v>
      </c>
      <c r="G22" s="814">
        <f t="shared" si="1"/>
        <v>0</v>
      </c>
      <c r="H22" s="814">
        <f t="shared" si="1"/>
        <v>34399.69177445479</v>
      </c>
      <c r="I22" s="814">
        <f t="shared" si="1"/>
        <v>9333.0715207263765</v>
      </c>
      <c r="J22" s="814">
        <f t="shared" si="1"/>
        <v>0</v>
      </c>
      <c r="K22" s="814">
        <f t="shared" si="1"/>
        <v>0</v>
      </c>
      <c r="L22" s="814">
        <f t="shared" si="1"/>
        <v>0</v>
      </c>
      <c r="M22" s="814">
        <f t="shared" si="1"/>
        <v>0</v>
      </c>
      <c r="N22" s="814">
        <f t="shared" si="1"/>
        <v>2583.9526690031748</v>
      </c>
      <c r="O22" s="814">
        <f t="shared" si="1"/>
        <v>0</v>
      </c>
      <c r="P22" s="814">
        <f t="shared" si="1"/>
        <v>0</v>
      </c>
      <c r="Q22" s="814">
        <f t="shared" si="1"/>
        <v>0</v>
      </c>
      <c r="R22" s="814">
        <f t="shared" si="1"/>
        <v>46578.258852110979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11454.556919000001</v>
      </c>
      <c r="D24" s="689">
        <f>+landbouw!C8</f>
        <v>400870.92857142864</v>
      </c>
      <c r="E24" s="689">
        <f>+landbouw!D8</f>
        <v>9718.0614828522084</v>
      </c>
      <c r="F24" s="689">
        <f>+landbouw!E8</f>
        <v>427.17546449973418</v>
      </c>
      <c r="G24" s="689">
        <f>+landbouw!F8</f>
        <v>37163.008860258873</v>
      </c>
      <c r="H24" s="689">
        <f>+landbouw!G8</f>
        <v>0</v>
      </c>
      <c r="I24" s="689">
        <f>+landbouw!H8</f>
        <v>0</v>
      </c>
      <c r="J24" s="689">
        <f>+landbouw!I8</f>
        <v>0</v>
      </c>
      <c r="K24" s="689">
        <f>+landbouw!J8</f>
        <v>3006.8777413212651</v>
      </c>
      <c r="L24" s="689">
        <f>+landbouw!K8</f>
        <v>0</v>
      </c>
      <c r="M24" s="689">
        <f>+landbouw!L8</f>
        <v>0</v>
      </c>
      <c r="N24" s="689">
        <f>+landbouw!M8</f>
        <v>0</v>
      </c>
      <c r="O24" s="689">
        <f>+landbouw!N8</f>
        <v>0</v>
      </c>
      <c r="P24" s="689">
        <f>+landbouw!O8</f>
        <v>0</v>
      </c>
      <c r="Q24" s="690">
        <f>+landbouw!P8</f>
        <v>0</v>
      </c>
      <c r="R24" s="692">
        <f>SUM(C24:Q24)</f>
        <v>462640.60903936072</v>
      </c>
      <c r="S24" s="67"/>
    </row>
    <row r="25" spans="1:19" s="451" customFormat="1" ht="15" thickBot="1">
      <c r="A25" s="833" t="s">
        <v>714</v>
      </c>
      <c r="B25" s="947"/>
      <c r="C25" s="948">
        <f>IF(Onbekend_ele_kWh="---",0,Onbekend_ele_kWh)/1000+IF(REST_rest_ele_kWh="---",0,REST_rest_ele_kWh)/1000</f>
        <v>527.60599300000001</v>
      </c>
      <c r="D25" s="948"/>
      <c r="E25" s="948">
        <f>IF(onbekend_gas_kWh="---",0,onbekend_gas_kWh)/1000+IF(REST_rest_gas_kWh="---",0,REST_rest_gas_kWh)/1000</f>
        <v>259.06403228610003</v>
      </c>
      <c r="F25" s="948"/>
      <c r="G25" s="948"/>
      <c r="H25" s="948"/>
      <c r="I25" s="948"/>
      <c r="J25" s="948"/>
      <c r="K25" s="948"/>
      <c r="L25" s="948"/>
      <c r="M25" s="948"/>
      <c r="N25" s="948"/>
      <c r="O25" s="948"/>
      <c r="P25" s="948"/>
      <c r="Q25" s="949"/>
      <c r="R25" s="692">
        <f>SUM(C25:Q25)</f>
        <v>786.6700252861001</v>
      </c>
      <c r="S25" s="67"/>
    </row>
    <row r="26" spans="1:19" s="451" customFormat="1" ht="15.75" thickBot="1">
      <c r="A26" s="697" t="s">
        <v>715</v>
      </c>
      <c r="B26" s="819"/>
      <c r="C26" s="814">
        <f>SUM(C24:C25)</f>
        <v>11982.162912</v>
      </c>
      <c r="D26" s="814">
        <f t="shared" ref="D26:R26" si="2">SUM(D24:D25)</f>
        <v>400870.92857142864</v>
      </c>
      <c r="E26" s="814">
        <f t="shared" si="2"/>
        <v>9977.1255151383084</v>
      </c>
      <c r="F26" s="814">
        <f t="shared" si="2"/>
        <v>427.17546449973418</v>
      </c>
      <c r="G26" s="814">
        <f t="shared" si="2"/>
        <v>37163.008860258873</v>
      </c>
      <c r="H26" s="814">
        <f t="shared" si="2"/>
        <v>0</v>
      </c>
      <c r="I26" s="814">
        <f t="shared" si="2"/>
        <v>0</v>
      </c>
      <c r="J26" s="814">
        <f t="shared" si="2"/>
        <v>0</v>
      </c>
      <c r="K26" s="814">
        <f t="shared" si="2"/>
        <v>3006.8777413212651</v>
      </c>
      <c r="L26" s="814">
        <f t="shared" si="2"/>
        <v>0</v>
      </c>
      <c r="M26" s="814">
        <f t="shared" si="2"/>
        <v>0</v>
      </c>
      <c r="N26" s="814">
        <f t="shared" si="2"/>
        <v>0</v>
      </c>
      <c r="O26" s="814">
        <f t="shared" si="2"/>
        <v>0</v>
      </c>
      <c r="P26" s="814">
        <f t="shared" si="2"/>
        <v>0</v>
      </c>
      <c r="Q26" s="814">
        <f t="shared" si="2"/>
        <v>0</v>
      </c>
      <c r="R26" s="814">
        <f t="shared" si="2"/>
        <v>463427.27906464681</v>
      </c>
      <c r="S26" s="67"/>
    </row>
    <row r="27" spans="1:19" s="451" customFormat="1" ht="17.25" thickTop="1" thickBot="1">
      <c r="A27" s="698" t="s">
        <v>115</v>
      </c>
      <c r="B27" s="806"/>
      <c r="C27" s="699">
        <f ca="1">C22+C16+C26</f>
        <v>45030.603423677327</v>
      </c>
      <c r="D27" s="699">
        <f t="shared" ref="D27:R27" ca="1" si="3">D22+D16+D26</f>
        <v>400870.92857142864</v>
      </c>
      <c r="E27" s="699">
        <f t="shared" ca="1" si="3"/>
        <v>68160.325352012296</v>
      </c>
      <c r="F27" s="699">
        <f t="shared" si="3"/>
        <v>8949.724496600491</v>
      </c>
      <c r="G27" s="699">
        <f t="shared" ca="1" si="3"/>
        <v>41374.802060903894</v>
      </c>
      <c r="H27" s="699">
        <f t="shared" si="3"/>
        <v>34399.69177445479</v>
      </c>
      <c r="I27" s="699">
        <f t="shared" si="3"/>
        <v>9333.0715207263765</v>
      </c>
      <c r="J27" s="699">
        <f t="shared" si="3"/>
        <v>0</v>
      </c>
      <c r="K27" s="699">
        <f t="shared" si="3"/>
        <v>3007.5332518389705</v>
      </c>
      <c r="L27" s="699">
        <f t="shared" si="3"/>
        <v>0</v>
      </c>
      <c r="M27" s="699">
        <f t="shared" ca="1" si="3"/>
        <v>0</v>
      </c>
      <c r="N27" s="699">
        <f t="shared" si="3"/>
        <v>2583.9526690031748</v>
      </c>
      <c r="O27" s="699">
        <f t="shared" ca="1" si="3"/>
        <v>21011.918696261691</v>
      </c>
      <c r="P27" s="699">
        <f t="shared" si="3"/>
        <v>169.44052340971197</v>
      </c>
      <c r="Q27" s="699">
        <f t="shared" si="3"/>
        <v>231.74710476907052</v>
      </c>
      <c r="R27" s="699">
        <f t="shared" ca="1" si="3"/>
        <v>635123.73944508634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3173.1539590793132</v>
      </c>
      <c r="D40" s="689">
        <f ca="1">tertiair!C20</f>
        <v>0</v>
      </c>
      <c r="E40" s="689">
        <f ca="1">tertiair!D20</f>
        <v>3598.3649876241316</v>
      </c>
      <c r="F40" s="689">
        <f>tertiair!E20</f>
        <v>16.061284372206885</v>
      </c>
      <c r="G40" s="689">
        <f ca="1">tertiair!F20</f>
        <v>903.8435765935219</v>
      </c>
      <c r="H40" s="689">
        <f>tertiair!G20</f>
        <v>0</v>
      </c>
      <c r="I40" s="689">
        <f>tertiair!H20</f>
        <v>0</v>
      </c>
      <c r="J40" s="689">
        <f>tertiair!I20</f>
        <v>0</v>
      </c>
      <c r="K40" s="689">
        <f>tertiair!J20</f>
        <v>1.4875767389669571E-2</v>
      </c>
      <c r="L40" s="689">
        <f>tertiair!K20</f>
        <v>0</v>
      </c>
      <c r="M40" s="689">
        <f ca="1">tertiair!L20</f>
        <v>0</v>
      </c>
      <c r="N40" s="689">
        <f>tertiair!M20</f>
        <v>0</v>
      </c>
      <c r="O40" s="689">
        <f ca="1">tertiair!N20</f>
        <v>0</v>
      </c>
      <c r="P40" s="689">
        <f>tertiair!O20</f>
        <v>0</v>
      </c>
      <c r="Q40" s="772">
        <f>tertiair!P20</f>
        <v>0</v>
      </c>
      <c r="R40" s="852">
        <f t="shared" ca="1" si="4"/>
        <v>7691.4386834365632</v>
      </c>
    </row>
    <row r="41" spans="1:18">
      <c r="A41" s="824" t="s">
        <v>224</v>
      </c>
      <c r="B41" s="831"/>
      <c r="C41" s="689">
        <f ca="1">huishoudens!B12</f>
        <v>2948.8580617254725</v>
      </c>
      <c r="D41" s="689">
        <f ca="1">huishoudens!C12</f>
        <v>0</v>
      </c>
      <c r="E41" s="689">
        <f>huishoudens!D12</f>
        <v>7559.4924828720295</v>
      </c>
      <c r="F41" s="689">
        <f>huishoudens!E12</f>
        <v>1898.3672662513945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12406.717810848897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730.740908403508</v>
      </c>
      <c r="D43" s="689">
        <f ca="1">industrie!C22</f>
        <v>0</v>
      </c>
      <c r="E43" s="689">
        <f>industrie!D22</f>
        <v>565.58924450457414</v>
      </c>
      <c r="F43" s="689">
        <f>industrie!E22</f>
        <v>2.3481219967057076</v>
      </c>
      <c r="G43" s="689">
        <f>industrie!F22</f>
        <v>220.70520797869764</v>
      </c>
      <c r="H43" s="689">
        <f>industrie!G22</f>
        <v>0</v>
      </c>
      <c r="I43" s="689">
        <f>industrie!H22</f>
        <v>0</v>
      </c>
      <c r="J43" s="689">
        <f>industrie!I22</f>
        <v>0</v>
      </c>
      <c r="K43" s="689">
        <f>industrie!J22</f>
        <v>0.21717495587806182</v>
      </c>
      <c r="L43" s="689">
        <f>industrie!K22</f>
        <v>0</v>
      </c>
      <c r="M43" s="689">
        <f>industrie!L22</f>
        <v>0</v>
      </c>
      <c r="N43" s="689">
        <f>industrie!M22</f>
        <v>0</v>
      </c>
      <c r="O43" s="689">
        <f>industrie!N22</f>
        <v>0</v>
      </c>
      <c r="P43" s="689">
        <f>industrie!O22</f>
        <v>0</v>
      </c>
      <c r="Q43" s="772">
        <f>industrie!P22</f>
        <v>0</v>
      </c>
      <c r="R43" s="851">
        <f t="shared" ca="1" si="4"/>
        <v>1519.6006578393637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6852.7529292082936</v>
      </c>
      <c r="D46" s="725">
        <f t="shared" ref="D46:Q46" ca="1" si="5">SUM(D39:D45)</f>
        <v>0</v>
      </c>
      <c r="E46" s="725">
        <f t="shared" ca="1" si="5"/>
        <v>11723.446715000735</v>
      </c>
      <c r="F46" s="725">
        <f t="shared" si="5"/>
        <v>1916.7766726203072</v>
      </c>
      <c r="G46" s="725">
        <f t="shared" ca="1" si="5"/>
        <v>1124.5487845722196</v>
      </c>
      <c r="H46" s="725">
        <f t="shared" si="5"/>
        <v>0</v>
      </c>
      <c r="I46" s="725">
        <f t="shared" si="5"/>
        <v>0</v>
      </c>
      <c r="J46" s="725">
        <f t="shared" si="5"/>
        <v>0</v>
      </c>
      <c r="K46" s="725">
        <f t="shared" si="5"/>
        <v>0.23205072326773138</v>
      </c>
      <c r="L46" s="725">
        <f t="shared" si="5"/>
        <v>0</v>
      </c>
      <c r="M46" s="725">
        <f t="shared" ca="1" si="5"/>
        <v>0</v>
      </c>
      <c r="N46" s="725">
        <f t="shared" si="5"/>
        <v>0</v>
      </c>
      <c r="O46" s="725">
        <f t="shared" ca="1" si="5"/>
        <v>0</v>
      </c>
      <c r="P46" s="725">
        <f t="shared" si="5"/>
        <v>0</v>
      </c>
      <c r="Q46" s="725">
        <f t="shared" si="5"/>
        <v>0</v>
      </c>
      <c r="R46" s="725">
        <f ca="1">SUM(R39:R45)</f>
        <v>21617.757152124825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210.15303679623824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210.15303679623824</v>
      </c>
    </row>
    <row r="50" spans="1:18">
      <c r="A50" s="827" t="s">
        <v>306</v>
      </c>
      <c r="B50" s="837"/>
      <c r="C50" s="695">
        <f ca="1">transport!B18</f>
        <v>7.5994794815622111</v>
      </c>
      <c r="D50" s="695">
        <f>transport!C18</f>
        <v>0</v>
      </c>
      <c r="E50" s="695">
        <f>transport!D18</f>
        <v>29.559652047807681</v>
      </c>
      <c r="F50" s="695">
        <f>transport!E18</f>
        <v>17.841957666564785</v>
      </c>
      <c r="G50" s="695">
        <f>transport!F18</f>
        <v>0</v>
      </c>
      <c r="H50" s="695">
        <f>transport!G18</f>
        <v>8974.5646669831913</v>
      </c>
      <c r="I50" s="695">
        <f>transport!H18</f>
        <v>2323.9348086608679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11353.500564839995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7.5994794815622111</v>
      </c>
      <c r="D52" s="725">
        <f t="shared" ref="D52:Q52" ca="1" si="6">SUM(D48:D51)</f>
        <v>0</v>
      </c>
      <c r="E52" s="725">
        <f t="shared" si="6"/>
        <v>29.559652047807681</v>
      </c>
      <c r="F52" s="725">
        <f t="shared" si="6"/>
        <v>17.841957666564785</v>
      </c>
      <c r="G52" s="725">
        <f t="shared" si="6"/>
        <v>0</v>
      </c>
      <c r="H52" s="725">
        <f t="shared" si="6"/>
        <v>9184.7177037794299</v>
      </c>
      <c r="I52" s="725">
        <f t="shared" si="6"/>
        <v>2323.9348086608679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11563.653601636233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2377.791385405023</v>
      </c>
      <c r="D54" s="695">
        <f ca="1">+landbouw!C12</f>
        <v>85146.564705882382</v>
      </c>
      <c r="E54" s="695">
        <f>+landbouw!D12</f>
        <v>1963.0484195361462</v>
      </c>
      <c r="F54" s="695">
        <f>+landbouw!E12</f>
        <v>96.968830441439664</v>
      </c>
      <c r="G54" s="695">
        <f>+landbouw!F12</f>
        <v>9922.5233656891196</v>
      </c>
      <c r="H54" s="695">
        <f>+landbouw!G12</f>
        <v>0</v>
      </c>
      <c r="I54" s="695">
        <f>+landbouw!H12</f>
        <v>0</v>
      </c>
      <c r="J54" s="695">
        <f>+landbouw!I12</f>
        <v>0</v>
      </c>
      <c r="K54" s="695">
        <f>+landbouw!J12</f>
        <v>1064.4347204277278</v>
      </c>
      <c r="L54" s="695">
        <f>+landbouw!K12</f>
        <v>0</v>
      </c>
      <c r="M54" s="695">
        <f>+landbouw!L12</f>
        <v>0</v>
      </c>
      <c r="N54" s="695">
        <f>+landbouw!M12</f>
        <v>0</v>
      </c>
      <c r="O54" s="695">
        <f>+landbouw!N12</f>
        <v>0</v>
      </c>
      <c r="P54" s="695">
        <f>+landbouw!O12</f>
        <v>0</v>
      </c>
      <c r="Q54" s="696">
        <f>+landbouw!P12</f>
        <v>0</v>
      </c>
      <c r="R54" s="724">
        <f ca="1">SUM(C54:Q54)</f>
        <v>100571.33142738185</v>
      </c>
    </row>
    <row r="55" spans="1:18" ht="15" thickBot="1">
      <c r="A55" s="827" t="s">
        <v>714</v>
      </c>
      <c r="B55" s="837"/>
      <c r="C55" s="695">
        <f ca="1">C25*'EF ele_warmte'!B12</f>
        <v>109.52296050513543</v>
      </c>
      <c r="D55" s="695"/>
      <c r="E55" s="695">
        <f>E25*EF_CO2_aardgas</f>
        <v>52.330934521792209</v>
      </c>
      <c r="F55" s="695"/>
      <c r="G55" s="695"/>
      <c r="H55" s="695"/>
      <c r="I55" s="695"/>
      <c r="J55" s="695"/>
      <c r="K55" s="695"/>
      <c r="L55" s="695"/>
      <c r="M55" s="695"/>
      <c r="N55" s="695"/>
      <c r="O55" s="695"/>
      <c r="P55" s="695"/>
      <c r="Q55" s="696"/>
      <c r="R55" s="724">
        <f ca="1">SUM(C55:Q55)</f>
        <v>161.85389502692763</v>
      </c>
    </row>
    <row r="56" spans="1:18" ht="15.75" thickBot="1">
      <c r="A56" s="825" t="s">
        <v>715</v>
      </c>
      <c r="B56" s="838"/>
      <c r="C56" s="725">
        <f ca="1">SUM(C54:C55)</f>
        <v>2487.3143459101584</v>
      </c>
      <c r="D56" s="725">
        <f t="shared" ref="D56:Q56" ca="1" si="7">SUM(D54:D55)</f>
        <v>85146.564705882382</v>
      </c>
      <c r="E56" s="725">
        <f t="shared" si="7"/>
        <v>2015.3793540579384</v>
      </c>
      <c r="F56" s="725">
        <f t="shared" si="7"/>
        <v>96.968830441439664</v>
      </c>
      <c r="G56" s="725">
        <f t="shared" si="7"/>
        <v>9922.5233656891196</v>
      </c>
      <c r="H56" s="725">
        <f t="shared" si="7"/>
        <v>0</v>
      </c>
      <c r="I56" s="725">
        <f t="shared" si="7"/>
        <v>0</v>
      </c>
      <c r="J56" s="725">
        <f t="shared" si="7"/>
        <v>0</v>
      </c>
      <c r="K56" s="725">
        <f t="shared" si="7"/>
        <v>1064.4347204277278</v>
      </c>
      <c r="L56" s="725">
        <f t="shared" si="7"/>
        <v>0</v>
      </c>
      <c r="M56" s="725">
        <f t="shared" si="7"/>
        <v>0</v>
      </c>
      <c r="N56" s="725">
        <f t="shared" si="7"/>
        <v>0</v>
      </c>
      <c r="O56" s="725">
        <f t="shared" si="7"/>
        <v>0</v>
      </c>
      <c r="P56" s="725">
        <f t="shared" si="7"/>
        <v>0</v>
      </c>
      <c r="Q56" s="726">
        <f t="shared" si="7"/>
        <v>0</v>
      </c>
      <c r="R56" s="727">
        <f ca="1">SUM(R54:R55)</f>
        <v>100733.18532240878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9347.6667546000135</v>
      </c>
      <c r="D61" s="733">
        <f t="shared" ref="D61:Q61" ca="1" si="8">D46+D52+D56</f>
        <v>85146.564705882382</v>
      </c>
      <c r="E61" s="733">
        <f t="shared" ca="1" si="8"/>
        <v>13768.385721106482</v>
      </c>
      <c r="F61" s="733">
        <f t="shared" si="8"/>
        <v>2031.5874607283117</v>
      </c>
      <c r="G61" s="733">
        <f t="shared" ca="1" si="8"/>
        <v>11047.07215026134</v>
      </c>
      <c r="H61" s="733">
        <f t="shared" si="8"/>
        <v>9184.7177037794299</v>
      </c>
      <c r="I61" s="733">
        <f t="shared" si="8"/>
        <v>2323.9348086608679</v>
      </c>
      <c r="J61" s="733">
        <f t="shared" si="8"/>
        <v>0</v>
      </c>
      <c r="K61" s="733">
        <f t="shared" si="8"/>
        <v>1064.6667711509956</v>
      </c>
      <c r="L61" s="733">
        <f t="shared" si="8"/>
        <v>0</v>
      </c>
      <c r="M61" s="733">
        <f t="shared" ca="1" si="8"/>
        <v>0</v>
      </c>
      <c r="N61" s="733">
        <f t="shared" si="8"/>
        <v>0</v>
      </c>
      <c r="O61" s="733">
        <f t="shared" ca="1" si="8"/>
        <v>0</v>
      </c>
      <c r="P61" s="733">
        <f t="shared" si="8"/>
        <v>0</v>
      </c>
      <c r="Q61" s="733">
        <f t="shared" si="8"/>
        <v>0</v>
      </c>
      <c r="R61" s="733">
        <f ca="1">R46+R52+R56</f>
        <v>133914.59607616984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0.20758475445356706</v>
      </c>
      <c r="D63" s="779">
        <f t="shared" ca="1" si="9"/>
        <v>0.21240394011438188</v>
      </c>
      <c r="E63" s="973">
        <f t="shared" ca="1" si="9"/>
        <v>0.20199999999999999</v>
      </c>
      <c r="F63" s="779">
        <f t="shared" si="9"/>
        <v>0.22700000000000004</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4867.4957544015451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29806.649999999998</v>
      </c>
      <c r="C76" s="746">
        <f>'lokale energieproductie'!B8*IFERROR(SUM(D76:H76)/SUM(D76:O76),0)</f>
        <v>250803</v>
      </c>
      <c r="D76" s="956">
        <f>'lokale energieproductie'!C8</f>
        <v>295062.3529411765</v>
      </c>
      <c r="E76" s="957">
        <f>'lokale energieproductie'!D8</f>
        <v>0</v>
      </c>
      <c r="F76" s="957">
        <f>'lokale energieproductie'!E8</f>
        <v>0</v>
      </c>
      <c r="G76" s="957">
        <f>'lokale energieproductie'!F8</f>
        <v>0</v>
      </c>
      <c r="H76" s="957">
        <f>'lokale energieproductie'!G8</f>
        <v>0</v>
      </c>
      <c r="I76" s="957">
        <f>'lokale energieproductie'!I8</f>
        <v>0</v>
      </c>
      <c r="J76" s="957">
        <f>'lokale energieproductie'!J8</f>
        <v>35066.647058823532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59602.595294117658</v>
      </c>
      <c r="R76" s="854">
        <v>0</v>
      </c>
    </row>
    <row r="77" spans="1:18" ht="15.75" thickBot="1">
      <c r="A77" s="749" t="s">
        <v>760</v>
      </c>
      <c r="B77" s="746">
        <f>'lokale energieproductie'!B9*IFERROR(SUM(I77:O77)/SUM(D77:O77),0)</f>
        <v>1647</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4705.7142857142862</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36321.145754401543</v>
      </c>
      <c r="C78" s="751">
        <f>SUM(C72:C77)</f>
        <v>250803</v>
      </c>
      <c r="D78" s="752">
        <f t="shared" ref="D78:H78" si="10">SUM(D76:D77)</f>
        <v>295062.3529411765</v>
      </c>
      <c r="E78" s="752">
        <f t="shared" si="10"/>
        <v>0</v>
      </c>
      <c r="F78" s="752">
        <f t="shared" si="10"/>
        <v>0</v>
      </c>
      <c r="G78" s="752">
        <f t="shared" si="10"/>
        <v>0</v>
      </c>
      <c r="H78" s="752">
        <f t="shared" si="10"/>
        <v>0</v>
      </c>
      <c r="I78" s="752">
        <f>SUM(I76:I77)</f>
        <v>0</v>
      </c>
      <c r="J78" s="752">
        <f>SUM(J76:J77)</f>
        <v>39772.361344537814</v>
      </c>
      <c r="K78" s="752">
        <f t="shared" ref="K78:L78" si="11">SUM(K76:K77)</f>
        <v>0</v>
      </c>
      <c r="L78" s="752">
        <f t="shared" si="11"/>
        <v>0</v>
      </c>
      <c r="M78" s="752">
        <f>SUM(M76:M77)</f>
        <v>0</v>
      </c>
      <c r="N78" s="752">
        <f>SUM(N76:N77)</f>
        <v>0</v>
      </c>
      <c r="O78" s="862">
        <f>SUM(O76:O77)</f>
        <v>0</v>
      </c>
      <c r="P78" s="753">
        <v>0</v>
      </c>
      <c r="Q78" s="753">
        <f>SUM(Q76:Q77)</f>
        <v>59602.595294117658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42580.928571428587</v>
      </c>
      <c r="C87" s="764">
        <f>'lokale energieproductie'!B17*IFERROR(SUM(D87:H87)/SUM(D87:O87),0)</f>
        <v>358290.00000000006</v>
      </c>
      <c r="D87" s="775">
        <f>'lokale energieproductie'!C17</f>
        <v>421517.64705882361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50095.210084033628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85146.564705882382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42580.928571428587</v>
      </c>
      <c r="C90" s="751">
        <f>SUM(C87:C89)</f>
        <v>358290.00000000006</v>
      </c>
      <c r="D90" s="751">
        <f t="shared" ref="D90:H90" si="12">SUM(D87:D89)</f>
        <v>421517.64705882361</v>
      </c>
      <c r="E90" s="751">
        <f t="shared" si="12"/>
        <v>0</v>
      </c>
      <c r="F90" s="751">
        <f t="shared" si="12"/>
        <v>0</v>
      </c>
      <c r="G90" s="751">
        <f t="shared" si="12"/>
        <v>0</v>
      </c>
      <c r="H90" s="751">
        <f t="shared" si="12"/>
        <v>0</v>
      </c>
      <c r="I90" s="751">
        <f>SUM(I87:I89)</f>
        <v>0</v>
      </c>
      <c r="J90" s="751">
        <f>SUM(J87:J89)</f>
        <v>50095.210084033628</v>
      </c>
      <c r="K90" s="751">
        <f t="shared" ref="K90:L90" si="13">SUM(K87:K89)</f>
        <v>0</v>
      </c>
      <c r="L90" s="751">
        <f t="shared" si="13"/>
        <v>0</v>
      </c>
      <c r="M90" s="751">
        <f>SUM(M87:M89)</f>
        <v>0</v>
      </c>
      <c r="N90" s="751">
        <f>SUM(N87:N89)</f>
        <v>0</v>
      </c>
      <c r="O90" s="751">
        <f>SUM(O87:O89)</f>
        <v>0</v>
      </c>
      <c r="P90" s="751">
        <v>0</v>
      </c>
      <c r="Q90" s="751">
        <f>SUM(Q87:Q89)</f>
        <v>85146.564705882382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6"/>
  <sheetViews>
    <sheetView showGridLines="0" topLeftCell="A85" zoomScale="65" zoomScaleNormal="65" workbookViewId="0">
      <selection activeCell="M43" sqref="M43"/>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4867.4957544015451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N44</f>
        <v>280609.65000000002</v>
      </c>
      <c r="C8" s="551">
        <f>B63</f>
        <v>295062.3529411765</v>
      </c>
      <c r="D8" s="552"/>
      <c r="E8" s="552">
        <f>E63</f>
        <v>0</v>
      </c>
      <c r="F8" s="553"/>
      <c r="G8" s="554"/>
      <c r="H8" s="552">
        <f>I63</f>
        <v>0</v>
      </c>
      <c r="I8" s="552">
        <f>G63+F63</f>
        <v>0</v>
      </c>
      <c r="J8" s="552">
        <f>H63+D63+C63</f>
        <v>35066.647058823532</v>
      </c>
      <c r="K8" s="552"/>
      <c r="L8" s="552"/>
      <c r="M8" s="552"/>
      <c r="N8" s="555"/>
      <c r="O8" s="556">
        <f>C8*$C$12+D8*$D$12+E8*$E$12+F8*$F$12+G8*$G$12+H8*$H$12+I8*$I$12+J8*$J$12</f>
        <v>59602.595294117658</v>
      </c>
      <c r="P8" s="1256"/>
      <c r="Q8" s="1257"/>
      <c r="S8" s="546"/>
      <c r="T8" s="1244"/>
      <c r="U8" s="1244"/>
    </row>
    <row r="9" spans="1:21" s="537" customFormat="1" ht="17.45" customHeight="1" thickBot="1">
      <c r="A9" s="557" t="s">
        <v>247</v>
      </c>
      <c r="B9" s="558">
        <f>N51+'Eigen informatie GS &amp; warmtenet'!B12</f>
        <v>1647</v>
      </c>
      <c r="C9" s="559">
        <f>P51+IF(ISERROR(('Eigen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S51+IF(ISERROR('Eigen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W51+IF(ISERROR('Eigen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(T51+U51)+IF(ISERROR('Eigen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V51+Q51+R51+IF(ISERROR('Eigen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287124.14575440157</v>
      </c>
      <c r="C10" s="566">
        <f t="shared" ref="C10:L10" si="0">SUM(C8:C9)</f>
        <v>295062.3529411765</v>
      </c>
      <c r="D10" s="566">
        <f t="shared" si="0"/>
        <v>0</v>
      </c>
      <c r="E10" s="566">
        <f t="shared" si="0"/>
        <v>0</v>
      </c>
      <c r="F10" s="566">
        <f t="shared" si="0"/>
        <v>0</v>
      </c>
      <c r="G10" s="566">
        <f t="shared" si="0"/>
        <v>0</v>
      </c>
      <c r="H10" s="566">
        <f t="shared" si="0"/>
        <v>0</v>
      </c>
      <c r="I10" s="566">
        <f t="shared" si="0"/>
        <v>0</v>
      </c>
      <c r="J10" s="566">
        <f t="shared" si="0"/>
        <v>39772.361344537814</v>
      </c>
      <c r="K10" s="566">
        <f t="shared" si="0"/>
        <v>0</v>
      </c>
      <c r="L10" s="566">
        <f t="shared" si="0"/>
        <v>0</v>
      </c>
      <c r="M10" s="969"/>
      <c r="N10" s="969"/>
      <c r="O10" s="567">
        <f>SUM(O4:O9)</f>
        <v>59602.595294117658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O44</f>
        <v>400870.92857142864</v>
      </c>
      <c r="C17" s="582">
        <f>B64</f>
        <v>421517.64705882361</v>
      </c>
      <c r="D17" s="583"/>
      <c r="E17" s="583">
        <f>E64</f>
        <v>0</v>
      </c>
      <c r="F17" s="584"/>
      <c r="G17" s="585"/>
      <c r="H17" s="582">
        <f>I64</f>
        <v>0</v>
      </c>
      <c r="I17" s="583">
        <f>G64+F64</f>
        <v>0</v>
      </c>
      <c r="J17" s="583">
        <f>H64+D64+C64</f>
        <v>50095.210084033628</v>
      </c>
      <c r="K17" s="583"/>
      <c r="L17" s="583"/>
      <c r="M17" s="583"/>
      <c r="N17" s="970"/>
      <c r="O17" s="586">
        <f>C17*$C$22+E17*$E$22+H17*$H$22+I17*$I$22+J17*$J$22+D17*$D$22+F17*$F$22+G17*$G$22+K17*$K$22+L17*$L$22</f>
        <v>85146.564705882382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400870.92857142864</v>
      </c>
      <c r="C20" s="565">
        <f>SUM(C17:C19)</f>
        <v>421517.64705882361</v>
      </c>
      <c r="D20" s="565">
        <f t="shared" ref="D20:L20" si="1">SUM(D17:D19)</f>
        <v>0</v>
      </c>
      <c r="E20" s="565">
        <f t="shared" si="1"/>
        <v>0</v>
      </c>
      <c r="F20" s="565">
        <f t="shared" si="1"/>
        <v>0</v>
      </c>
      <c r="G20" s="565">
        <f t="shared" si="1"/>
        <v>0</v>
      </c>
      <c r="H20" s="565">
        <f t="shared" si="1"/>
        <v>0</v>
      </c>
      <c r="I20" s="565">
        <f t="shared" si="1"/>
        <v>0</v>
      </c>
      <c r="J20" s="565">
        <f t="shared" si="1"/>
        <v>50095.210084033628</v>
      </c>
      <c r="K20" s="565">
        <f t="shared" si="1"/>
        <v>0</v>
      </c>
      <c r="L20" s="565">
        <f t="shared" si="1"/>
        <v>0</v>
      </c>
      <c r="M20" s="565"/>
      <c r="N20" s="565"/>
      <c r="O20" s="591">
        <f>SUM(O17:O19)</f>
        <v>85146.564705882382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13023</v>
      </c>
      <c r="C28" s="794">
        <v>2330</v>
      </c>
      <c r="D28" s="643" t="s">
        <v>865</v>
      </c>
      <c r="E28" s="642" t="s">
        <v>866</v>
      </c>
      <c r="F28" s="642" t="s">
        <v>867</v>
      </c>
      <c r="G28" s="642" t="s">
        <v>868</v>
      </c>
      <c r="H28" s="642" t="s">
        <v>869</v>
      </c>
      <c r="I28" s="642" t="s">
        <v>866</v>
      </c>
      <c r="J28" s="793">
        <v>39217</v>
      </c>
      <c r="K28" s="793">
        <v>38473</v>
      </c>
      <c r="L28" s="642" t="s">
        <v>870</v>
      </c>
      <c r="M28" s="642">
        <v>2758</v>
      </c>
      <c r="N28" s="642">
        <v>12411</v>
      </c>
      <c r="O28" s="642">
        <v>17730</v>
      </c>
      <c r="P28" s="642">
        <v>35460</v>
      </c>
      <c r="Q28" s="642">
        <v>0</v>
      </c>
      <c r="R28" s="642">
        <v>0</v>
      </c>
      <c r="S28" s="642">
        <v>0</v>
      </c>
      <c r="T28" s="642">
        <v>0</v>
      </c>
      <c r="U28" s="642">
        <v>0</v>
      </c>
      <c r="V28" s="642">
        <v>0</v>
      </c>
      <c r="W28" s="642">
        <v>0</v>
      </c>
      <c r="X28" s="642">
        <v>10</v>
      </c>
      <c r="Y28" s="642" t="s">
        <v>111</v>
      </c>
      <c r="Z28" s="644" t="s">
        <v>111</v>
      </c>
    </row>
    <row r="29" spans="1:26" s="596" customFormat="1" ht="25.5">
      <c r="A29" s="595"/>
      <c r="B29" s="794">
        <v>13023</v>
      </c>
      <c r="C29" s="794">
        <v>2330</v>
      </c>
      <c r="D29" s="643" t="s">
        <v>871</v>
      </c>
      <c r="E29" s="642" t="s">
        <v>872</v>
      </c>
      <c r="F29" s="642" t="s">
        <v>873</v>
      </c>
      <c r="G29" s="642" t="s">
        <v>868</v>
      </c>
      <c r="H29" s="642" t="s">
        <v>869</v>
      </c>
      <c r="I29" s="642" t="s">
        <v>874</v>
      </c>
      <c r="J29" s="793">
        <v>41264</v>
      </c>
      <c r="K29" s="793">
        <v>39071</v>
      </c>
      <c r="L29" s="642" t="s">
        <v>870</v>
      </c>
      <c r="M29" s="642">
        <v>2800</v>
      </c>
      <c r="N29" s="642">
        <v>12600</v>
      </c>
      <c r="O29" s="642">
        <v>18000</v>
      </c>
      <c r="P29" s="642">
        <v>36000</v>
      </c>
      <c r="Q29" s="642">
        <v>0</v>
      </c>
      <c r="R29" s="642">
        <v>0</v>
      </c>
      <c r="S29" s="642">
        <v>0</v>
      </c>
      <c r="T29" s="642">
        <v>0</v>
      </c>
      <c r="U29" s="642">
        <v>0</v>
      </c>
      <c r="V29" s="642">
        <v>0</v>
      </c>
      <c r="W29" s="642">
        <v>0</v>
      </c>
      <c r="X29" s="642">
        <v>10</v>
      </c>
      <c r="Y29" s="642" t="s">
        <v>111</v>
      </c>
      <c r="Z29" s="644" t="s">
        <v>111</v>
      </c>
    </row>
    <row r="30" spans="1:26" s="596" customFormat="1" ht="38.25">
      <c r="A30" s="595"/>
      <c r="B30" s="794">
        <v>13023</v>
      </c>
      <c r="C30" s="794">
        <v>2330</v>
      </c>
      <c r="D30" s="643" t="s">
        <v>875</v>
      </c>
      <c r="E30" s="642" t="s">
        <v>876</v>
      </c>
      <c r="F30" s="642" t="s">
        <v>877</v>
      </c>
      <c r="G30" s="642" t="s">
        <v>868</v>
      </c>
      <c r="H30" s="642" t="s">
        <v>869</v>
      </c>
      <c r="I30" s="642" t="s">
        <v>876</v>
      </c>
      <c r="J30" s="793">
        <v>39209</v>
      </c>
      <c r="K30" s="793">
        <v>43076</v>
      </c>
      <c r="L30" s="642" t="s">
        <v>878</v>
      </c>
      <c r="M30" s="642">
        <v>2678</v>
      </c>
      <c r="N30" s="642">
        <v>12051</v>
      </c>
      <c r="O30" s="642">
        <v>17215.714285714286</v>
      </c>
      <c r="P30" s="642">
        <v>34431.428571428572</v>
      </c>
      <c r="Q30" s="642">
        <v>0</v>
      </c>
      <c r="R30" s="642">
        <v>0</v>
      </c>
      <c r="S30" s="642">
        <v>0</v>
      </c>
      <c r="T30" s="642">
        <v>0</v>
      </c>
      <c r="U30" s="642">
        <v>0</v>
      </c>
      <c r="V30" s="642">
        <v>0</v>
      </c>
      <c r="W30" s="642">
        <v>0</v>
      </c>
      <c r="X30" s="642">
        <v>10</v>
      </c>
      <c r="Y30" s="642" t="s">
        <v>111</v>
      </c>
      <c r="Z30" s="644" t="s">
        <v>111</v>
      </c>
    </row>
    <row r="31" spans="1:26" s="596" customFormat="1" ht="25.5">
      <c r="A31" s="595"/>
      <c r="B31" s="794">
        <v>13023</v>
      </c>
      <c r="C31" s="794">
        <v>2330</v>
      </c>
      <c r="D31" s="643" t="s">
        <v>879</v>
      </c>
      <c r="E31" s="642" t="s">
        <v>880</v>
      </c>
      <c r="F31" s="642" t="s">
        <v>881</v>
      </c>
      <c r="G31" s="642" t="s">
        <v>868</v>
      </c>
      <c r="H31" s="642" t="s">
        <v>869</v>
      </c>
      <c r="I31" s="642" t="s">
        <v>880</v>
      </c>
      <c r="J31" s="793">
        <v>40009</v>
      </c>
      <c r="K31" s="793">
        <v>39504</v>
      </c>
      <c r="L31" s="642" t="s">
        <v>870</v>
      </c>
      <c r="M31" s="642">
        <v>3183</v>
      </c>
      <c r="N31" s="642">
        <v>14323.5</v>
      </c>
      <c r="O31" s="642">
        <v>20462.142857142859</v>
      </c>
      <c r="P31" s="642">
        <v>40924.285714285717</v>
      </c>
      <c r="Q31" s="642">
        <v>0</v>
      </c>
      <c r="R31" s="642">
        <v>0</v>
      </c>
      <c r="S31" s="642">
        <v>0</v>
      </c>
      <c r="T31" s="642">
        <v>0</v>
      </c>
      <c r="U31" s="642">
        <v>0</v>
      </c>
      <c r="V31" s="642">
        <v>0</v>
      </c>
      <c r="W31" s="642">
        <v>0</v>
      </c>
      <c r="X31" s="642">
        <v>10</v>
      </c>
      <c r="Y31" s="642" t="s">
        <v>111</v>
      </c>
      <c r="Z31" s="644" t="s">
        <v>111</v>
      </c>
    </row>
    <row r="32" spans="1:26" s="596" customFormat="1" ht="25.5">
      <c r="A32" s="595"/>
      <c r="B32" s="794">
        <v>13023</v>
      </c>
      <c r="C32" s="794">
        <v>2330</v>
      </c>
      <c r="D32" s="643" t="s">
        <v>882</v>
      </c>
      <c r="E32" s="642" t="s">
        <v>883</v>
      </c>
      <c r="F32" s="642" t="s">
        <v>884</v>
      </c>
      <c r="G32" s="642" t="s">
        <v>868</v>
      </c>
      <c r="H32" s="642" t="s">
        <v>869</v>
      </c>
      <c r="I32" s="642" t="s">
        <v>883</v>
      </c>
      <c r="J32" s="793">
        <v>41291</v>
      </c>
      <c r="K32" s="793">
        <v>39625</v>
      </c>
      <c r="L32" s="642" t="s">
        <v>870</v>
      </c>
      <c r="M32" s="642">
        <v>3574</v>
      </c>
      <c r="N32" s="642">
        <v>16083</v>
      </c>
      <c r="O32" s="642">
        <v>22975.714285714286</v>
      </c>
      <c r="P32" s="642">
        <v>45951.428571428572</v>
      </c>
      <c r="Q32" s="642">
        <v>0</v>
      </c>
      <c r="R32" s="642">
        <v>0</v>
      </c>
      <c r="S32" s="642">
        <v>0</v>
      </c>
      <c r="T32" s="642">
        <v>0</v>
      </c>
      <c r="U32" s="642">
        <v>0</v>
      </c>
      <c r="V32" s="642">
        <v>0</v>
      </c>
      <c r="W32" s="642">
        <v>0</v>
      </c>
      <c r="X32" s="642">
        <v>10</v>
      </c>
      <c r="Y32" s="642" t="s">
        <v>111</v>
      </c>
      <c r="Z32" s="644" t="s">
        <v>111</v>
      </c>
    </row>
    <row r="33" spans="1:26" s="596" customFormat="1" ht="25.5">
      <c r="A33" s="595"/>
      <c r="B33" s="794">
        <v>13023</v>
      </c>
      <c r="C33" s="794">
        <v>2330</v>
      </c>
      <c r="D33" s="643" t="s">
        <v>885</v>
      </c>
      <c r="E33" s="642" t="s">
        <v>886</v>
      </c>
      <c r="F33" s="642" t="s">
        <v>887</v>
      </c>
      <c r="G33" s="642" t="s">
        <v>868</v>
      </c>
      <c r="H33" s="642" t="s">
        <v>869</v>
      </c>
      <c r="I33" s="642" t="s">
        <v>886</v>
      </c>
      <c r="J33" s="793">
        <v>40267</v>
      </c>
      <c r="K33" s="793">
        <v>40267</v>
      </c>
      <c r="L33" s="642" t="s">
        <v>870</v>
      </c>
      <c r="M33" s="642">
        <v>12421</v>
      </c>
      <c r="N33" s="642">
        <v>55894.5</v>
      </c>
      <c r="O33" s="642">
        <v>79849.28571428571</v>
      </c>
      <c r="P33" s="642">
        <v>159698.57142857145</v>
      </c>
      <c r="Q33" s="642">
        <v>0</v>
      </c>
      <c r="R33" s="642">
        <v>0</v>
      </c>
      <c r="S33" s="642">
        <v>0</v>
      </c>
      <c r="T33" s="642">
        <v>0</v>
      </c>
      <c r="U33" s="642">
        <v>0</v>
      </c>
      <c r="V33" s="642">
        <v>0</v>
      </c>
      <c r="W33" s="642">
        <v>0</v>
      </c>
      <c r="X33" s="642">
        <v>10</v>
      </c>
      <c r="Y33" s="642" t="s">
        <v>111</v>
      </c>
      <c r="Z33" s="644" t="s">
        <v>111</v>
      </c>
    </row>
    <row r="34" spans="1:26" s="596" customFormat="1" ht="25.5">
      <c r="A34" s="595"/>
      <c r="B34" s="794">
        <v>13023</v>
      </c>
      <c r="C34" s="794">
        <v>2330</v>
      </c>
      <c r="D34" s="643" t="s">
        <v>888</v>
      </c>
      <c r="E34" s="642" t="s">
        <v>889</v>
      </c>
      <c r="F34" s="642" t="s">
        <v>890</v>
      </c>
      <c r="G34" s="642" t="s">
        <v>868</v>
      </c>
      <c r="H34" s="642" t="s">
        <v>869</v>
      </c>
      <c r="I34" s="642" t="s">
        <v>889</v>
      </c>
      <c r="J34" s="793">
        <v>40364</v>
      </c>
      <c r="K34" s="793">
        <v>40364</v>
      </c>
      <c r="L34" s="642" t="s">
        <v>870</v>
      </c>
      <c r="M34" s="642">
        <v>8585</v>
      </c>
      <c r="N34" s="642">
        <v>38632.500000000007</v>
      </c>
      <c r="O34" s="642">
        <v>55189.285714285725</v>
      </c>
      <c r="P34" s="642">
        <v>110378.57142857145</v>
      </c>
      <c r="Q34" s="642">
        <v>0</v>
      </c>
      <c r="R34" s="642">
        <v>0</v>
      </c>
      <c r="S34" s="642">
        <v>0</v>
      </c>
      <c r="T34" s="642">
        <v>0</v>
      </c>
      <c r="U34" s="642">
        <v>0</v>
      </c>
      <c r="V34" s="642">
        <v>0</v>
      </c>
      <c r="W34" s="642">
        <v>0</v>
      </c>
      <c r="X34" s="642">
        <v>10</v>
      </c>
      <c r="Y34" s="642" t="s">
        <v>111</v>
      </c>
      <c r="Z34" s="644" t="s">
        <v>111</v>
      </c>
    </row>
    <row r="35" spans="1:26" s="596" customFormat="1" ht="25.5">
      <c r="A35" s="595"/>
      <c r="B35" s="794">
        <v>13023</v>
      </c>
      <c r="C35" s="794">
        <v>2330</v>
      </c>
      <c r="D35" s="643" t="s">
        <v>891</v>
      </c>
      <c r="E35" s="642" t="s">
        <v>892</v>
      </c>
      <c r="F35" s="642" t="s">
        <v>893</v>
      </c>
      <c r="G35" s="642" t="s">
        <v>868</v>
      </c>
      <c r="H35" s="642" t="s">
        <v>869</v>
      </c>
      <c r="I35" s="642" t="s">
        <v>894</v>
      </c>
      <c r="J35" s="793">
        <v>40987</v>
      </c>
      <c r="K35" s="793">
        <v>40987</v>
      </c>
      <c r="L35" s="642" t="s">
        <v>870</v>
      </c>
      <c r="M35" s="642">
        <v>6614</v>
      </c>
      <c r="N35" s="642">
        <v>29763</v>
      </c>
      <c r="O35" s="642">
        <v>42518.571428571428</v>
      </c>
      <c r="P35" s="642">
        <v>0</v>
      </c>
      <c r="Q35" s="642">
        <v>85037.14285714287</v>
      </c>
      <c r="R35" s="642">
        <v>0</v>
      </c>
      <c r="S35" s="642">
        <v>0</v>
      </c>
      <c r="T35" s="642">
        <v>0</v>
      </c>
      <c r="U35" s="642">
        <v>0</v>
      </c>
      <c r="V35" s="642">
        <v>0</v>
      </c>
      <c r="W35" s="642">
        <v>0</v>
      </c>
      <c r="X35" s="642">
        <v>10</v>
      </c>
      <c r="Y35" s="642" t="s">
        <v>111</v>
      </c>
      <c r="Z35" s="644" t="s">
        <v>111</v>
      </c>
    </row>
    <row r="36" spans="1:26" s="596" customFormat="1" ht="25.5">
      <c r="A36" s="595"/>
      <c r="B36" s="794">
        <v>13023</v>
      </c>
      <c r="C36" s="794">
        <v>2330</v>
      </c>
      <c r="D36" s="643" t="s">
        <v>895</v>
      </c>
      <c r="E36" s="642" t="s">
        <v>896</v>
      </c>
      <c r="F36" s="642" t="s">
        <v>897</v>
      </c>
      <c r="G36" s="642" t="s">
        <v>868</v>
      </c>
      <c r="H36" s="642" t="s">
        <v>869</v>
      </c>
      <c r="I36" s="642" t="s">
        <v>896</v>
      </c>
      <c r="J36" s="793">
        <v>41333</v>
      </c>
      <c r="K36" s="793">
        <v>41333</v>
      </c>
      <c r="L36" s="642" t="s">
        <v>870</v>
      </c>
      <c r="M36" s="642">
        <v>3349</v>
      </c>
      <c r="N36" s="642">
        <v>15070.5</v>
      </c>
      <c r="O36" s="642">
        <v>21529.285714285714</v>
      </c>
      <c r="P36" s="642">
        <v>43058.571428571435</v>
      </c>
      <c r="Q36" s="642">
        <v>0</v>
      </c>
      <c r="R36" s="642">
        <v>0</v>
      </c>
      <c r="S36" s="642">
        <v>0</v>
      </c>
      <c r="T36" s="642">
        <v>0</v>
      </c>
      <c r="U36" s="642">
        <v>0</v>
      </c>
      <c r="V36" s="642">
        <v>0</v>
      </c>
      <c r="W36" s="642">
        <v>0</v>
      </c>
      <c r="X36" s="642">
        <v>10</v>
      </c>
      <c r="Y36" s="642" t="s">
        <v>111</v>
      </c>
      <c r="Z36" s="644" t="s">
        <v>111</v>
      </c>
    </row>
    <row r="37" spans="1:26" s="596" customFormat="1" ht="25.5">
      <c r="A37" s="595"/>
      <c r="B37" s="794">
        <v>13023</v>
      </c>
      <c r="C37" s="794">
        <v>2330</v>
      </c>
      <c r="D37" s="643" t="s">
        <v>898</v>
      </c>
      <c r="E37" s="642" t="s">
        <v>899</v>
      </c>
      <c r="F37" s="642" t="s">
        <v>900</v>
      </c>
      <c r="G37" s="642" t="s">
        <v>868</v>
      </c>
      <c r="H37" s="642" t="s">
        <v>869</v>
      </c>
      <c r="I37" s="642" t="s">
        <v>899</v>
      </c>
      <c r="J37" s="793">
        <v>41627</v>
      </c>
      <c r="K37" s="793">
        <v>41627</v>
      </c>
      <c r="L37" s="642" t="s">
        <v>870</v>
      </c>
      <c r="M37" s="642">
        <v>9.6999999999999993</v>
      </c>
      <c r="N37" s="642">
        <v>43.649999999999991</v>
      </c>
      <c r="O37" s="642">
        <v>62.357142857142847</v>
      </c>
      <c r="P37" s="642">
        <v>0</v>
      </c>
      <c r="Q37" s="642">
        <v>124.71428571428569</v>
      </c>
      <c r="R37" s="642">
        <v>0</v>
      </c>
      <c r="S37" s="642">
        <v>0</v>
      </c>
      <c r="T37" s="642">
        <v>0</v>
      </c>
      <c r="U37" s="642">
        <v>0</v>
      </c>
      <c r="V37" s="642">
        <v>0</v>
      </c>
      <c r="W37" s="642">
        <v>0</v>
      </c>
      <c r="X37" s="642">
        <v>10</v>
      </c>
      <c r="Y37" s="642" t="s">
        <v>111</v>
      </c>
      <c r="Z37" s="644" t="s">
        <v>111</v>
      </c>
    </row>
    <row r="38" spans="1:26" s="596" customFormat="1" ht="38.25">
      <c r="A38" s="595"/>
      <c r="B38" s="794">
        <v>13023</v>
      </c>
      <c r="C38" s="794">
        <v>2330</v>
      </c>
      <c r="D38" s="643"/>
      <c r="E38" s="642"/>
      <c r="F38" s="642" t="s">
        <v>901</v>
      </c>
      <c r="G38" s="642" t="s">
        <v>868</v>
      </c>
      <c r="H38" s="642" t="s">
        <v>869</v>
      </c>
      <c r="I38" s="642" t="s">
        <v>902</v>
      </c>
      <c r="J38" s="793">
        <v>42353</v>
      </c>
      <c r="K38" s="793">
        <v>42355</v>
      </c>
      <c r="L38" s="642" t="s">
        <v>870</v>
      </c>
      <c r="M38" s="642">
        <v>2678</v>
      </c>
      <c r="N38" s="642">
        <v>12051</v>
      </c>
      <c r="O38" s="642">
        <v>17215.714285714286</v>
      </c>
      <c r="P38" s="642">
        <v>34431.428571428572</v>
      </c>
      <c r="Q38" s="642">
        <v>0</v>
      </c>
      <c r="R38" s="642">
        <v>0</v>
      </c>
      <c r="S38" s="642">
        <v>0</v>
      </c>
      <c r="T38" s="642">
        <v>0</v>
      </c>
      <c r="U38" s="642">
        <v>0</v>
      </c>
      <c r="V38" s="642">
        <v>0</v>
      </c>
      <c r="W38" s="642">
        <v>0</v>
      </c>
      <c r="X38" s="642">
        <v>10</v>
      </c>
      <c r="Y38" s="642" t="s">
        <v>111</v>
      </c>
      <c r="Z38" s="644" t="s">
        <v>111</v>
      </c>
    </row>
    <row r="39" spans="1:26" s="596" customFormat="1" ht="25.5">
      <c r="A39" s="595"/>
      <c r="B39" s="794">
        <v>13023</v>
      </c>
      <c r="C39" s="794">
        <v>2330</v>
      </c>
      <c r="D39" s="643" t="s">
        <v>903</v>
      </c>
      <c r="E39" s="642"/>
      <c r="F39" s="642" t="s">
        <v>904</v>
      </c>
      <c r="G39" s="642" t="s">
        <v>868</v>
      </c>
      <c r="H39" s="642" t="s">
        <v>869</v>
      </c>
      <c r="I39" s="642" t="s">
        <v>905</v>
      </c>
      <c r="J39" s="793">
        <v>42348</v>
      </c>
      <c r="K39" s="793">
        <v>42352</v>
      </c>
      <c r="L39" s="642" t="s">
        <v>878</v>
      </c>
      <c r="M39" s="642">
        <v>2000</v>
      </c>
      <c r="N39" s="642">
        <v>9000</v>
      </c>
      <c r="O39" s="642">
        <v>12857.142857142857</v>
      </c>
      <c r="P39" s="642">
        <v>25714.285714285717</v>
      </c>
      <c r="Q39" s="642">
        <v>0</v>
      </c>
      <c r="R39" s="642">
        <v>0</v>
      </c>
      <c r="S39" s="642">
        <v>0</v>
      </c>
      <c r="T39" s="642">
        <v>0</v>
      </c>
      <c r="U39" s="642">
        <v>0</v>
      </c>
      <c r="V39" s="642">
        <v>0</v>
      </c>
      <c r="W39" s="642">
        <v>0</v>
      </c>
      <c r="X39" s="642">
        <v>10</v>
      </c>
      <c r="Y39" s="642" t="s">
        <v>111</v>
      </c>
      <c r="Z39" s="644" t="s">
        <v>111</v>
      </c>
    </row>
    <row r="40" spans="1:26" s="596" customFormat="1" ht="25.5">
      <c r="A40" s="595"/>
      <c r="B40" s="794">
        <v>13023</v>
      </c>
      <c r="C40" s="794">
        <v>2330</v>
      </c>
      <c r="D40" s="643" t="s">
        <v>906</v>
      </c>
      <c r="E40" s="642"/>
      <c r="F40" s="642" t="s">
        <v>907</v>
      </c>
      <c r="G40" s="642" t="s">
        <v>908</v>
      </c>
      <c r="H40" s="642" t="s">
        <v>869</v>
      </c>
      <c r="I40" s="642" t="s">
        <v>909</v>
      </c>
      <c r="J40" s="793">
        <v>42683</v>
      </c>
      <c r="K40" s="793">
        <v>42683</v>
      </c>
      <c r="L40" s="642" t="s">
        <v>878</v>
      </c>
      <c r="M40" s="642">
        <v>2000</v>
      </c>
      <c r="N40" s="642">
        <v>9000</v>
      </c>
      <c r="O40" s="642">
        <v>12857.142857142857</v>
      </c>
      <c r="P40" s="642">
        <v>25714.285714285717</v>
      </c>
      <c r="Q40" s="642">
        <v>0</v>
      </c>
      <c r="R40" s="642">
        <v>0</v>
      </c>
      <c r="S40" s="642">
        <v>0</v>
      </c>
      <c r="T40" s="642">
        <v>0</v>
      </c>
      <c r="U40" s="642">
        <v>0</v>
      </c>
      <c r="V40" s="642">
        <v>0</v>
      </c>
      <c r="W40" s="642">
        <v>0</v>
      </c>
      <c r="X40" s="642">
        <v>10</v>
      </c>
      <c r="Y40" s="642" t="s">
        <v>111</v>
      </c>
      <c r="Z40" s="644" t="s">
        <v>111</v>
      </c>
    </row>
    <row r="41" spans="1:26" s="596" customFormat="1" ht="25.5">
      <c r="A41" s="595"/>
      <c r="B41" s="794">
        <v>13023</v>
      </c>
      <c r="C41" s="794">
        <v>2330</v>
      </c>
      <c r="D41" s="643" t="s">
        <v>910</v>
      </c>
      <c r="E41" s="642"/>
      <c r="F41" s="642" t="s">
        <v>911</v>
      </c>
      <c r="G41" s="642" t="s">
        <v>908</v>
      </c>
      <c r="H41" s="642" t="s">
        <v>869</v>
      </c>
      <c r="I41" s="642" t="s">
        <v>912</v>
      </c>
      <c r="J41" s="793">
        <v>43080</v>
      </c>
      <c r="K41" s="793">
        <v>43080</v>
      </c>
      <c r="L41" s="642" t="s">
        <v>878</v>
      </c>
      <c r="M41" s="642">
        <v>4497</v>
      </c>
      <c r="N41" s="642">
        <v>20236.5</v>
      </c>
      <c r="O41" s="642">
        <v>28909.285714285714</v>
      </c>
      <c r="P41" s="642">
        <v>57818.571428571435</v>
      </c>
      <c r="Q41" s="642">
        <v>0</v>
      </c>
      <c r="R41" s="642">
        <v>0</v>
      </c>
      <c r="S41" s="642">
        <v>0</v>
      </c>
      <c r="T41" s="642">
        <v>0</v>
      </c>
      <c r="U41" s="642">
        <v>0</v>
      </c>
      <c r="V41" s="642">
        <v>0</v>
      </c>
      <c r="W41" s="642">
        <v>0</v>
      </c>
      <c r="X41" s="642">
        <v>10</v>
      </c>
      <c r="Y41" s="642" t="s">
        <v>111</v>
      </c>
      <c r="Z41" s="644" t="s">
        <v>111</v>
      </c>
    </row>
    <row r="42" spans="1:26" s="596" customFormat="1" ht="25.5">
      <c r="A42" s="595"/>
      <c r="B42" s="794">
        <v>13023</v>
      </c>
      <c r="C42" s="794">
        <v>2330</v>
      </c>
      <c r="D42" s="643" t="s">
        <v>913</v>
      </c>
      <c r="E42" s="642" t="s">
        <v>914</v>
      </c>
      <c r="F42" s="642" t="s">
        <v>915</v>
      </c>
      <c r="G42" s="642" t="s">
        <v>908</v>
      </c>
      <c r="H42" s="642" t="s">
        <v>869</v>
      </c>
      <c r="I42" s="642" t="s">
        <v>916</v>
      </c>
      <c r="J42" s="793">
        <v>38687</v>
      </c>
      <c r="K42" s="793">
        <v>42977</v>
      </c>
      <c r="L42" s="642" t="s">
        <v>878</v>
      </c>
      <c r="M42" s="642">
        <v>3207</v>
      </c>
      <c r="N42" s="642">
        <v>14431.5</v>
      </c>
      <c r="O42" s="642">
        <v>20616.428571428572</v>
      </c>
      <c r="P42" s="642">
        <v>41232.857142857145</v>
      </c>
      <c r="Q42" s="642">
        <v>0</v>
      </c>
      <c r="R42" s="642">
        <v>0</v>
      </c>
      <c r="S42" s="642">
        <v>0</v>
      </c>
      <c r="T42" s="642">
        <v>0</v>
      </c>
      <c r="U42" s="642">
        <v>0</v>
      </c>
      <c r="V42" s="642">
        <v>0</v>
      </c>
      <c r="W42" s="642">
        <v>0</v>
      </c>
      <c r="X42" s="642">
        <v>10</v>
      </c>
      <c r="Y42" s="642" t="s">
        <v>111</v>
      </c>
      <c r="Z42" s="644" t="s">
        <v>111</v>
      </c>
    </row>
    <row r="43" spans="1:26" s="596" customFormat="1" ht="25.5">
      <c r="A43" s="595"/>
      <c r="B43" s="794">
        <v>13023</v>
      </c>
      <c r="C43" s="794">
        <v>2330</v>
      </c>
      <c r="D43" s="643" t="s">
        <v>917</v>
      </c>
      <c r="E43" s="642" t="s">
        <v>914</v>
      </c>
      <c r="F43" s="642" t="s">
        <v>918</v>
      </c>
      <c r="G43" s="642" t="s">
        <v>908</v>
      </c>
      <c r="H43" s="642" t="s">
        <v>869</v>
      </c>
      <c r="I43" s="642" t="s">
        <v>916</v>
      </c>
      <c r="J43" s="793">
        <v>42977</v>
      </c>
      <c r="K43" s="793">
        <v>42977</v>
      </c>
      <c r="L43" s="642" t="s">
        <v>878</v>
      </c>
      <c r="M43" s="642">
        <v>2004</v>
      </c>
      <c r="N43" s="642">
        <v>9018</v>
      </c>
      <c r="O43" s="642">
        <v>12882.857142857143</v>
      </c>
      <c r="P43" s="642">
        <v>25765.714285714286</v>
      </c>
      <c r="Q43" s="642">
        <v>0</v>
      </c>
      <c r="R43" s="642">
        <v>0</v>
      </c>
      <c r="S43" s="642">
        <v>0</v>
      </c>
      <c r="T43" s="642">
        <v>0</v>
      </c>
      <c r="U43" s="642">
        <v>0</v>
      </c>
      <c r="V43" s="642">
        <v>0</v>
      </c>
      <c r="W43" s="642">
        <v>0</v>
      </c>
      <c r="X43" s="642">
        <v>10</v>
      </c>
      <c r="Y43" s="642" t="s">
        <v>111</v>
      </c>
      <c r="Z43" s="644" t="s">
        <v>111</v>
      </c>
    </row>
    <row r="44" spans="1:26" s="576" customFormat="1">
      <c r="A44" s="598" t="s">
        <v>279</v>
      </c>
      <c r="B44" s="599"/>
      <c r="C44" s="599"/>
      <c r="D44" s="599"/>
      <c r="E44" s="599"/>
      <c r="F44" s="599"/>
      <c r="G44" s="599"/>
      <c r="H44" s="599"/>
      <c r="I44" s="599"/>
      <c r="J44" s="599"/>
      <c r="K44" s="599"/>
      <c r="L44" s="600"/>
      <c r="M44" s="600">
        <f>SUM(M28:M43)</f>
        <v>62357.7</v>
      </c>
      <c r="N44" s="600">
        <f>SUM(N28:N43)</f>
        <v>280609.65000000002</v>
      </c>
      <c r="O44" s="600">
        <f>SUM(O28:O43)</f>
        <v>400870.92857142864</v>
      </c>
      <c r="P44" s="600">
        <f>SUM(P28:P43)</f>
        <v>716580.00000000012</v>
      </c>
      <c r="Q44" s="600">
        <f>SUM(Q28:Q43)</f>
        <v>85161.857142857159</v>
      </c>
      <c r="R44" s="600">
        <f>SUM(R28:R43)</f>
        <v>0</v>
      </c>
      <c r="S44" s="600">
        <f>SUM(S28:S43)</f>
        <v>0</v>
      </c>
      <c r="T44" s="600">
        <f>SUM(T28:T43)</f>
        <v>0</v>
      </c>
      <c r="U44" s="600">
        <f>SUM(U28:U43)</f>
        <v>0</v>
      </c>
      <c r="V44" s="600">
        <f>SUM(V28:V43)</f>
        <v>0</v>
      </c>
      <c r="W44" s="600">
        <f>SUM(W28:W43)</f>
        <v>0</v>
      </c>
      <c r="X44" s="601"/>
      <c r="Y44" s="601"/>
      <c r="Z44" s="602"/>
    </row>
    <row r="45" spans="1:26" s="576" customFormat="1">
      <c r="A45" s="598" t="s">
        <v>286</v>
      </c>
      <c r="B45" s="599"/>
      <c r="C45" s="599"/>
      <c r="D45" s="599"/>
      <c r="E45" s="599"/>
      <c r="F45" s="599"/>
      <c r="G45" s="599"/>
      <c r="H45" s="599"/>
      <c r="I45" s="599"/>
      <c r="J45" s="599"/>
      <c r="K45" s="599"/>
      <c r="L45" s="600"/>
      <c r="M45" s="600">
        <f>SUMIF($Z$28:$Z$43,"industrie",M28:M43)</f>
        <v>0</v>
      </c>
      <c r="N45" s="600">
        <f>SUMIF($Z$28:$Z$43,"industrie",N28:N43)</f>
        <v>0</v>
      </c>
      <c r="O45" s="600">
        <f>SUMIF($Z$28:$Z$43,"industrie",O28:O43)</f>
        <v>0</v>
      </c>
      <c r="P45" s="600">
        <f>SUMIF($Z$28:$Z$43,"industrie",P28:P43)</f>
        <v>0</v>
      </c>
      <c r="Q45" s="600">
        <f>SUMIF($Z$28:$Z$43,"industrie",Q28:Q43)</f>
        <v>0</v>
      </c>
      <c r="R45" s="600">
        <f>SUMIF($Z$28:$Z$43,"industrie",R28:R43)</f>
        <v>0</v>
      </c>
      <c r="S45" s="600">
        <f>SUMIF($Z$28:$Z$43,"industrie",S28:S43)</f>
        <v>0</v>
      </c>
      <c r="T45" s="600">
        <f>SUMIF($Z$28:$Z$43,"industrie",T28:T43)</f>
        <v>0</v>
      </c>
      <c r="U45" s="600">
        <f>SUMIF($Z$28:$Z$43,"industrie",U28:U43)</f>
        <v>0</v>
      </c>
      <c r="V45" s="600">
        <f>SUMIF($Z$28:$Z$43,"industrie",V28:V43)</f>
        <v>0</v>
      </c>
      <c r="W45" s="600">
        <f>SUMIF($Z$28:$Z$43,"industrie",W28:W43)</f>
        <v>0</v>
      </c>
      <c r="X45" s="601"/>
      <c r="Y45" s="601"/>
      <c r="Z45" s="602"/>
    </row>
    <row r="46" spans="1:26" s="576" customFormat="1">
      <c r="A46" s="598" t="s">
        <v>287</v>
      </c>
      <c r="B46" s="599"/>
      <c r="C46" s="599"/>
      <c r="D46" s="599"/>
      <c r="E46" s="599"/>
      <c r="F46" s="599"/>
      <c r="G46" s="599"/>
      <c r="H46" s="599"/>
      <c r="I46" s="599"/>
      <c r="J46" s="599"/>
      <c r="K46" s="599"/>
      <c r="L46" s="600"/>
      <c r="M46" s="600">
        <f ca="1">SUMIF($Z$28:AC43,"tertiair",M28:M43)</f>
        <v>0</v>
      </c>
      <c r="N46" s="600">
        <f ca="1">SUMIF($Z$28:AD43,"tertiair",N28:N43)</f>
        <v>0</v>
      </c>
      <c r="O46" s="600">
        <f ca="1">SUMIF($Z$28:AE43,"tertiair",O28:O43)</f>
        <v>0</v>
      </c>
      <c r="P46" s="600">
        <f ca="1">SUMIF($Z$28:AF43,"tertiair",P28:P43)</f>
        <v>0</v>
      </c>
      <c r="Q46" s="600">
        <f ca="1">SUMIF($Z$28:AG43,"tertiair",Q28:Q43)</f>
        <v>0</v>
      </c>
      <c r="R46" s="600">
        <f ca="1">SUMIF($Z$28:AH43,"tertiair",R28:R43)</f>
        <v>0</v>
      </c>
      <c r="S46" s="600">
        <f ca="1">SUMIF($Z$28:AI43,"tertiair",S28:S43)</f>
        <v>0</v>
      </c>
      <c r="T46" s="600">
        <f ca="1">SUMIF($Z$28:AJ43,"tertiair",T28:T43)</f>
        <v>0</v>
      </c>
      <c r="U46" s="600">
        <f ca="1">SUMIF($Z$28:AK43,"tertiair",U28:U43)</f>
        <v>0</v>
      </c>
      <c r="V46" s="600">
        <f ca="1">SUMIF($Z$28:AL43,"tertiair",V28:V43)</f>
        <v>0</v>
      </c>
      <c r="W46" s="600">
        <f ca="1">SUMIF($Z$28:AM43,"tertiair",W28:W43)</f>
        <v>0</v>
      </c>
      <c r="X46" s="601"/>
      <c r="Y46" s="601"/>
      <c r="Z46" s="602"/>
    </row>
    <row r="47" spans="1:26" s="576" customFormat="1" ht="15.75" thickBot="1">
      <c r="A47" s="603" t="s">
        <v>288</v>
      </c>
      <c r="B47" s="604"/>
      <c r="C47" s="604"/>
      <c r="D47" s="604"/>
      <c r="E47" s="604"/>
      <c r="F47" s="604"/>
      <c r="G47" s="604"/>
      <c r="H47" s="604"/>
      <c r="I47" s="604"/>
      <c r="J47" s="604"/>
      <c r="K47" s="604"/>
      <c r="L47" s="605"/>
      <c r="M47" s="605">
        <f>SUMIF($Z$28:$Z$43,"landbouw",M28:M43)</f>
        <v>62357.7</v>
      </c>
      <c r="N47" s="605">
        <f>SUMIF($Z$28:$Z$43,"landbouw",N28:N43)</f>
        <v>280609.65000000002</v>
      </c>
      <c r="O47" s="605">
        <f>SUMIF($Z$28:$Z$43,"landbouw",O28:O43)</f>
        <v>400870.92857142864</v>
      </c>
      <c r="P47" s="605">
        <f>SUMIF($Z$28:$Z$43,"landbouw",P28:P43)</f>
        <v>716580.00000000012</v>
      </c>
      <c r="Q47" s="605">
        <f>SUMIF($Z$28:$Z$43,"landbouw",Q28:Q43)</f>
        <v>85161.857142857159</v>
      </c>
      <c r="R47" s="605">
        <f>SUMIF($Z$28:$Z$43,"landbouw",R28:R43)</f>
        <v>0</v>
      </c>
      <c r="S47" s="605">
        <f>SUMIF($Z$28:$Z$43,"landbouw",S28:S43)</f>
        <v>0</v>
      </c>
      <c r="T47" s="605">
        <f>SUMIF($Z$28:$Z$43,"landbouw",T28:T43)</f>
        <v>0</v>
      </c>
      <c r="U47" s="605">
        <f>SUMIF($Z$28:$Z$43,"landbouw",U28:U43)</f>
        <v>0</v>
      </c>
      <c r="V47" s="605">
        <f>SUMIF($Z$28:$Z$43,"landbouw",V28:V43)</f>
        <v>0</v>
      </c>
      <c r="W47" s="605">
        <f>SUMIF($Z$28:$Z$43,"landbouw",W28:W43)</f>
        <v>0</v>
      </c>
      <c r="X47" s="606"/>
      <c r="Y47" s="606"/>
      <c r="Z47" s="607"/>
    </row>
    <row r="48" spans="1:26" s="537" customFormat="1" ht="15.75" thickBot="1">
      <c r="A48" s="608"/>
      <c r="B48" s="609"/>
      <c r="C48" s="609"/>
      <c r="D48" s="609"/>
      <c r="E48" s="609"/>
      <c r="F48" s="609"/>
      <c r="G48" s="609"/>
      <c r="H48" s="609"/>
      <c r="I48" s="609"/>
      <c r="J48" s="609"/>
      <c r="K48" s="609"/>
      <c r="L48" s="592"/>
      <c r="M48" s="592"/>
      <c r="N48" s="592"/>
      <c r="O48" s="593"/>
      <c r="P48" s="593"/>
    </row>
    <row r="49" spans="1:27" s="537" customFormat="1" ht="45">
      <c r="A49" s="610" t="s">
        <v>280</v>
      </c>
      <c r="B49" s="639" t="s">
        <v>89</v>
      </c>
      <c r="C49" s="639" t="s">
        <v>90</v>
      </c>
      <c r="D49" s="639" t="s">
        <v>91</v>
      </c>
      <c r="E49" s="639" t="s">
        <v>92</v>
      </c>
      <c r="F49" s="639" t="s">
        <v>93</v>
      </c>
      <c r="G49" s="639" t="s">
        <v>94</v>
      </c>
      <c r="H49" s="639" t="s">
        <v>95</v>
      </c>
      <c r="I49" s="639" t="s">
        <v>96</v>
      </c>
      <c r="J49" s="639" t="s">
        <v>97</v>
      </c>
      <c r="K49" s="639" t="s">
        <v>98</v>
      </c>
      <c r="L49" s="639" t="s">
        <v>99</v>
      </c>
      <c r="M49" s="640" t="s">
        <v>297</v>
      </c>
      <c r="N49" s="640" t="s">
        <v>100</v>
      </c>
      <c r="O49" s="640" t="s">
        <v>101</v>
      </c>
      <c r="P49" s="640" t="s">
        <v>525</v>
      </c>
      <c r="Q49" s="640" t="s">
        <v>102</v>
      </c>
      <c r="R49" s="640" t="s">
        <v>103</v>
      </c>
      <c r="S49" s="640" t="s">
        <v>104</v>
      </c>
      <c r="T49" s="640" t="s">
        <v>105</v>
      </c>
      <c r="U49" s="640" t="s">
        <v>106</v>
      </c>
      <c r="V49" s="640" t="s">
        <v>107</v>
      </c>
      <c r="W49" s="639" t="s">
        <v>108</v>
      </c>
      <c r="X49" s="639" t="s">
        <v>298</v>
      </c>
      <c r="Y49" s="639" t="s">
        <v>109</v>
      </c>
      <c r="Z49" s="641" t="s">
        <v>299</v>
      </c>
    </row>
    <row r="50" spans="1:27" s="611" customFormat="1" ht="63.75">
      <c r="A50" s="597"/>
      <c r="B50" s="794">
        <v>13023</v>
      </c>
      <c r="C50" s="794">
        <v>2330</v>
      </c>
      <c r="D50" s="645" t="s">
        <v>919</v>
      </c>
      <c r="E50" s="645" t="s">
        <v>920</v>
      </c>
      <c r="F50" s="645" t="s">
        <v>921</v>
      </c>
      <c r="G50" s="645" t="s">
        <v>922</v>
      </c>
      <c r="H50" s="645" t="s">
        <v>923</v>
      </c>
      <c r="I50" s="645" t="s">
        <v>924</v>
      </c>
      <c r="J50" s="793">
        <v>37656</v>
      </c>
      <c r="K50" s="793">
        <v>37653</v>
      </c>
      <c r="L50" s="645" t="s">
        <v>870</v>
      </c>
      <c r="M50" s="645">
        <v>366</v>
      </c>
      <c r="N50" s="645">
        <v>1647</v>
      </c>
      <c r="O50" s="645">
        <v>0</v>
      </c>
      <c r="P50" s="645">
        <v>0</v>
      </c>
      <c r="Q50" s="645">
        <v>0</v>
      </c>
      <c r="R50" s="645">
        <v>4705.7142857142862</v>
      </c>
      <c r="S50" s="645">
        <v>0</v>
      </c>
      <c r="T50" s="645">
        <v>0</v>
      </c>
      <c r="U50" s="645">
        <v>0</v>
      </c>
      <c r="V50" s="645">
        <v>0</v>
      </c>
      <c r="W50" s="645">
        <v>0</v>
      </c>
      <c r="X50" s="645">
        <v>1600</v>
      </c>
      <c r="Y50" s="645" t="s">
        <v>49</v>
      </c>
      <c r="Z50" s="646" t="s">
        <v>155</v>
      </c>
    </row>
    <row r="51" spans="1:27" s="576" customFormat="1">
      <c r="A51" s="598" t="s">
        <v>279</v>
      </c>
      <c r="B51" s="599"/>
      <c r="C51" s="599"/>
      <c r="D51" s="599"/>
      <c r="E51" s="599"/>
      <c r="F51" s="599"/>
      <c r="G51" s="599"/>
      <c r="H51" s="599"/>
      <c r="I51" s="599"/>
      <c r="J51" s="599"/>
      <c r="K51" s="599"/>
      <c r="L51" s="600"/>
      <c r="M51" s="600">
        <f>SUM(M50:M50)</f>
        <v>366</v>
      </c>
      <c r="N51" s="600">
        <f>SUM(N50:N50)</f>
        <v>1647</v>
      </c>
      <c r="O51" s="600">
        <f>SUM(O50:O50)</f>
        <v>0</v>
      </c>
      <c r="P51" s="600">
        <f>SUM(P50:P50)</f>
        <v>0</v>
      </c>
      <c r="Q51" s="600">
        <f>SUM(Q50:Q50)</f>
        <v>0</v>
      </c>
      <c r="R51" s="600">
        <f>SUM(R50:R50)</f>
        <v>4705.7142857142862</v>
      </c>
      <c r="S51" s="600">
        <f>SUM(S50:S50)</f>
        <v>0</v>
      </c>
      <c r="T51" s="600">
        <f>SUM(T50:T50)</f>
        <v>0</v>
      </c>
      <c r="U51" s="600">
        <f>SUM(U50:U50)</f>
        <v>0</v>
      </c>
      <c r="V51" s="600">
        <f>SUM(V50:V50)</f>
        <v>0</v>
      </c>
      <c r="W51" s="600">
        <f>SUM(W50:W50)</f>
        <v>0</v>
      </c>
      <c r="X51" s="601"/>
      <c r="Y51" s="601"/>
      <c r="Z51" s="602"/>
    </row>
    <row r="52" spans="1:27" s="576" customFormat="1">
      <c r="A52" s="598" t="s">
        <v>286</v>
      </c>
      <c r="B52" s="599"/>
      <c r="C52" s="599"/>
      <c r="D52" s="599"/>
      <c r="E52" s="599"/>
      <c r="F52" s="599"/>
      <c r="G52" s="599"/>
      <c r="H52" s="599"/>
      <c r="I52" s="599"/>
      <c r="J52" s="599"/>
      <c r="K52" s="599"/>
      <c r="L52" s="600"/>
      <c r="M52" s="600">
        <f>SUMIF($Z$50:$Z$50,"industrie",M50:M50)</f>
        <v>0</v>
      </c>
      <c r="N52" s="600">
        <f>SUMIF($Z$50:$Z$50,"industrie",N50:N50)</f>
        <v>0</v>
      </c>
      <c r="O52" s="600">
        <f>SUMIF($Z$50:$Z$50,"industrie",O50:O50)</f>
        <v>0</v>
      </c>
      <c r="P52" s="600">
        <f>SUMIF($Z$50:$Z$50,"industrie",P50:P50)</f>
        <v>0</v>
      </c>
      <c r="Q52" s="600">
        <f>SUMIF($Z$50:$Z$50,"industrie",Q50:Q50)</f>
        <v>0</v>
      </c>
      <c r="R52" s="600">
        <f>SUMIF($Z$50:$Z$50,"industrie",R50:R50)</f>
        <v>0</v>
      </c>
      <c r="S52" s="600">
        <f>SUMIF($Z$50:$Z$50,"industrie",S50:S50)</f>
        <v>0</v>
      </c>
      <c r="T52" s="600">
        <f>SUMIF($Z$50:$Z$50,"industrie",T50:T50)</f>
        <v>0</v>
      </c>
      <c r="U52" s="600">
        <f>SUMIF($Z$50:$Z$50,"industrie",U50:U50)</f>
        <v>0</v>
      </c>
      <c r="V52" s="600">
        <f>SUMIF($Z$50:$Z$50,"industrie",V50:V50)</f>
        <v>0</v>
      </c>
      <c r="W52" s="600">
        <f>SUMIF($Z$50:$Z$50,"industrie",W50:W50)</f>
        <v>0</v>
      </c>
      <c r="X52" s="601"/>
      <c r="Y52" s="601"/>
      <c r="Z52" s="602"/>
    </row>
    <row r="53" spans="1:27" s="576" customFormat="1">
      <c r="A53" s="598" t="s">
        <v>287</v>
      </c>
      <c r="B53" s="599"/>
      <c r="C53" s="599"/>
      <c r="D53" s="599"/>
      <c r="E53" s="599"/>
      <c r="F53" s="599"/>
      <c r="G53" s="599"/>
      <c r="H53" s="599"/>
      <c r="I53" s="599"/>
      <c r="J53" s="599"/>
      <c r="K53" s="599"/>
      <c r="L53" s="600"/>
      <c r="M53" s="600">
        <f>SUMIF($Z$50:$Z$51,"tertiair",M50:M51)</f>
        <v>366</v>
      </c>
      <c r="N53" s="600">
        <f>SUMIF($Z$50:$Z$51,"tertiair",N50:N51)</f>
        <v>1647</v>
      </c>
      <c r="O53" s="600">
        <f>SUMIF($Z$50:$Z$51,"tertiair",O50:O51)</f>
        <v>0</v>
      </c>
      <c r="P53" s="600">
        <f>SUMIF($Z$50:$Z$51,"tertiair",P50:P51)</f>
        <v>0</v>
      </c>
      <c r="Q53" s="600">
        <f>SUMIF($Z$50:$Z$51,"tertiair",Q50:Q51)</f>
        <v>0</v>
      </c>
      <c r="R53" s="600">
        <f>SUMIF($Z$50:$Z$51,"tertiair",R50:R51)</f>
        <v>4705.7142857142862</v>
      </c>
      <c r="S53" s="600">
        <f>SUMIF($Z$50:$Z$51,"tertiair",S50:S51)</f>
        <v>0</v>
      </c>
      <c r="T53" s="600">
        <f>SUMIF($Z$50:$Z$51,"tertiair",T50:T51)</f>
        <v>0</v>
      </c>
      <c r="U53" s="600">
        <f>SUMIF($Z$50:$Z$51,"tertiair",U50:U51)</f>
        <v>0</v>
      </c>
      <c r="V53" s="600">
        <f>SUMIF($Z$50:$Z$51,"tertiair",V50:V51)</f>
        <v>0</v>
      </c>
      <c r="W53" s="600">
        <f>SUMIF($Z$50:$Z$51,"tertiair",W50:W51)</f>
        <v>0</v>
      </c>
      <c r="X53" s="601"/>
      <c r="Y53" s="601"/>
      <c r="Z53" s="602"/>
    </row>
    <row r="54" spans="1:27" s="576" customFormat="1" ht="15.75" thickBot="1">
      <c r="A54" s="603" t="s">
        <v>288</v>
      </c>
      <c r="B54" s="604"/>
      <c r="C54" s="604"/>
      <c r="D54" s="604"/>
      <c r="E54" s="604"/>
      <c r="F54" s="604"/>
      <c r="G54" s="604"/>
      <c r="H54" s="604"/>
      <c r="I54" s="604"/>
      <c r="J54" s="604"/>
      <c r="K54" s="604"/>
      <c r="L54" s="605"/>
      <c r="M54" s="605">
        <f>SUMIF($Z$50:$Z$52,"landbouw",M50:M52)</f>
        <v>0</v>
      </c>
      <c r="N54" s="605">
        <f>SUMIF($Z$50:$Z$52,"landbouw",N50:N52)</f>
        <v>0</v>
      </c>
      <c r="O54" s="605">
        <f>SUMIF($Z$50:$Z$52,"landbouw",O50:O52)</f>
        <v>0</v>
      </c>
      <c r="P54" s="605">
        <f>SUMIF($Z$50:$Z$52,"landbouw",P50:P52)</f>
        <v>0</v>
      </c>
      <c r="Q54" s="605">
        <f>SUMIF($Z$50:$Z$52,"landbouw",Q50:Q52)</f>
        <v>0</v>
      </c>
      <c r="R54" s="605">
        <f>SUMIF($Z$50:$Z$52,"landbouw",R50:R52)</f>
        <v>0</v>
      </c>
      <c r="S54" s="605">
        <f>SUMIF($Z$50:$Z$52,"landbouw",S50:S52)</f>
        <v>0</v>
      </c>
      <c r="T54" s="605">
        <f>SUMIF($Z$50:$Z$52,"landbouw",T50:T52)</f>
        <v>0</v>
      </c>
      <c r="U54" s="605">
        <f>SUMIF($Z$50:$Z$52,"landbouw",U50:U52)</f>
        <v>0</v>
      </c>
      <c r="V54" s="605">
        <f>SUMIF($Z$50:$Z$52,"landbouw",V50:V52)</f>
        <v>0</v>
      </c>
      <c r="W54" s="605">
        <f>SUMIF($Z$50:$Z$52,"landbouw",W50:W52)</f>
        <v>0</v>
      </c>
      <c r="X54" s="606"/>
      <c r="Y54" s="606"/>
      <c r="Z54" s="607"/>
    </row>
    <row r="55" spans="1:27" s="612" customFormat="1">
      <c r="A55" s="608"/>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row>
    <row r="56" spans="1:27" s="612" customFormat="1" ht="15.75" thickBot="1">
      <c r="A56" s="608"/>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592"/>
    </row>
    <row r="57" spans="1:27">
      <c r="A57" s="613" t="s">
        <v>281</v>
      </c>
      <c r="B57" s="614"/>
      <c r="C57" s="614"/>
      <c r="D57" s="614"/>
      <c r="E57" s="614"/>
      <c r="F57" s="614"/>
      <c r="G57" s="614"/>
      <c r="H57" s="614"/>
      <c r="I57" s="615"/>
      <c r="J57" s="616"/>
      <c r="K57" s="616"/>
      <c r="L57" s="617"/>
      <c r="M57" s="617"/>
      <c r="N57" s="617"/>
      <c r="O57" s="617"/>
      <c r="P57" s="617"/>
    </row>
    <row r="58" spans="1:27">
      <c r="A58" s="619"/>
      <c r="B58" s="609"/>
      <c r="C58" s="609"/>
      <c r="D58" s="609"/>
      <c r="E58" s="609"/>
      <c r="F58" s="609"/>
      <c r="G58" s="609"/>
      <c r="H58" s="609"/>
      <c r="I58" s="620"/>
      <c r="J58" s="609"/>
      <c r="K58" s="609"/>
      <c r="L58" s="617"/>
      <c r="M58" s="617"/>
      <c r="N58" s="617"/>
      <c r="O58" s="617"/>
      <c r="P58" s="617"/>
    </row>
    <row r="59" spans="1:27">
      <c r="A59" s="621"/>
      <c r="B59" s="622" t="s">
        <v>282</v>
      </c>
      <c r="C59" s="622" t="s">
        <v>283</v>
      </c>
      <c r="D59" s="622"/>
      <c r="E59" s="622"/>
      <c r="F59" s="622"/>
      <c r="G59" s="622"/>
      <c r="H59" s="622"/>
      <c r="I59" s="623"/>
      <c r="J59" s="622"/>
      <c r="K59" s="622"/>
      <c r="L59" s="622"/>
      <c r="M59" s="622"/>
      <c r="N59" s="622"/>
      <c r="O59" s="622"/>
      <c r="P59" s="617"/>
    </row>
    <row r="60" spans="1:27">
      <c r="A60" s="619" t="s">
        <v>279</v>
      </c>
      <c r="B60" s="624">
        <f>IF(ISERROR(O44/(O44+N44)),0,O44/(O44+N44))</f>
        <v>0.58823529411764708</v>
      </c>
      <c r="C60" s="625">
        <f>IF(ISERROR(N44/(O44+N44)),0,N44/(N44+O44))</f>
        <v>0.41176470588235292</v>
      </c>
      <c r="D60" s="592"/>
      <c r="E60" s="592"/>
      <c r="F60" s="592"/>
      <c r="G60" s="592"/>
      <c r="H60" s="592"/>
      <c r="I60" s="626"/>
      <c r="J60" s="592"/>
      <c r="K60" s="592"/>
      <c r="L60" s="627"/>
      <c r="M60" s="627"/>
      <c r="N60" s="627"/>
      <c r="O60" s="627"/>
      <c r="P60" s="617"/>
    </row>
    <row r="61" spans="1:27">
      <c r="A61" s="619"/>
      <c r="B61" s="628"/>
      <c r="C61" s="628"/>
      <c r="D61" s="628"/>
      <c r="E61" s="628"/>
      <c r="F61" s="628"/>
      <c r="G61" s="628"/>
      <c r="H61" s="628"/>
      <c r="I61" s="629"/>
      <c r="J61" s="628"/>
      <c r="K61" s="628"/>
      <c r="L61" s="630"/>
      <c r="M61" s="630"/>
      <c r="N61" s="630"/>
      <c r="O61" s="630"/>
      <c r="P61" s="617"/>
    </row>
    <row r="62" spans="1:27" ht="30">
      <c r="A62" s="631"/>
      <c r="B62" s="632" t="s">
        <v>525</v>
      </c>
      <c r="C62" s="632" t="s">
        <v>102</v>
      </c>
      <c r="D62" s="632" t="s">
        <v>103</v>
      </c>
      <c r="E62" s="632" t="s">
        <v>104</v>
      </c>
      <c r="F62" s="632" t="s">
        <v>105</v>
      </c>
      <c r="G62" s="632" t="s">
        <v>106</v>
      </c>
      <c r="H62" s="632" t="s">
        <v>107</v>
      </c>
      <c r="I62" s="633" t="s">
        <v>108</v>
      </c>
      <c r="J62" s="622"/>
      <c r="K62" s="622"/>
      <c r="L62" s="630"/>
      <c r="M62" s="630"/>
      <c r="N62" s="630"/>
      <c r="O62" s="617"/>
      <c r="P62" s="617"/>
    </row>
    <row r="63" spans="1:27">
      <c r="A63" s="621" t="s">
        <v>284</v>
      </c>
      <c r="B63" s="634">
        <f t="shared" ref="B63:I63" si="2">$C$60*P44</f>
        <v>295062.3529411765</v>
      </c>
      <c r="C63" s="634">
        <f t="shared" si="2"/>
        <v>35066.647058823532</v>
      </c>
      <c r="D63" s="634">
        <f t="shared" si="2"/>
        <v>0</v>
      </c>
      <c r="E63" s="634">
        <f t="shared" si="2"/>
        <v>0</v>
      </c>
      <c r="F63" s="634">
        <f t="shared" si="2"/>
        <v>0</v>
      </c>
      <c r="G63" s="634">
        <f t="shared" si="2"/>
        <v>0</v>
      </c>
      <c r="H63" s="634">
        <f t="shared" si="2"/>
        <v>0</v>
      </c>
      <c r="I63" s="635">
        <f t="shared" si="2"/>
        <v>0</v>
      </c>
      <c r="J63" s="592"/>
      <c r="K63" s="592"/>
      <c r="L63" s="630"/>
      <c r="M63" s="630"/>
      <c r="N63" s="630"/>
      <c r="O63" s="617"/>
      <c r="P63" s="617"/>
    </row>
    <row r="64" spans="1:27" ht="15.75" thickBot="1">
      <c r="A64" s="636" t="s">
        <v>285</v>
      </c>
      <c r="B64" s="637">
        <f t="shared" ref="B64:I64" si="3">$B$60*P44</f>
        <v>421517.64705882361</v>
      </c>
      <c r="C64" s="637">
        <f t="shared" si="3"/>
        <v>50095.210084033628</v>
      </c>
      <c r="D64" s="637">
        <f t="shared" si="3"/>
        <v>0</v>
      </c>
      <c r="E64" s="637">
        <f t="shared" si="3"/>
        <v>0</v>
      </c>
      <c r="F64" s="637">
        <f t="shared" si="3"/>
        <v>0</v>
      </c>
      <c r="G64" s="637">
        <f t="shared" si="3"/>
        <v>0</v>
      </c>
      <c r="H64" s="637">
        <f t="shared" si="3"/>
        <v>0</v>
      </c>
      <c r="I64" s="638">
        <f t="shared" si="3"/>
        <v>0</v>
      </c>
      <c r="J64" s="592"/>
      <c r="K64" s="592"/>
      <c r="L64" s="630"/>
      <c r="M64" s="630"/>
      <c r="N64" s="630"/>
      <c r="O64" s="617"/>
      <c r="P64" s="617"/>
    </row>
    <row r="65" spans="10:14">
      <c r="J65" s="572"/>
      <c r="K65" s="572"/>
      <c r="L65" s="572"/>
      <c r="M65" s="572"/>
      <c r="N65" s="572"/>
    </row>
    <row r="66" spans="10:14">
      <c r="J66" s="572"/>
      <c r="K66" s="572"/>
      <c r="L66" s="572"/>
      <c r="M66" s="572"/>
      <c r="N66"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14205.561817330272</v>
      </c>
      <c r="C4" s="455">
        <f>huishoudens!C8</f>
        <v>0</v>
      </c>
      <c r="D4" s="455">
        <f>huishoudens!D8</f>
        <v>37423.230113227866</v>
      </c>
      <c r="E4" s="455">
        <f>huishoudens!E8</f>
        <v>8362.8513931779489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20899.887963211939</v>
      </c>
      <c r="O4" s="455">
        <f>huishoudens!O8</f>
        <v>154.7487411121885</v>
      </c>
      <c r="P4" s="456">
        <f>huishoudens!P8</f>
        <v>231.74710476907052</v>
      </c>
      <c r="Q4" s="457">
        <f>SUM(B4:P4)</f>
        <v>81278.027132829273</v>
      </c>
    </row>
    <row r="5" spans="1:17">
      <c r="A5" s="454" t="s">
        <v>155</v>
      </c>
      <c r="B5" s="455">
        <f ca="1">tertiair!B16</f>
        <v>14835.81522</v>
      </c>
      <c r="C5" s="455">
        <f ca="1">tertiair!C16</f>
        <v>0</v>
      </c>
      <c r="D5" s="455">
        <f ca="1">tertiair!D16</f>
        <v>17813.688057545205</v>
      </c>
      <c r="E5" s="455">
        <f>tertiair!E16</f>
        <v>70.754556705757196</v>
      </c>
      <c r="F5" s="455">
        <f ca="1">tertiair!F16</f>
        <v>3385.1819348071981</v>
      </c>
      <c r="G5" s="455">
        <f>tertiair!G16</f>
        <v>0</v>
      </c>
      <c r="H5" s="455">
        <f>tertiair!H16</f>
        <v>0</v>
      </c>
      <c r="I5" s="455">
        <f>tertiair!I16</f>
        <v>0</v>
      </c>
      <c r="J5" s="455">
        <f>tertiair!J16</f>
        <v>4.2021941778727603E-2</v>
      </c>
      <c r="K5" s="455">
        <f>tertiair!K16</f>
        <v>0</v>
      </c>
      <c r="L5" s="455">
        <f ca="1">tertiair!L16</f>
        <v>0</v>
      </c>
      <c r="M5" s="455">
        <f>tertiair!M16</f>
        <v>0</v>
      </c>
      <c r="N5" s="455">
        <f ca="1">tertiair!N16</f>
        <v>0</v>
      </c>
      <c r="O5" s="455">
        <f>tertiair!O16</f>
        <v>14.691782297523464</v>
      </c>
      <c r="P5" s="456">
        <f>tertiair!P16</f>
        <v>0</v>
      </c>
      <c r="Q5" s="454">
        <f t="shared" ref="Q5:Q14" ca="1" si="0">SUM(B5:P5)</f>
        <v>36120.173573297463</v>
      </c>
    </row>
    <row r="6" spans="1:17">
      <c r="A6" s="454" t="s">
        <v>193</v>
      </c>
      <c r="B6" s="455">
        <f>'openbare verlichting'!B8</f>
        <v>450.24934400000001</v>
      </c>
      <c r="C6" s="455"/>
      <c r="D6" s="455"/>
      <c r="E6" s="455"/>
      <c r="F6" s="455"/>
      <c r="G6" s="455"/>
      <c r="H6" s="455"/>
      <c r="I6" s="455"/>
      <c r="J6" s="455"/>
      <c r="K6" s="455"/>
      <c r="L6" s="455"/>
      <c r="M6" s="455"/>
      <c r="N6" s="455"/>
      <c r="O6" s="455"/>
      <c r="P6" s="456"/>
      <c r="Q6" s="454">
        <f t="shared" si="0"/>
        <v>450.24934400000001</v>
      </c>
    </row>
    <row r="7" spans="1:17">
      <c r="A7" s="454" t="s">
        <v>111</v>
      </c>
      <c r="B7" s="455">
        <f>landbouw!B8</f>
        <v>11454.556919000001</v>
      </c>
      <c r="C7" s="455">
        <f>landbouw!C8</f>
        <v>400870.92857142864</v>
      </c>
      <c r="D7" s="455">
        <f>landbouw!D8</f>
        <v>9718.0614828522084</v>
      </c>
      <c r="E7" s="455">
        <f>landbouw!E8</f>
        <v>427.17546449973418</v>
      </c>
      <c r="F7" s="455">
        <f>landbouw!F8</f>
        <v>37163.008860258873</v>
      </c>
      <c r="G7" s="455">
        <f>landbouw!G8</f>
        <v>0</v>
      </c>
      <c r="H7" s="455">
        <f>landbouw!H8</f>
        <v>0</v>
      </c>
      <c r="I7" s="455">
        <f>landbouw!I8</f>
        <v>0</v>
      </c>
      <c r="J7" s="455">
        <f>landbouw!J8</f>
        <v>3006.8777413212651</v>
      </c>
      <c r="K7" s="455">
        <f>landbouw!K8</f>
        <v>0</v>
      </c>
      <c r="L7" s="455">
        <f>landbouw!L8</f>
        <v>0</v>
      </c>
      <c r="M7" s="455">
        <f>landbouw!M8</f>
        <v>0</v>
      </c>
      <c r="N7" s="455">
        <f>landbouw!N8</f>
        <v>0</v>
      </c>
      <c r="O7" s="455">
        <f>landbouw!O8</f>
        <v>0</v>
      </c>
      <c r="P7" s="456">
        <f>landbouw!P8</f>
        <v>0</v>
      </c>
      <c r="Q7" s="454">
        <f t="shared" si="0"/>
        <v>462640.60903936072</v>
      </c>
    </row>
    <row r="8" spans="1:17">
      <c r="A8" s="454" t="s">
        <v>626</v>
      </c>
      <c r="B8" s="455">
        <f>industrie!B18</f>
        <v>3520.2050859999999</v>
      </c>
      <c r="C8" s="455">
        <f>industrie!C18</f>
        <v>0</v>
      </c>
      <c r="D8" s="455">
        <f>industrie!D18</f>
        <v>2799.9467549731389</v>
      </c>
      <c r="E8" s="455">
        <f>industrie!E18</f>
        <v>10.344149765223381</v>
      </c>
      <c r="F8" s="455">
        <f>industrie!F18</f>
        <v>826.61126583781879</v>
      </c>
      <c r="G8" s="455">
        <f>industrie!G18</f>
        <v>0</v>
      </c>
      <c r="H8" s="455">
        <f>industrie!H18</f>
        <v>0</v>
      </c>
      <c r="I8" s="455">
        <f>industrie!I18</f>
        <v>0</v>
      </c>
      <c r="J8" s="455">
        <f>industrie!J18</f>
        <v>0.61348857592672834</v>
      </c>
      <c r="K8" s="455">
        <f>industrie!K18</f>
        <v>0</v>
      </c>
      <c r="L8" s="455">
        <f>industrie!L18</f>
        <v>0</v>
      </c>
      <c r="M8" s="455">
        <f>industrie!M18</f>
        <v>0</v>
      </c>
      <c r="N8" s="455">
        <f>industrie!N18</f>
        <v>112.03073304975152</v>
      </c>
      <c r="O8" s="455">
        <f>industrie!O18</f>
        <v>0</v>
      </c>
      <c r="P8" s="456">
        <f>industrie!P18</f>
        <v>0</v>
      </c>
      <c r="Q8" s="454">
        <f t="shared" si="0"/>
        <v>7269.7514782018588</v>
      </c>
    </row>
    <row r="9" spans="1:17" s="460" customFormat="1">
      <c r="A9" s="458" t="s">
        <v>552</v>
      </c>
      <c r="B9" s="459">
        <f>transport!B14</f>
        <v>36.609044347050428</v>
      </c>
      <c r="C9" s="459">
        <f>transport!C14</f>
        <v>0</v>
      </c>
      <c r="D9" s="459">
        <f>transport!D14</f>
        <v>146.33491112776079</v>
      </c>
      <c r="E9" s="459">
        <f>transport!E14</f>
        <v>78.598932451827238</v>
      </c>
      <c r="F9" s="459">
        <f>transport!F14</f>
        <v>0</v>
      </c>
      <c r="G9" s="459">
        <f>transport!G14</f>
        <v>33612.601749000714</v>
      </c>
      <c r="H9" s="459">
        <f>transport!H14</f>
        <v>9333.0715207263765</v>
      </c>
      <c r="I9" s="459">
        <f>transport!I14</f>
        <v>0</v>
      </c>
      <c r="J9" s="459">
        <f>transport!J14</f>
        <v>0</v>
      </c>
      <c r="K9" s="459">
        <f>transport!K14</f>
        <v>0</v>
      </c>
      <c r="L9" s="459">
        <f>transport!L14</f>
        <v>0</v>
      </c>
      <c r="M9" s="459">
        <f>transport!M14</f>
        <v>2541.2406812812569</v>
      </c>
      <c r="N9" s="459">
        <f>transport!N14</f>
        <v>0</v>
      </c>
      <c r="O9" s="459">
        <f>transport!O14</f>
        <v>0</v>
      </c>
      <c r="P9" s="459">
        <f>transport!P14</f>
        <v>0</v>
      </c>
      <c r="Q9" s="458">
        <f>SUM(B9:P9)</f>
        <v>45748.456838934988</v>
      </c>
    </row>
    <row r="10" spans="1:17">
      <c r="A10" s="454" t="s">
        <v>542</v>
      </c>
      <c r="B10" s="455">
        <f>transport!B54</f>
        <v>0</v>
      </c>
      <c r="C10" s="455">
        <f>transport!C54</f>
        <v>0</v>
      </c>
      <c r="D10" s="455">
        <f>transport!D54</f>
        <v>0</v>
      </c>
      <c r="E10" s="455">
        <f>transport!E54</f>
        <v>0</v>
      </c>
      <c r="F10" s="455">
        <f>transport!F54</f>
        <v>0</v>
      </c>
      <c r="G10" s="455">
        <f>transport!G54</f>
        <v>787.09002545407577</v>
      </c>
      <c r="H10" s="455">
        <f>transport!H54</f>
        <v>0</v>
      </c>
      <c r="I10" s="455">
        <f>transport!I54</f>
        <v>0</v>
      </c>
      <c r="J10" s="455">
        <f>transport!J54</f>
        <v>0</v>
      </c>
      <c r="K10" s="455">
        <f>transport!K54</f>
        <v>0</v>
      </c>
      <c r="L10" s="455">
        <f>transport!L54</f>
        <v>0</v>
      </c>
      <c r="M10" s="455">
        <f>transport!M54</f>
        <v>42.7119877219179</v>
      </c>
      <c r="N10" s="455">
        <f>transport!N54</f>
        <v>0</v>
      </c>
      <c r="O10" s="455">
        <f>transport!O54</f>
        <v>0</v>
      </c>
      <c r="P10" s="456">
        <f>transport!P54</f>
        <v>0</v>
      </c>
      <c r="Q10" s="454">
        <f t="shared" si="0"/>
        <v>829.80201317599369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527.60599300000001</v>
      </c>
      <c r="C14" s="462"/>
      <c r="D14" s="462">
        <f>'SEAP template'!E25</f>
        <v>259.06403228610003</v>
      </c>
      <c r="E14" s="462"/>
      <c r="F14" s="462"/>
      <c r="G14" s="462"/>
      <c r="H14" s="462"/>
      <c r="I14" s="462"/>
      <c r="J14" s="462"/>
      <c r="K14" s="462"/>
      <c r="L14" s="462"/>
      <c r="M14" s="462"/>
      <c r="N14" s="462"/>
      <c r="O14" s="462"/>
      <c r="P14" s="463"/>
      <c r="Q14" s="454">
        <f t="shared" si="0"/>
        <v>786.6700252861001</v>
      </c>
    </row>
    <row r="15" spans="1:17" s="466" customFormat="1">
      <c r="A15" s="464" t="s">
        <v>546</v>
      </c>
      <c r="B15" s="465">
        <f ca="1">SUM(B4:B14)</f>
        <v>45030.603423677327</v>
      </c>
      <c r="C15" s="465">
        <f t="shared" ref="C15:Q15" ca="1" si="1">SUM(C4:C14)</f>
        <v>400870.92857142864</v>
      </c>
      <c r="D15" s="465">
        <f t="shared" ca="1" si="1"/>
        <v>68160.325352012282</v>
      </c>
      <c r="E15" s="465">
        <f t="shared" si="1"/>
        <v>8949.724496600491</v>
      </c>
      <c r="F15" s="465">
        <f t="shared" ca="1" si="1"/>
        <v>41374.802060903887</v>
      </c>
      <c r="G15" s="465">
        <f t="shared" si="1"/>
        <v>34399.69177445479</v>
      </c>
      <c r="H15" s="465">
        <f t="shared" si="1"/>
        <v>9333.0715207263765</v>
      </c>
      <c r="I15" s="465">
        <f t="shared" si="1"/>
        <v>0</v>
      </c>
      <c r="J15" s="465">
        <f t="shared" si="1"/>
        <v>3007.5332518389705</v>
      </c>
      <c r="K15" s="465">
        <f t="shared" si="1"/>
        <v>0</v>
      </c>
      <c r="L15" s="465">
        <f t="shared" ca="1" si="1"/>
        <v>0</v>
      </c>
      <c r="M15" s="465">
        <f t="shared" si="1"/>
        <v>2583.9526690031748</v>
      </c>
      <c r="N15" s="465">
        <f t="shared" ca="1" si="1"/>
        <v>21011.918696261691</v>
      </c>
      <c r="O15" s="465">
        <f t="shared" si="1"/>
        <v>169.44052340971197</v>
      </c>
      <c r="P15" s="465">
        <f t="shared" si="1"/>
        <v>231.74710476907052</v>
      </c>
      <c r="Q15" s="465">
        <f t="shared" ca="1" si="1"/>
        <v>635123.73944508645</v>
      </c>
    </row>
    <row r="17" spans="1:17">
      <c r="A17" s="467" t="s">
        <v>547</v>
      </c>
      <c r="B17" s="784">
        <f ca="1">huishoudens!B10</f>
        <v>0.20758475445356708</v>
      </c>
      <c r="C17" s="784">
        <f ca="1">huishoudens!C10</f>
        <v>0.21240394011438188</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2948.8580617254725</v>
      </c>
      <c r="C22" s="455">
        <f t="shared" ref="C22:C32" ca="1" si="3">C4*$C$17</f>
        <v>0</v>
      </c>
      <c r="D22" s="455">
        <f t="shared" ref="D22:D32" si="4">D4*$D$17</f>
        <v>7559.4924828720295</v>
      </c>
      <c r="E22" s="455">
        <f t="shared" ref="E22:E32" si="5">E4*$E$17</f>
        <v>1898.3672662513945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12406.717810848897</v>
      </c>
    </row>
    <row r="23" spans="1:17">
      <c r="A23" s="454" t="s">
        <v>155</v>
      </c>
      <c r="B23" s="455">
        <f t="shared" ca="1" si="2"/>
        <v>3079.6890595621935</v>
      </c>
      <c r="C23" s="455">
        <f t="shared" ca="1" si="3"/>
        <v>0</v>
      </c>
      <c r="D23" s="455">
        <f t="shared" ca="1" si="4"/>
        <v>3598.3649876241316</v>
      </c>
      <c r="E23" s="455">
        <f t="shared" si="5"/>
        <v>16.061284372206885</v>
      </c>
      <c r="F23" s="455">
        <f t="shared" ca="1" si="6"/>
        <v>903.8435765935219</v>
      </c>
      <c r="G23" s="455">
        <f t="shared" si="7"/>
        <v>0</v>
      </c>
      <c r="H23" s="455">
        <f t="shared" si="8"/>
        <v>0</v>
      </c>
      <c r="I23" s="455">
        <f t="shared" si="9"/>
        <v>0</v>
      </c>
      <c r="J23" s="455">
        <f t="shared" si="10"/>
        <v>1.4875767389669571E-2</v>
      </c>
      <c r="K23" s="455">
        <f t="shared" si="11"/>
        <v>0</v>
      </c>
      <c r="L23" s="455">
        <f t="shared" ca="1" si="12"/>
        <v>0</v>
      </c>
      <c r="M23" s="455">
        <f t="shared" si="13"/>
        <v>0</v>
      </c>
      <c r="N23" s="455">
        <f t="shared" ca="1" si="14"/>
        <v>0</v>
      </c>
      <c r="O23" s="455">
        <f t="shared" si="15"/>
        <v>0</v>
      </c>
      <c r="P23" s="456">
        <f t="shared" si="16"/>
        <v>0</v>
      </c>
      <c r="Q23" s="454">
        <f t="shared" ref="Q23:Q31" ca="1" si="17">SUM(B23:P23)</f>
        <v>7597.9737839194431</v>
      </c>
    </row>
    <row r="24" spans="1:17">
      <c r="A24" s="454" t="s">
        <v>193</v>
      </c>
      <c r="B24" s="455">
        <f t="shared" ca="1" si="2"/>
        <v>93.464899517119662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93.464899517119662</v>
      </c>
    </row>
    <row r="25" spans="1:17">
      <c r="A25" s="454" t="s">
        <v>111</v>
      </c>
      <c r="B25" s="455">
        <f t="shared" ca="1" si="2"/>
        <v>2377.791385405023</v>
      </c>
      <c r="C25" s="455">
        <f t="shared" ca="1" si="3"/>
        <v>85146.564705882382</v>
      </c>
      <c r="D25" s="455">
        <f t="shared" si="4"/>
        <v>1963.0484195361462</v>
      </c>
      <c r="E25" s="455">
        <f t="shared" si="5"/>
        <v>96.968830441439664</v>
      </c>
      <c r="F25" s="455">
        <f t="shared" si="6"/>
        <v>9922.5233656891196</v>
      </c>
      <c r="G25" s="455">
        <f t="shared" si="7"/>
        <v>0</v>
      </c>
      <c r="H25" s="455">
        <f t="shared" si="8"/>
        <v>0</v>
      </c>
      <c r="I25" s="455">
        <f t="shared" si="9"/>
        <v>0</v>
      </c>
      <c r="J25" s="455">
        <f t="shared" si="10"/>
        <v>1064.4347204277278</v>
      </c>
      <c r="K25" s="455">
        <f t="shared" si="11"/>
        <v>0</v>
      </c>
      <c r="L25" s="455">
        <f t="shared" si="12"/>
        <v>0</v>
      </c>
      <c r="M25" s="455">
        <f t="shared" si="13"/>
        <v>0</v>
      </c>
      <c r="N25" s="455">
        <f t="shared" si="14"/>
        <v>0</v>
      </c>
      <c r="O25" s="455">
        <f t="shared" si="15"/>
        <v>0</v>
      </c>
      <c r="P25" s="456">
        <f t="shared" si="16"/>
        <v>0</v>
      </c>
      <c r="Q25" s="454">
        <f t="shared" ca="1" si="17"/>
        <v>100571.33142738185</v>
      </c>
    </row>
    <row r="26" spans="1:17">
      <c r="A26" s="454" t="s">
        <v>626</v>
      </c>
      <c r="B26" s="455">
        <f t="shared" ca="1" si="2"/>
        <v>730.740908403508</v>
      </c>
      <c r="C26" s="455">
        <f t="shared" ca="1" si="3"/>
        <v>0</v>
      </c>
      <c r="D26" s="455">
        <f t="shared" si="4"/>
        <v>565.58924450457414</v>
      </c>
      <c r="E26" s="455">
        <f t="shared" si="5"/>
        <v>2.3481219967057076</v>
      </c>
      <c r="F26" s="455">
        <f t="shared" si="6"/>
        <v>220.70520797869764</v>
      </c>
      <c r="G26" s="455">
        <f t="shared" si="7"/>
        <v>0</v>
      </c>
      <c r="H26" s="455">
        <f t="shared" si="8"/>
        <v>0</v>
      </c>
      <c r="I26" s="455">
        <f t="shared" si="9"/>
        <v>0</v>
      </c>
      <c r="J26" s="455">
        <f t="shared" si="10"/>
        <v>0.21717495587806182</v>
      </c>
      <c r="K26" s="455">
        <f t="shared" si="11"/>
        <v>0</v>
      </c>
      <c r="L26" s="455">
        <f t="shared" si="12"/>
        <v>0</v>
      </c>
      <c r="M26" s="455">
        <f t="shared" si="13"/>
        <v>0</v>
      </c>
      <c r="N26" s="455">
        <f t="shared" si="14"/>
        <v>0</v>
      </c>
      <c r="O26" s="455">
        <f t="shared" si="15"/>
        <v>0</v>
      </c>
      <c r="P26" s="456">
        <f t="shared" si="16"/>
        <v>0</v>
      </c>
      <c r="Q26" s="454">
        <f t="shared" ca="1" si="17"/>
        <v>1519.6006578393637</v>
      </c>
    </row>
    <row r="27" spans="1:17" s="460" customFormat="1">
      <c r="A27" s="458" t="s">
        <v>552</v>
      </c>
      <c r="B27" s="778">
        <f t="shared" ca="1" si="2"/>
        <v>7.5994794815622111</v>
      </c>
      <c r="C27" s="459">
        <f t="shared" ca="1" si="3"/>
        <v>0</v>
      </c>
      <c r="D27" s="459">
        <f t="shared" si="4"/>
        <v>29.559652047807681</v>
      </c>
      <c r="E27" s="459">
        <f t="shared" si="5"/>
        <v>17.841957666564785</v>
      </c>
      <c r="F27" s="459">
        <f t="shared" si="6"/>
        <v>0</v>
      </c>
      <c r="G27" s="459">
        <f t="shared" si="7"/>
        <v>8974.5646669831913</v>
      </c>
      <c r="H27" s="459">
        <f t="shared" si="8"/>
        <v>2323.9348086608679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11353.500564839995</v>
      </c>
    </row>
    <row r="28" spans="1:17" ht="16.5" customHeight="1">
      <c r="A28" s="454" t="s">
        <v>542</v>
      </c>
      <c r="B28" s="455">
        <f t="shared" ca="1" si="2"/>
        <v>0</v>
      </c>
      <c r="C28" s="455">
        <f t="shared" ca="1" si="3"/>
        <v>0</v>
      </c>
      <c r="D28" s="455">
        <f t="shared" si="4"/>
        <v>0</v>
      </c>
      <c r="E28" s="455">
        <f t="shared" si="5"/>
        <v>0</v>
      </c>
      <c r="F28" s="455">
        <f t="shared" si="6"/>
        <v>0</v>
      </c>
      <c r="G28" s="455">
        <f t="shared" si="7"/>
        <v>210.15303679623824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210.15303679623824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109.52296050513543</v>
      </c>
      <c r="C32" s="455">
        <f t="shared" ca="1" si="3"/>
        <v>0</v>
      </c>
      <c r="D32" s="455">
        <f t="shared" si="4"/>
        <v>52.330934521792209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161.85389502692763</v>
      </c>
    </row>
    <row r="33" spans="1:17" s="466" customFormat="1">
      <c r="A33" s="464" t="s">
        <v>546</v>
      </c>
      <c r="B33" s="465">
        <f ca="1">SUM(B22:B32)</f>
        <v>9347.6667546000135</v>
      </c>
      <c r="C33" s="465">
        <f t="shared" ref="C33:Q33" ca="1" si="19">SUM(C22:C32)</f>
        <v>85146.564705882382</v>
      </c>
      <c r="D33" s="465">
        <f t="shared" ca="1" si="19"/>
        <v>13768.385721106482</v>
      </c>
      <c r="E33" s="465">
        <f t="shared" si="19"/>
        <v>2031.5874607283117</v>
      </c>
      <c r="F33" s="465">
        <f t="shared" ca="1" si="19"/>
        <v>11047.07215026134</v>
      </c>
      <c r="G33" s="465">
        <f t="shared" si="19"/>
        <v>9184.7177037794299</v>
      </c>
      <c r="H33" s="465">
        <f t="shared" si="19"/>
        <v>2323.9348086608679</v>
      </c>
      <c r="I33" s="465">
        <f t="shared" si="19"/>
        <v>0</v>
      </c>
      <c r="J33" s="465">
        <f t="shared" si="19"/>
        <v>1064.6667711509956</v>
      </c>
      <c r="K33" s="465">
        <f t="shared" si="19"/>
        <v>0</v>
      </c>
      <c r="L33" s="465">
        <f t="shared" ca="1" si="19"/>
        <v>0</v>
      </c>
      <c r="M33" s="465">
        <f t="shared" si="19"/>
        <v>0</v>
      </c>
      <c r="N33" s="465">
        <f t="shared" ca="1" si="19"/>
        <v>0</v>
      </c>
      <c r="O33" s="465">
        <f t="shared" si="19"/>
        <v>0</v>
      </c>
      <c r="P33" s="465">
        <f t="shared" si="19"/>
        <v>0</v>
      </c>
      <c r="Q33" s="465">
        <f t="shared" ca="1" si="19"/>
        <v>133914.59607616981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4867.4957544015451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29806.649999999998</v>
      </c>
      <c r="C8" s="1026">
        <f>'SEAP template'!C76</f>
        <v>250803</v>
      </c>
      <c r="D8" s="1026">
        <f>'SEAP template'!D76</f>
        <v>295062.3529411765</v>
      </c>
      <c r="E8" s="1026">
        <f>'SEAP template'!E76</f>
        <v>0</v>
      </c>
      <c r="F8" s="1026">
        <f>'SEAP template'!F76</f>
        <v>0</v>
      </c>
      <c r="G8" s="1026">
        <f>'SEAP template'!G76</f>
        <v>0</v>
      </c>
      <c r="H8" s="1026">
        <f>'SEAP template'!H76</f>
        <v>0</v>
      </c>
      <c r="I8" s="1026">
        <f>'SEAP template'!I76</f>
        <v>0</v>
      </c>
      <c r="J8" s="1026">
        <f>'SEAP template'!J76</f>
        <v>35066.647058823532</v>
      </c>
      <c r="K8" s="1026">
        <f>'SEAP template'!K76</f>
        <v>0</v>
      </c>
      <c r="L8" s="1026">
        <f>'SEAP template'!L76</f>
        <v>0</v>
      </c>
      <c r="M8" s="1026">
        <f>'SEAP template'!M76</f>
        <v>0</v>
      </c>
      <c r="N8" s="1026">
        <f>'SEAP template'!N76</f>
        <v>0</v>
      </c>
      <c r="O8" s="1026">
        <f>'SEAP template'!O76</f>
        <v>0</v>
      </c>
      <c r="P8" s="1027">
        <f>'SEAP template'!Q76</f>
        <v>59602.595294117658</v>
      </c>
    </row>
    <row r="9" spans="1:16">
      <c r="A9" s="1032" t="s">
        <v>761</v>
      </c>
      <c r="B9" s="1026">
        <f>'SEAP template'!B77</f>
        <v>1647</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4705.7142857142862</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36321.145754401543</v>
      </c>
      <c r="C10" s="1028">
        <f>SUM(C4:C9)</f>
        <v>250803</v>
      </c>
      <c r="D10" s="1028">
        <f t="shared" ref="D10:H10" si="0">SUM(D8:D9)</f>
        <v>295062.3529411765</v>
      </c>
      <c r="E10" s="1028">
        <f t="shared" si="0"/>
        <v>0</v>
      </c>
      <c r="F10" s="1028">
        <f t="shared" si="0"/>
        <v>0</v>
      </c>
      <c r="G10" s="1028">
        <f t="shared" si="0"/>
        <v>0</v>
      </c>
      <c r="H10" s="1028">
        <f t="shared" si="0"/>
        <v>0</v>
      </c>
      <c r="I10" s="1028">
        <f>SUM(I8:I9)</f>
        <v>0</v>
      </c>
      <c r="J10" s="1028">
        <f>SUM(J8:J9)</f>
        <v>39772.361344537814</v>
      </c>
      <c r="K10" s="1028">
        <f t="shared" ref="K10:L10" si="1">SUM(K8:K9)</f>
        <v>0</v>
      </c>
      <c r="L10" s="1028">
        <f t="shared" si="1"/>
        <v>0</v>
      </c>
      <c r="M10" s="1028">
        <f>SUM(M8:M9)</f>
        <v>0</v>
      </c>
      <c r="N10" s="1028">
        <f>SUM(N8:N9)</f>
        <v>0</v>
      </c>
      <c r="O10" s="1028">
        <f>SUM(O8:O9)</f>
        <v>0</v>
      </c>
      <c r="P10" s="1028">
        <f>SUM(P8:P9)</f>
        <v>59602.595294117658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0.20758475445356708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42580.928571428587</v>
      </c>
      <c r="C17" s="1029">
        <f>'SEAP template'!C87</f>
        <v>358290.00000000006</v>
      </c>
      <c r="D17" s="1027">
        <f>'SEAP template'!D87</f>
        <v>421517.64705882361</v>
      </c>
      <c r="E17" s="1027">
        <f>'SEAP template'!E87</f>
        <v>0</v>
      </c>
      <c r="F17" s="1027">
        <f>'SEAP template'!F87</f>
        <v>0</v>
      </c>
      <c r="G17" s="1027">
        <f>'SEAP template'!G87</f>
        <v>0</v>
      </c>
      <c r="H17" s="1027">
        <f>'SEAP template'!H87</f>
        <v>0</v>
      </c>
      <c r="I17" s="1027">
        <f>'SEAP template'!I87</f>
        <v>0</v>
      </c>
      <c r="J17" s="1027">
        <f>'SEAP template'!J87</f>
        <v>50095.210084033628</v>
      </c>
      <c r="K17" s="1027">
        <f>'SEAP template'!K87</f>
        <v>0</v>
      </c>
      <c r="L17" s="1027">
        <f>'SEAP template'!L87</f>
        <v>0</v>
      </c>
      <c r="M17" s="1027">
        <f>'SEAP template'!M87</f>
        <v>0</v>
      </c>
      <c r="N17" s="1027">
        <f>'SEAP template'!N87</f>
        <v>0</v>
      </c>
      <c r="O17" s="1027">
        <f>'SEAP template'!O87</f>
        <v>0</v>
      </c>
      <c r="P17" s="1027">
        <f>'SEAP template'!Q87</f>
        <v>85146.564705882382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42580.928571428587</v>
      </c>
      <c r="C20" s="1028">
        <f>SUM(C17:C19)</f>
        <v>358290.00000000006</v>
      </c>
      <c r="D20" s="1028">
        <f t="shared" ref="D20:H20" si="2">SUM(D17:D19)</f>
        <v>421517.64705882361</v>
      </c>
      <c r="E20" s="1028">
        <f t="shared" si="2"/>
        <v>0</v>
      </c>
      <c r="F20" s="1028">
        <f t="shared" si="2"/>
        <v>0</v>
      </c>
      <c r="G20" s="1028">
        <f t="shared" si="2"/>
        <v>0</v>
      </c>
      <c r="H20" s="1028">
        <f t="shared" si="2"/>
        <v>0</v>
      </c>
      <c r="I20" s="1028">
        <f>SUM(I17:I19)</f>
        <v>0</v>
      </c>
      <c r="J20" s="1028">
        <f>SUM(J17:J19)</f>
        <v>50095.210084033628</v>
      </c>
      <c r="K20" s="1028">
        <f t="shared" ref="K20:L20" si="3">SUM(K17:K19)</f>
        <v>0</v>
      </c>
      <c r="L20" s="1028">
        <f t="shared" si="3"/>
        <v>0</v>
      </c>
      <c r="M20" s="1028">
        <f>SUM(M17:M19)</f>
        <v>0</v>
      </c>
      <c r="N20" s="1028">
        <f>SUM(N17:N19)</f>
        <v>0</v>
      </c>
      <c r="O20" s="1028">
        <f>SUM(O17:O19)</f>
        <v>0</v>
      </c>
      <c r="P20" s="1028">
        <f>SUM(P17:P19)</f>
        <v>85146.564705882382</v>
      </c>
    </row>
    <row r="21" spans="1:16">
      <c r="B21" s="890"/>
    </row>
    <row r="22" spans="1:16">
      <c r="A22" s="467" t="s">
        <v>773</v>
      </c>
      <c r="B22" s="784" t="s">
        <v>771</v>
      </c>
      <c r="C22" s="784">
        <f ca="1">'EF ele_warmte'!B22</f>
        <v>0.21240394011438188</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0.20758475445356708</v>
      </c>
      <c r="C17" s="504">
        <f ca="1">'EF ele_warmte'!B22</f>
        <v>0.21240394011438188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2020-06-20T15:18:45Z</dcterms:modified>
</cp:coreProperties>
</file>