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D6" i="17" s="1"/>
  <c r="O33" i="18"/>
  <c r="C6" i="17" s="1"/>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I9" i="18" l="1"/>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7"/>
  <c r="C12" i="17" s="1"/>
  <c r="D54" i="14" s="1"/>
  <c r="D56" i="14" s="1"/>
  <c r="C17" i="49"/>
  <c r="C18" i="15"/>
  <c r="C20" i="15" s="1"/>
  <c r="D40" i="14" s="1"/>
  <c r="C10" i="13"/>
  <c r="C12" i="13" s="1"/>
  <c r="D41" i="14" s="1"/>
  <c r="D46" i="14" s="1"/>
  <c r="D61" i="14" s="1"/>
  <c r="D63" i="14" s="1"/>
  <c r="C29" i="20"/>
  <c r="C17" i="19"/>
  <c r="C19" i="19" s="1"/>
  <c r="D39" i="14" s="1"/>
  <c r="C56" i="22"/>
  <c r="C58" i="22" s="1"/>
  <c r="D49" i="14" s="1"/>
  <c r="D52" i="14" s="1"/>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<sst xmlns="http://schemas.openxmlformats.org/spreadsheetml/2006/main" count="2392" uniqueCount="882">
  <si>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</si>
  <si>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</si>
  <si>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</si>
  <si>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</si>
  <si>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</si>
  <si>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</si>
  <si>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</si>
  <si>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</si>
  <si>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</si>
  <si>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</si>
  <si>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</si>
  <si>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</si>
  <si>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</si>
  <si>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</si>
  <si>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</si>
  <si>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</si>
  <si>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</si>
  <si>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</si>
  <si>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</si>
  <si>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</si>
  <si>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</si>
  <si>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</si>
  <si>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</si>
  <si>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</si>
  <si>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</si>
  <si>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</si>
  <si>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</si>
  <si>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</si>
  <si>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</si>
  <si>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</si>
  <si>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</si>
  <si>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</si>
  <si>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</si>
  <si>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</si>
  <si>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</si>
  <si>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</si>
  <si>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</si>
  <si>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</si>
  <si>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</si>
  <si>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</si>
  <si>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</si>
  <si>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</si>
  <si>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</si>
  <si>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</si>
  <si>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</si>
  <si>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</si>
  <si>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</si>
  <si>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</si>
  <si>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</si>
  <si>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</si>
  <si>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</si>
  <si>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</si>
  <si>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</si>
  <si>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</si>
  <si>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</si>
  <si>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</si>
  <si>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</si>
  <si>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</si>
  <si>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</si>
  <si>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</si>
  <si>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</si>
  <si>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</si>
  <si>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</si>
  <si>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</si>
  <si>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</si>
  <si>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</si>
  <si>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</si>
  <si>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</si>
  <si>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</si>
  <si>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</si>
  <si>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</si>
  <si>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</si>
  <si>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</si>
  <si>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</si>
  <si>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</si>
  <si>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</si>
  <si>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</si>
  <si>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</si>
  <si>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</si>
  <si>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</si>
  <si>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</si>
  <si>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</si>
  <si>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</si>
  <si>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</si>
  <si>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</si>
  <si>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</si>
  <si>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</si>
  <si>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</si>
  <si>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</si>
  <si>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</si>
  <si>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</si>
  <si>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</si>
  <si>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</si>
  <si>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</si>
  <si>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</si>
  <si>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</si>
  <si>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</si>
  <si>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</si>
  <si>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</si>
  <si>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</si>
  <si>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</si>
  <si>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</si>
  <si>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</si>
  <si>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</si>
  <si>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</si>
  <si>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</si>
  <si>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</si>
  <si>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</si>
  <si>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</si>
  <si>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</si>
  <si>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</si>
  <si>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</si>
  <si>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</si>
  <si>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</si>
  <si>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</si>
  <si>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</si>
  <si>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</si>
  <si>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</si>
  <si>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</si>
  <si>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</si>
  <si>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</si>
  <si>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</si>
  <si>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</si>
  <si>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</si>
  <si>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</si>
  <si>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</si>
  <si>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</si>
  <si>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</si>
  <si>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</si>
  <si>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</si>
  <si>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</si>
  <si>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</si>
  <si>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</si>
  <si>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</si>
  <si>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</si>
  <si>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</si>
  <si>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</si>
  <si>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</si>
  <si>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</si>
  <si>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</si>
  <si>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</si>
  <si>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</si>
  <si>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</si>
  <si>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</si>
  <si>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</si>
  <si>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</si>
  <si>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</si>
  <si>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</si>
  <si>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</si>
  <si>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</si>
  <si>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</si>
  <si>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</si>
  <si>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</si>
  <si>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</si>
  <si>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</si>
  <si>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</si>
  <si>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</si>
  <si>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</si>
  <si>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</si>
  <si>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</si>
  <si>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</si>
  <si>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</si>
  <si>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</si>
  <si>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</si>
  <si>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</si>
  <si>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</si>
  <si>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</si>
  <si>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</si>
  <si>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</si>
  <si>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</si>
  <si>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</si>
  <si>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</si>
  <si>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</si>
  <si>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</si>
  <si>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</si>
  <si>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</si>
  <si>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</si>
  <si>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</si>
  <si>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</si>
  <si>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</si>
  <si>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</si>
  <si>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</si>
  <si>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</si>
  <si>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</si>
  <si>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</si>
  <si>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</si>
  <si>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</si>
  <si>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</si>
  <si>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</si>
  <si>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</si>
  <si>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</si>
  <si>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</si>
  <si>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</si>
  <si>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</si>
  <si>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</si>
  <si>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</si>
  <si>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</si>
  <si>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</si>
  <si>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</si>
  <si>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</si>
  <si>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</si>
  <si>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</si>
  <si>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</si>
  <si>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</si>
  <si>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</si>
  <si>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</si>
  <si>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</si>
  <si>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</si>
  <si>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</si>
  <si>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</si>
  <si>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</si>
  <si>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</si>
  <si>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</si>
  <si>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</si>
  <si>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</si>
  <si>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</si>
  <si>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</si>
  <si>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</si>
  <si>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</si>
  <si>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</si>
  <si>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</si>
  <si>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</si>
  <si>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</si>
  <si>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</si>
  <si>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</si>
  <si>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</si>
  <si>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</si>
  <si>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</si>
  <si>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</si>
  <si>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</si>
  <si>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</si>
  <si>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</si>
  <si>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</si>
  <si>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</si>
  <si>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</si>
  <si>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</si>
  <si>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</si>
  <si>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</si>
  <si>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</si>
  <si>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</si>
  <si>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</si>
  <si>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</si>
  <si>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</si>
  <si>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</si>
  <si>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</si>
  <si>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</si>
  <si>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</si>
  <si>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</si>
  <si>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</si>
  <si>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</si>
  <si>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</si>
  <si>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</si>
  <si>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</si>
  <si>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</si>
  <si>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</si>
  <si>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</si>
  <si>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</si>
  <si>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</si>
  <si>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</si>
  <si>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</si>
  <si>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</si>
  <si>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</si>
  <si>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</si>
  <si>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</si>
  <si>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</si>
  <si>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</si>
  <si>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</si>
  <si>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</si>
  <si>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</si>
  <si>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</si>
  <si>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</si>
  <si>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</si>
  <si>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</si>
  <si>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</si>
  <si>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</si>
  <si>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</si>
  <si>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</si>
  <si>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</si>
  <si>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</si>
  <si>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</si>
  <si>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</si>
  <si>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</si>
  <si>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</si>
  <si>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</si>
  <si>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</si>
  <si>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</si>
  <si>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</si>
  <si>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</si>
  <si>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</si>
  <si>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</si>
  <si>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</si>
  <si>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</si>
  <si>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</si>
  <si>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</si>
  <si>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</si>
  <si>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</si>
  <si>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</si>
  <si>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</si>
  <si>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</si>
  <si>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</si>
  <si>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</si>
  <si>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</si>
  <si>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</si>
  <si>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</si>
  <si>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</si>
  <si>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</si>
  <si>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</si>
  <si>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</si>
  <si>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</si>
  <si>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</si>
  <si>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</si>
  <si>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</si>
  <si>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</si>
  <si>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</si>
  <si>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</si>
  <si>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</si>
  <si>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</si>
  <si>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</si>
  <si>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</si>
  <si>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</si>
  <si>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</si>
  <si>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</si>
  <si>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</si>
  <si>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</si>
  <si>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</si>
  <si>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</si>
  <si>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</si>
  <si>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</si>
  <si>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</si>
  <si>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</si>
  <si>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</si>
  <si>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</si>
  <si>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</si>
  <si>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</si>
  <si>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</si>
  <si>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</si>
  <si>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</si>
  <si>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</si>
  <si>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</si>
  <si>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</si>
  <si>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</si>
  <si>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</si>
  <si>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</si>
  <si>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</si>
  <si>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</si>
  <si>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</si>
  <si>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</si>
  <si>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</si>
  <si>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</si>
  <si>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</si>
  <si>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</si>
  <si>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</si>
  <si>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</si>
  <si>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</si>
  <si>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</si>
  <si>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</si>
  <si>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</si>
  <si>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</si>
  <si>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</si>
  <si>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</si>
  <si>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</si>
  <si>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</si>
  <si>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</si>
  <si>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</si>
  <si>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</si>
  <si>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</si>
  <si>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</si>
  <si>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</si>
  <si>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</si>
  <si>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</si>
  <si>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</si>
  <si>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</si>
  <si>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</si>
  <si>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</si>
  <si>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</si>
  <si>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</si>
  <si>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</si>
  <si>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</si>
  <si>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</si>
  <si>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</si>
  <si>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</si>
  <si>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</si>
  <si>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</si>
  <si>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</si>
  <si>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</si>
  <si>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</si>
  <si>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</si>
  <si>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</si>
  <si>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</si>
  <si>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</si>
  <si>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</si>
  <si>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</si>
  <si>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</si>
  <si>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</si>
  <si>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</si>
  <si>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</si>
  <si>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</si>
  <si>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</si>
  <si>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</si>
  <si>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</si>
  <si>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</si>
  <si>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</si>
  <si>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</si>
  <si>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</si>
  <si>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</si>
  <si>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</si>
  <si>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</si>
  <si>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</si>
  <si>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</si>
  <si>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</si>
  <si>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</si>
  <si>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</si>
  <si>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</si>
  <si>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</si>
  <si>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</si>
  <si>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</si>
  <si>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</si>
  <si>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</si>
  <si>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</si>
  <si>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</si>
  <si>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</si>
  <si>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</si>
  <si>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</si>
  <si>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</si>
  <si>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</si>
  <si>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</si>
  <si>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</si>
  <si>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</si>
  <si>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</si>
  <si>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</si>
  <si>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</si>
  <si>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</si>
  <si>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</si>
  <si>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</si>
  <si>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</si>
  <si>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</si>
  <si>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</si>
  <si>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</si>
  <si>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</si>
  <si>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</si>
  <si>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</si>
  <si>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</si>
  <si>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</si>
  <si>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</si>
  <si>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</si>
  <si>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</si>
  <si>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</si>
  <si>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</si>
  <si>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</si>
  <si>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</si>
  <si>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</si>
  <si>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</si>
  <si>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</si>
  <si>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</si>
  <si>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</si>
  <si>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</si>
  <si>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</si>
  <si>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</si>
  <si>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</si>
  <si>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</si>
  <si>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</si>
  <si>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</si>
  <si>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</si>
  <si>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</si>
  <si>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</si>
  <si>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</si>
  <si>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</si>
  <si>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</si>
  <si>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</si>
  <si>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</si>
  <si>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</si>
  <si>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</si>
  <si>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</si>
  <si>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</si>
  <si>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</si>
  <si>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</si>
  <si>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</si>
  <si>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</si>
  <si>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</si>
  <si>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</si>
  <si>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</si>
  <si>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</si>
  <si>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</si>
  <si>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</si>
  <si>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</si>
  <si>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</si>
  <si>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</si>
  <si>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</si>
  <si>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</si>
  <si>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</si>
  <si>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</si>
  <si>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</si>
  <si>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</si>
  <si>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</si>
  <si>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</si>
  <si>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</si>
  <si>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</si>
  <si>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</si>
  <si>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</si>
  <si>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</si>
  <si>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</si>
  <si>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</si>
  <si>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</si>
  <si>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</si>
  <si>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</si>
  <si>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</si>
  <si>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</si>
  <si>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</si>
  <si>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</si>
  <si>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</si>
  <si>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</si>
  <si>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</si>
  <si>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</si>
  <si>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</si>
  <si>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</si>
  <si>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</si>
  <si>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</si>
  <si>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</si>
  <si>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</si>
  <si>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</si>
  <si>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</si>
  <si>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</si>
  <si>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</si>
  <si>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</si>
  <si>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</si>
  <si>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</si>
  <si>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</si>
  <si>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</si>
  <si>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</si>
  <si>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</si>
  <si>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</si>
  <si>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</si>
  <si>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</si>
  <si>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</si>
  <si>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</si>
  <si>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</si>
  <si>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</si>
  <si>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</si>
  <si>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</si>
  <si>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</si>
  <si>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</si>
  <si>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</si>
  <si>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</si>
  <si>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</si>
  <si>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</si>
  <si>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</si>
  <si>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</si>
  <si>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</si>
  <si>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</si>
  <si>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</si>
  <si>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</si>
  <si>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</si>
  <si>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</si>
  <si>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</si>
  <si>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</si>
  <si>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</si>
  <si>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</si>
  <si>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</si>
  <si>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</si>
  <si>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</si>
  <si>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</si>
  <si>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</si>
  <si>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</si>
  <si>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</si>
  <si>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</si>
  <si>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</si>
  <si>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</si>
  <si>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</si>
  <si>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</si>
  <si>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</si>
  <si>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</si>
  <si>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</si>
  <si>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</si>
  <si>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</si>
  <si>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</si>
  <si>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</si>
  <si>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</si>
  <si>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</si>
  <si>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</si>
  <si>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</si>
  <si>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</si>
  <si>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</si>
  <si>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</si>
  <si>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</si>
  <si>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</si>
  <si>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</si>
  <si>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</si>
  <si>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</si>
  <si>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</si>
  <si>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</si>
  <si>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</si>
  <si>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</si>
  <si>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</si>
  <si>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</si>
  <si>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</si>
  <si>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</si>
  <si>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</si>
  <si>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</si>
  <si>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</si>
  <si>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</si>
  <si>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</si>
  <si>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</si>
  <si>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</si>
  <si>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</si>
  <si>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</si>
  <si>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</si>
  <si>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</si>
  <si>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</si>
  <si>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</si>
  <si>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</si>
  <si>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</si>
  <si>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</si>
  <si>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</si>
  <si>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</si>
  <si>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</si>
  <si>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</si>
  <si>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</si>
  <si>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</si>
  <si>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</si>
  <si>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</si>
  <si>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</si>
  <si>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</si>
  <si>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</si>
  <si>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</si>
  <si>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</si>
  <si>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</si>
  <si>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</si>
  <si>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</si>
  <si>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</si>
  <si>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</si>
  <si>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</si>
  <si>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</si>
  <si>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</si>
  <si>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</si>
  <si>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</si>
  <si>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</si>
  <si>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</si>
  <si>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</si>
  <si>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</si>
  <si>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</si>
  <si>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</si>
  <si>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</si>
  <si>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</si>
  <si>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</si>
  <si>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</si>
  <si>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</si>
  <si>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</si>
  <si>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</si>
  <si>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</si>
  <si>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</si>
  <si>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</si>
  <si>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</si>
  <si>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</si>
  <si>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</si>
  <si>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</si>
  <si>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</si>
  <si>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</si>
  <si>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</si>
  <si>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</si>
  <si>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</si>
  <si>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</si>
  <si>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</si>
  <si>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</si>
  <si>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</si>
  <si>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</si>
  <si>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</si>
  <si>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</si>
  <si>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</si>
  <si>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</si>
  <si>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</si>
  <si>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</si>
  <si>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</si>
  <si>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</si>
  <si>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</si>
  <si>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</si>
  <si>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</si>
  <si>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</si>
  <si>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</si>
  <si>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</si>
  <si>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</si>
  <si>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</si>
  <si>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</si>
  <si>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</si>
  <si>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</si>
  <si>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</si>
  <si>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</si>
  <si>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</si>
  <si>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</si>
  <si>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</si>
  <si>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</si>
  <si>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</si>
  <si>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</si>
  <si>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</si>
  <si>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</si>
  <si>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</si>
  <si>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</si>
  <si>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</si>
  <si>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</si>
  <si>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</si>
  <si>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</si>
  <si>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</si>
  <si>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</si>
  <si>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</si>
  <si>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</si>
  <si>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</si>
  <si>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</si>
  <si>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</si>
  <si>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</si>
  <si>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</si>
  <si>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</si>
  <si>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</si>
  <si>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</si>
  <si>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</si>
  <si>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</si>
  <si>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</si>
  <si>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</si>
  <si>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</si>
  <si>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</si>
  <si>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</si>
  <si>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</si>
  <si>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</si>
  <si>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</si>
  <si>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</si>
  <si>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</si>
  <si>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</si>
  <si>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</si>
  <si>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</si>
  <si>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</si>
  <si>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</si>
  <si>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</si>
  <si>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</si>
  <si>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</si>
  <si>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</si>
  <si>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</si>
  <si>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</si>
  <si>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</si>
  <si>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</si>
  <si>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</si>
  <si>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</si>
  <si>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</si>
  <si>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</si>
  <si>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</si>
  <si>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</si>
  <si>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</si>
  <si>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</si>
  <si>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</si>
  <si>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</si>
  <si>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</si>
  <si>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</si>
  <si>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</si>
  <si>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</si>
  <si>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</si>
  <si>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</si>
  <si>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</si>
  <si>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</si>
  <si>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</si>
  <si>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</si>
  <si>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</si>
  <si>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</si>
  <si>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</si>
  <si>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</si>
  <si>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</si>
  <si>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</si>
  <si>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</si>
  <si>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</si>
  <si>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</si>
  <si>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</si>
  <si>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</si>
  <si>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</si>
  <si>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</si>
  <si>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</si>
  <si>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</si>
  <si>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</si>
  <si>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</si>
  <si>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</si>
  <si>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</si>
  <si>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</si>
  <si>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</si>
  <si>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</si>
  <si>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</si>
  <si>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</si>
  <si>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</si>
  <si>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</si>
  <si>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</si>
  <si>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</si>
  <si>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</si>
  <si>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</si>
  <si>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</si>
  <si>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</si>
  <si>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</si>
  <si>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</si>
  <si>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</si>
  <si>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</si>
  <si>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</si>
  <si>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</si>
  <si>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</si>
  <si>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</si>
  <si>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</si>
  <si>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</si>
  <si>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</si>
  <si>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</si>
  <si>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</si>
  <si>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</si>
  <si>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</si>
  <si>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</si>
  <si>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</si>
  <si>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</si>
  <si>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</si>
  <si>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</si>
  <si>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</si>
  <si>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</si>
  <si>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</si>
  <si>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</si>
  <si>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</si>
  <si>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</si>
  <si>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</si>
  <si>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</si>
  <si>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</si>
  <si>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</si>
  <si>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</si>
  <si>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</si>
  <si>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</si>
  <si>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</si>
  <si>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</si>
  <si>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</si>
  <si>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</si>
  <si>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</si>
  <si>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</si>
  <si>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</si>
  <si>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</si>
  <si>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</si>
  <si>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</si>
  <si>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</si>
  <si>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</si>
  <si>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</si>
  <si>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</si>
  <si>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</si>
  <si>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</si>
  <si>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</si>
  <si>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</si>
  <si>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</si>
  <si>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</si>
  <si>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</si>
  <si>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</si>
  <si>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</si>
  <si>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</si>
  <si>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</si>
  <si>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</si>
  <si>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</si>
  <si>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</si>
  <si>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</si>
  <si>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</si>
  <si>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</si>
  <si>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</si>
  <si>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</si>
  <si>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</si>
  <si>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</si>
  <si>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</si>
  <si>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</si>
  <si>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</si>
  <si>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</si>
  <si>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</si>
  <si>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13017</t>
  </si>
  <si>
    <t>KASTERLEE</t>
  </si>
  <si>
    <t>referentietaak LNE (2017); Jaarverslag De Lijn</t>
  </si>
  <si>
    <t>Dierckx Jan &amp; Peter VVZRL</t>
  </si>
  <si>
    <t>Hazendonk 8 , 2460 Kasterlee</t>
  </si>
  <si>
    <t>WKK-0593 Dierckx</t>
  </si>
  <si>
    <t>interne verbrandingsmotor</t>
  </si>
  <si>
    <t>WKK interne verbrandinsgmotor (gas)</t>
  </si>
  <si>
    <t>IVEKA</t>
  </si>
  <si>
    <t>Woonzorgcentrum Aquamarijn</t>
  </si>
  <si>
    <t>WKK-0779 Woonzorgcentrum Aquamarijn</t>
  </si>
  <si>
    <t>Binnenpad 4, 2460 Kasterlee, BE</t>
  </si>
  <si>
    <t>IVEKA (via EANDIS)</t>
  </si>
  <si>
    <t>Aquafin NV</t>
  </si>
  <si>
    <t>Dijkstraat 8 , 2630 Aartselaar</t>
  </si>
  <si>
    <t>BGS-0045 RWZI Lichtaart</t>
  </si>
  <si>
    <t>biogas - RWZI</t>
  </si>
  <si>
    <t>niet WKK interne verbrandingsmotor (gas)</t>
  </si>
  <si>
    <t>Hoebenschot 200 , 2460 Lichtaart</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</si>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</sst>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178298.93749482074</c:v>
                </c:pt>
                <c:pt idx="1">
                  <c:v>53093.611699130997</c:v>
                </c:pt>
                <c:pt idx="2">
                  <c:v>813.94799999999998</c:v>
                </c:pt>
                <c:pt idx="3">
                  <c:v>17559.148884895305</c:v>
                </c:pt>
                <c:pt idx="4">
                  <c:v>19596.280098927753</c:v>
                </c:pt>
                <c:pt idx="5">
                  <c:v>101249.98810748401</c:v>
                </c:pt>
                <c:pt idx="6">
                  <c:v>1370.5987171698339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178298.93749482074</c:v>
                </c:pt>
                <c:pt idx="1">
                  <c:v>53093.611699130997</c:v>
                </c:pt>
                <c:pt idx="2">
                  <c:v>813.94799999999998</c:v>
                </c:pt>
                <c:pt idx="3">
                  <c:v>17559.148884895305</c:v>
                </c:pt>
                <c:pt idx="4">
                  <c:v>19596.280098927753</c:v>
                </c:pt>
                <c:pt idx="5">
                  <c:v>101249.98810748401</c:v>
                </c:pt>
                <c:pt idx="6">
                  <c:v>1370.5987171698339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28338.404557504007</c:v>
                </c:pt>
                <c:pt idx="1">
                  <c:v>10752.201341671333</c:v>
                </c:pt>
                <c:pt idx="2">
                  <c:v>154.21444432174508</c:v>
                </c:pt>
                <c:pt idx="3">
                  <c:v>4457.6864495620584</c:v>
                </c:pt>
                <c:pt idx="4">
                  <c:v>3766.1393343157674</c:v>
                </c:pt>
                <c:pt idx="5">
                  <c:v>25118.207639211691</c:v>
                </c:pt>
                <c:pt idx="6">
                  <c:v>347.11350185791758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28338.404557504007</c:v>
                </c:pt>
                <c:pt idx="1">
                  <c:v>10752.201341671333</c:v>
                </c:pt>
                <c:pt idx="2">
                  <c:v>154.21444432174508</c:v>
                </c:pt>
                <c:pt idx="3">
                  <c:v>4457.6864495620584</c:v>
                </c:pt>
                <c:pt idx="4">
                  <c:v>3766.1393343157674</c:v>
                </c:pt>
                <c:pt idx="5">
                  <c:v>25118.207639211691</c:v>
                </c:pt>
                <c:pt idx="6">
                  <c:v>347.11350185791758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13017</v>
      </c>
      <c r="B6" s="392"/>
      <c r="C6" s="393"/>
    </row>
    <row r="7" spans="1:7" s="390" customFormat="1" ht="15.75" customHeight="1">
      <c r="A7" s="394" t="str">
        <f>txtMunicipality</f>
        <v>KASTERLEE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0.18946473770037531</v>
      </c>
      <c r="C17" s="504">
        <f ca="1">'EF ele_warmte'!B22</f>
        <v>0.16003168944345419</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0.18946473770037531</v>
      </c>
      <c r="C29" s="505">
        <f ca="1">'EF ele_warmte'!B22</f>
        <v>0.16003168944345419</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7670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3059.8</v>
      </c>
      <c r="C14" s="332"/>
      <c r="D14" s="332"/>
      <c r="E14" s="332"/>
      <c r="F14" s="332"/>
    </row>
    <row r="15" spans="1:6">
      <c r="A15" s="1310" t="s">
        <v>183</v>
      </c>
      <c r="B15" s="1311">
        <v>10624</v>
      </c>
      <c r="C15" s="332"/>
      <c r="D15" s="332"/>
      <c r="E15" s="332"/>
      <c r="F15" s="332"/>
    </row>
    <row r="16" spans="1:6">
      <c r="A16" s="1310" t="s">
        <v>6</v>
      </c>
      <c r="B16" s="1311">
        <v>3071</v>
      </c>
      <c r="C16" s="332"/>
      <c r="D16" s="332"/>
      <c r="E16" s="332"/>
      <c r="F16" s="332"/>
    </row>
    <row r="17" spans="1:6">
      <c r="A17" s="1310" t="s">
        <v>7</v>
      </c>
      <c r="B17" s="1311">
        <v>276</v>
      </c>
      <c r="C17" s="332"/>
      <c r="D17" s="332"/>
      <c r="E17" s="332"/>
      <c r="F17" s="332"/>
    </row>
    <row r="18" spans="1:6">
      <c r="A18" s="1310" t="s">
        <v>8</v>
      </c>
      <c r="B18" s="1311">
        <v>1533</v>
      </c>
      <c r="C18" s="332"/>
      <c r="D18" s="332"/>
      <c r="E18" s="332"/>
      <c r="F18" s="332"/>
    </row>
    <row r="19" spans="1:6">
      <c r="A19" s="1310" t="s">
        <v>9</v>
      </c>
      <c r="B19" s="1311">
        <v>1461</v>
      </c>
      <c r="C19" s="332"/>
      <c r="D19" s="332"/>
      <c r="E19" s="332"/>
      <c r="F19" s="332"/>
    </row>
    <row r="20" spans="1:6">
      <c r="A20" s="1310" t="s">
        <v>10</v>
      </c>
      <c r="B20" s="1311">
        <v>562</v>
      </c>
      <c r="C20" s="332"/>
      <c r="D20" s="332"/>
      <c r="E20" s="332"/>
      <c r="F20" s="332"/>
    </row>
    <row r="21" spans="1:6">
      <c r="A21" s="1310" t="s">
        <v>11</v>
      </c>
      <c r="B21" s="1311">
        <v>10939</v>
      </c>
      <c r="C21" s="332"/>
      <c r="D21" s="332"/>
      <c r="E21" s="332"/>
      <c r="F21" s="332"/>
    </row>
    <row r="22" spans="1:6">
      <c r="A22" s="1310" t="s">
        <v>12</v>
      </c>
      <c r="B22" s="1311">
        <v>27805</v>
      </c>
      <c r="C22" s="332"/>
      <c r="D22" s="332"/>
      <c r="E22" s="332"/>
      <c r="F22" s="332"/>
    </row>
    <row r="23" spans="1:6">
      <c r="A23" s="1310" t="s">
        <v>13</v>
      </c>
      <c r="B23" s="1311">
        <v>520</v>
      </c>
      <c r="C23" s="332"/>
      <c r="D23" s="332"/>
      <c r="E23" s="332"/>
      <c r="F23" s="332"/>
    </row>
    <row r="24" spans="1:6">
      <c r="A24" s="1310" t="s">
        <v>14</v>
      </c>
      <c r="B24" s="1311">
        <v>8</v>
      </c>
      <c r="C24" s="332"/>
      <c r="D24" s="332"/>
      <c r="E24" s="332"/>
      <c r="F24" s="332"/>
    </row>
    <row r="25" spans="1:6">
      <c r="A25" s="1310" t="s">
        <v>15</v>
      </c>
      <c r="B25" s="1311">
        <v>2526</v>
      </c>
      <c r="C25" s="332"/>
      <c r="D25" s="332"/>
      <c r="E25" s="332"/>
      <c r="F25" s="332"/>
    </row>
    <row r="26" spans="1:6">
      <c r="A26" s="1310" t="s">
        <v>16</v>
      </c>
      <c r="B26" s="1311">
        <v>143</v>
      </c>
      <c r="C26" s="332"/>
      <c r="D26" s="332"/>
      <c r="E26" s="332"/>
      <c r="F26" s="332"/>
    </row>
    <row r="27" spans="1:6">
      <c r="A27" s="1310" t="s">
        <v>17</v>
      </c>
      <c r="B27" s="1311">
        <v>683</v>
      </c>
      <c r="C27" s="332"/>
      <c r="D27" s="332"/>
      <c r="E27" s="332"/>
      <c r="F27" s="332"/>
    </row>
    <row r="28" spans="1:6" s="43" customFormat="1">
      <c r="A28" s="1312" t="s">
        <v>18</v>
      </c>
      <c r="B28" s="1313">
        <v>523745</v>
      </c>
      <c r="C28" s="338"/>
      <c r="D28" s="338"/>
      <c r="E28" s="338"/>
      <c r="F28" s="338"/>
    </row>
    <row r="29" spans="1:6">
      <c r="A29" s="1312" t="s">
        <v>699</v>
      </c>
      <c r="B29" s="1313">
        <v>297</v>
      </c>
      <c r="C29" s="338"/>
      <c r="D29" s="338"/>
      <c r="E29" s="338"/>
      <c r="F29" s="338"/>
    </row>
    <row r="30" spans="1:6">
      <c r="A30" s="1305" t="s">
        <v>700</v>
      </c>
      <c r="B30" s="1314">
        <v>62</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1184855.7876119299</v>
      </c>
    </row>
    <row r="37" spans="1:6">
      <c r="A37" s="1310" t="s">
        <v>24</v>
      </c>
      <c r="B37" s="1310" t="s">
        <v>27</v>
      </c>
      <c r="C37" s="1311">
        <v>0</v>
      </c>
      <c r="D37" s="1311">
        <v>0</v>
      </c>
      <c r="E37" s="1311">
        <v>0</v>
      </c>
      <c r="F37" s="1311">
        <v>0</v>
      </c>
    </row>
    <row r="38" spans="1:6">
      <c r="A38" s="1310" t="s">
        <v>24</v>
      </c>
      <c r="B38" s="1310" t="s">
        <v>28</v>
      </c>
      <c r="C38" s="1311">
        <v>1</v>
      </c>
      <c r="D38" s="1311">
        <v>79508.642773822197</v>
      </c>
      <c r="E38" s="1311">
        <v>2</v>
      </c>
      <c r="F38" s="1311">
        <v>3821.8519701639998</v>
      </c>
    </row>
    <row r="39" spans="1:6">
      <c r="A39" s="1310" t="s">
        <v>29</v>
      </c>
      <c r="B39" s="1310" t="s">
        <v>30</v>
      </c>
      <c r="C39" s="1311">
        <v>4578</v>
      </c>
      <c r="D39" s="1311">
        <v>73172192.448505297</v>
      </c>
      <c r="E39" s="1311">
        <v>7506</v>
      </c>
      <c r="F39" s="1311">
        <v>24590389.562491599</v>
      </c>
    </row>
    <row r="40" spans="1:6">
      <c r="A40" s="1310" t="s">
        <v>29</v>
      </c>
      <c r="B40" s="1310" t="s">
        <v>28</v>
      </c>
      <c r="C40" s="1311">
        <v>0</v>
      </c>
      <c r="D40" s="1311">
        <v>0</v>
      </c>
      <c r="E40" s="1311">
        <v>0</v>
      </c>
      <c r="F40" s="1311">
        <v>0</v>
      </c>
    </row>
    <row r="41" spans="1:6">
      <c r="A41" s="1310" t="s">
        <v>31</v>
      </c>
      <c r="B41" s="1310" t="s">
        <v>32</v>
      </c>
      <c r="C41" s="1311">
        <v>69</v>
      </c>
      <c r="D41" s="1311">
        <v>1516262.6019482701</v>
      </c>
      <c r="E41" s="1311">
        <v>174</v>
      </c>
      <c r="F41" s="1311">
        <v>1712635.7669348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14</v>
      </c>
      <c r="D44" s="1311">
        <v>351798.67131914402</v>
      </c>
      <c r="E44" s="1311">
        <v>26</v>
      </c>
      <c r="F44" s="1311">
        <v>372058.65842953703</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5</v>
      </c>
      <c r="F47" s="1311">
        <v>97332.889221281803</v>
      </c>
    </row>
    <row r="48" spans="1:6">
      <c r="A48" s="1310" t="s">
        <v>31</v>
      </c>
      <c r="B48" s="1310" t="s">
        <v>28</v>
      </c>
      <c r="C48" s="1311">
        <v>3</v>
      </c>
      <c r="D48" s="1311">
        <v>101151.814799417</v>
      </c>
      <c r="E48" s="1311">
        <v>3</v>
      </c>
      <c r="F48" s="1311">
        <v>17615.693729193401</v>
      </c>
    </row>
    <row r="49" spans="1:6">
      <c r="A49" s="1310" t="s">
        <v>31</v>
      </c>
      <c r="B49" s="1310" t="s">
        <v>39</v>
      </c>
      <c r="C49" s="1311">
        <v>0</v>
      </c>
      <c r="D49" s="1311">
        <v>0</v>
      </c>
      <c r="E49" s="1311">
        <v>0</v>
      </c>
      <c r="F49" s="1311">
        <v>0</v>
      </c>
    </row>
    <row r="50" spans="1:6">
      <c r="A50" s="1310" t="s">
        <v>31</v>
      </c>
      <c r="B50" s="1310" t="s">
        <v>40</v>
      </c>
      <c r="C50" s="1311">
        <v>10</v>
      </c>
      <c r="D50" s="1311">
        <v>1708004.6771595301</v>
      </c>
      <c r="E50" s="1311">
        <v>17</v>
      </c>
      <c r="F50" s="1311">
        <v>12307400.113080001</v>
      </c>
    </row>
    <row r="51" spans="1:6">
      <c r="A51" s="1310" t="s">
        <v>41</v>
      </c>
      <c r="B51" s="1310" t="s">
        <v>42</v>
      </c>
      <c r="C51" s="1311">
        <v>8</v>
      </c>
      <c r="D51" s="1311">
        <v>159636.20768508001</v>
      </c>
      <c r="E51" s="1311">
        <v>144</v>
      </c>
      <c r="F51" s="1311">
        <v>3818647.8974923398</v>
      </c>
    </row>
    <row r="52" spans="1:6">
      <c r="A52" s="1310" t="s">
        <v>41</v>
      </c>
      <c r="B52" s="1310" t="s">
        <v>28</v>
      </c>
      <c r="C52" s="1311">
        <v>0</v>
      </c>
      <c r="D52" s="1311">
        <v>0</v>
      </c>
      <c r="E52" s="1311">
        <v>0</v>
      </c>
      <c r="F52" s="1311">
        <v>0</v>
      </c>
    </row>
    <row r="53" spans="1:6">
      <c r="A53" s="1310" t="s">
        <v>43</v>
      </c>
      <c r="B53" s="1310" t="s">
        <v>44</v>
      </c>
      <c r="C53" s="1311">
        <v>84</v>
      </c>
      <c r="D53" s="1311">
        <v>1636381.0444519499</v>
      </c>
      <c r="E53" s="1311">
        <v>244</v>
      </c>
      <c r="F53" s="1311">
        <v>1013586.7839098501</v>
      </c>
    </row>
    <row r="54" spans="1:6">
      <c r="A54" s="1310" t="s">
        <v>45</v>
      </c>
      <c r="B54" s="1310" t="s">
        <v>46</v>
      </c>
      <c r="C54" s="1311">
        <v>0</v>
      </c>
      <c r="D54" s="1311">
        <v>0</v>
      </c>
      <c r="E54" s="1311">
        <v>1</v>
      </c>
      <c r="F54" s="1311">
        <v>813948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48</v>
      </c>
      <c r="D57" s="1311">
        <v>3197738.6240293598</v>
      </c>
      <c r="E57" s="1311">
        <v>116</v>
      </c>
      <c r="F57" s="1311">
        <v>6367715.0699910903</v>
      </c>
    </row>
    <row r="58" spans="1:6">
      <c r="A58" s="1310" t="s">
        <v>48</v>
      </c>
      <c r="B58" s="1310" t="s">
        <v>50</v>
      </c>
      <c r="C58" s="1311">
        <v>44</v>
      </c>
      <c r="D58" s="1311">
        <v>3691071.6340200198</v>
      </c>
      <c r="E58" s="1311">
        <v>65</v>
      </c>
      <c r="F58" s="1311">
        <v>1473279.82700775</v>
      </c>
    </row>
    <row r="59" spans="1:6">
      <c r="A59" s="1310" t="s">
        <v>48</v>
      </c>
      <c r="B59" s="1310" t="s">
        <v>51</v>
      </c>
      <c r="C59" s="1311">
        <v>114</v>
      </c>
      <c r="D59" s="1311">
        <v>2871443.6310489099</v>
      </c>
      <c r="E59" s="1311">
        <v>210</v>
      </c>
      <c r="F59" s="1311">
        <v>4532062.98631211</v>
      </c>
    </row>
    <row r="60" spans="1:6">
      <c r="A60" s="1310" t="s">
        <v>48</v>
      </c>
      <c r="B60" s="1310" t="s">
        <v>52</v>
      </c>
      <c r="C60" s="1311">
        <v>95</v>
      </c>
      <c r="D60" s="1311">
        <v>10163458.273686601</v>
      </c>
      <c r="E60" s="1311">
        <v>132</v>
      </c>
      <c r="F60" s="1311">
        <v>4441694.0926057901</v>
      </c>
    </row>
    <row r="61" spans="1:6">
      <c r="A61" s="1310" t="s">
        <v>48</v>
      </c>
      <c r="B61" s="1310" t="s">
        <v>53</v>
      </c>
      <c r="C61" s="1311">
        <v>182</v>
      </c>
      <c r="D61" s="1311">
        <v>6379675.44800827</v>
      </c>
      <c r="E61" s="1311">
        <v>417</v>
      </c>
      <c r="F61" s="1311">
        <v>4659115.32059641</v>
      </c>
    </row>
    <row r="62" spans="1:6">
      <c r="A62" s="1310" t="s">
        <v>48</v>
      </c>
      <c r="B62" s="1310" t="s">
        <v>54</v>
      </c>
      <c r="C62" s="1311">
        <v>13</v>
      </c>
      <c r="D62" s="1311">
        <v>828870.76804180897</v>
      </c>
      <c r="E62" s="1311">
        <v>24</v>
      </c>
      <c r="F62" s="1311">
        <v>380196.368704102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3</v>
      </c>
      <c r="D65" s="1311">
        <v>267863.95632121101</v>
      </c>
      <c r="E65" s="1311">
        <v>0</v>
      </c>
      <c r="F65" s="1311">
        <v>0</v>
      </c>
    </row>
    <row r="66" spans="1:6">
      <c r="A66" s="1310" t="s">
        <v>55</v>
      </c>
      <c r="B66" s="1310" t="s">
        <v>57</v>
      </c>
      <c r="C66" s="1311">
        <v>0</v>
      </c>
      <c r="D66" s="1311">
        <v>0</v>
      </c>
      <c r="E66" s="1311">
        <v>12</v>
      </c>
      <c r="F66" s="1311">
        <v>639757.49880518101</v>
      </c>
    </row>
    <row r="67" spans="1:6">
      <c r="A67" s="1312" t="s">
        <v>55</v>
      </c>
      <c r="B67" s="1312" t="s">
        <v>58</v>
      </c>
      <c r="C67" s="1311">
        <v>0</v>
      </c>
      <c r="D67" s="1311">
        <v>0</v>
      </c>
      <c r="E67" s="1311">
        <v>0</v>
      </c>
      <c r="F67" s="1311">
        <v>0</v>
      </c>
    </row>
    <row r="68" spans="1:6">
      <c r="A68" s="1305" t="s">
        <v>55</v>
      </c>
      <c r="B68" s="1305" t="s">
        <v>59</v>
      </c>
      <c r="C68" s="1314">
        <v>0</v>
      </c>
      <c r="D68" s="1314">
        <v>0</v>
      </c>
      <c r="E68" s="1314">
        <v>7</v>
      </c>
      <c r="F68" s="1314">
        <v>44710.139686643997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100414727</v>
      </c>
      <c r="E73" s="453"/>
      <c r="F73" s="332"/>
    </row>
    <row r="74" spans="1:6">
      <c r="A74" s="1310" t="s">
        <v>63</v>
      </c>
      <c r="B74" s="1310" t="s">
        <v>648</v>
      </c>
      <c r="C74" s="1324" t="s">
        <v>650</v>
      </c>
      <c r="D74" s="1325">
        <v>6430176.6020596474</v>
      </c>
      <c r="E74" s="453"/>
      <c r="F74" s="332"/>
    </row>
    <row r="75" spans="1:6">
      <c r="A75" s="1310" t="s">
        <v>64</v>
      </c>
      <c r="B75" s="1310" t="s">
        <v>647</v>
      </c>
      <c r="C75" s="1324" t="s">
        <v>651</v>
      </c>
      <c r="D75" s="1325">
        <v>20410236</v>
      </c>
      <c r="E75" s="453"/>
      <c r="F75" s="332"/>
    </row>
    <row r="76" spans="1:6">
      <c r="A76" s="1310" t="s">
        <v>64</v>
      </c>
      <c r="B76" s="1310" t="s">
        <v>648</v>
      </c>
      <c r="C76" s="1324" t="s">
        <v>652</v>
      </c>
      <c r="D76" s="1325">
        <v>910393.60205964698</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380170.79588070599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7868.545939194576</v>
      </c>
      <c r="C91" s="332"/>
      <c r="D91" s="332"/>
      <c r="E91" s="332"/>
      <c r="F91" s="332"/>
    </row>
    <row r="92" spans="1:6">
      <c r="A92" s="1305" t="s">
        <v>68</v>
      </c>
      <c r="B92" s="1306">
        <v>1595.2701446503979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2144</v>
      </c>
      <c r="C97" s="332"/>
      <c r="D97" s="332"/>
      <c r="E97" s="332"/>
      <c r="F97" s="332"/>
    </row>
    <row r="98" spans="1:6">
      <c r="A98" s="1310" t="s">
        <v>71</v>
      </c>
      <c r="B98" s="1311">
        <v>12</v>
      </c>
      <c r="C98" s="332"/>
      <c r="D98" s="332"/>
      <c r="E98" s="332"/>
      <c r="F98" s="332"/>
    </row>
    <row r="99" spans="1:6">
      <c r="A99" s="1310" t="s">
        <v>72</v>
      </c>
      <c r="B99" s="1311">
        <v>63</v>
      </c>
      <c r="C99" s="332"/>
      <c r="D99" s="332"/>
      <c r="E99" s="332"/>
      <c r="F99" s="332"/>
    </row>
    <row r="100" spans="1:6">
      <c r="A100" s="1310" t="s">
        <v>73</v>
      </c>
      <c r="B100" s="1311">
        <v>245</v>
      </c>
      <c r="C100" s="332"/>
      <c r="D100" s="332"/>
      <c r="E100" s="332"/>
      <c r="F100" s="332"/>
    </row>
    <row r="101" spans="1:6">
      <c r="A101" s="1310" t="s">
        <v>74</v>
      </c>
      <c r="B101" s="1311">
        <v>193</v>
      </c>
      <c r="C101" s="332"/>
      <c r="D101" s="332"/>
      <c r="E101" s="332"/>
      <c r="F101" s="332"/>
    </row>
    <row r="102" spans="1:6">
      <c r="A102" s="1310" t="s">
        <v>75</v>
      </c>
      <c r="B102" s="1311">
        <v>70</v>
      </c>
      <c r="C102" s="332"/>
      <c r="D102" s="332"/>
      <c r="E102" s="332"/>
      <c r="F102" s="332"/>
    </row>
    <row r="103" spans="1:6">
      <c r="A103" s="1310" t="s">
        <v>76</v>
      </c>
      <c r="B103" s="1311">
        <v>116</v>
      </c>
      <c r="C103" s="332"/>
      <c r="D103" s="332"/>
      <c r="E103" s="332"/>
      <c r="F103" s="332"/>
    </row>
    <row r="104" spans="1:6">
      <c r="A104" s="1310" t="s">
        <v>77</v>
      </c>
      <c r="B104" s="1311">
        <v>3477</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70</v>
      </c>
      <c r="C123" s="1311">
        <v>60</v>
      </c>
      <c r="D123" s="332"/>
      <c r="E123" s="332"/>
      <c r="F123" s="332"/>
    </row>
    <row r="124" spans="1:6" s="43" customFormat="1">
      <c r="A124" s="1312" t="s">
        <v>88</v>
      </c>
      <c r="B124" s="1333">
        <v>4</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278</v>
      </c>
      <c r="C129" s="332"/>
      <c r="D129" s="332"/>
      <c r="E129" s="332"/>
      <c r="F129" s="332"/>
    </row>
    <row r="130" spans="1:6">
      <c r="A130" s="1310" t="s">
        <v>294</v>
      </c>
      <c r="B130" s="1311">
        <v>8</v>
      </c>
      <c r="C130" s="332"/>
      <c r="D130" s="332"/>
      <c r="E130" s="332"/>
      <c r="F130" s="332"/>
    </row>
    <row r="131" spans="1:6">
      <c r="A131" s="1310" t="s">
        <v>295</v>
      </c>
      <c r="B131" s="1311">
        <v>1</v>
      </c>
      <c r="C131" s="332"/>
      <c r="D131" s="332"/>
      <c r="E131" s="332"/>
      <c r="F131" s="332"/>
    </row>
    <row r="132" spans="1:6">
      <c r="A132" s="1305" t="s">
        <v>296</v>
      </c>
      <c r="B132" s="1306">
        <v>58</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75978.843824747077</v>
      </c>
      <c r="C3" s="43" t="s">
        <v>169</v>
      </c>
      <c r="D3" s="43"/>
      <c r="E3" s="154"/>
      <c r="F3" s="43"/>
      <c r="G3" s="43"/>
      <c r="H3" s="43"/>
      <c r="I3" s="43"/>
      <c r="J3" s="43"/>
      <c r="K3" s="96"/>
    </row>
    <row r="4" spans="1:11">
      <c r="A4" s="360" t="s">
        <v>170</v>
      </c>
      <c r="B4" s="49">
        <f>IF(ISERROR('SEAP template'!B78+'SEAP template'!C78),0,'SEAP template'!B78+'SEAP template'!C78)</f>
        <v>10938.466083844973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21.388235294117646</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0.18946473770037531</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30.554621848739504</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190.92857142857144</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0.16003168944345419</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813.94799999999998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813.94799999999998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0.18946473770037531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154.21444432174508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24590.3895624916</v>
      </c>
      <c r="C5" s="17">
        <f>IF(ISERROR('Eigen informatie GS &amp; warmtenet'!B59),0,'Eigen informatie GS &amp; warmtenet'!B59)</f>
        <v>0</v>
      </c>
      <c r="D5" s="30">
        <f>(SUM(HH_hh_gas_kWh,HH_rest_gas_kWh)/1000)*0.903</f>
        <v>66074.489781000288</v>
      </c>
      <c r="E5" s="17">
        <f>B46*B57</f>
        <v>7568.0699407581887</v>
      </c>
      <c r="F5" s="17">
        <f>B51*B62</f>
        <v>26680.082563031716</v>
      </c>
      <c r="G5" s="18"/>
      <c r="H5" s="17"/>
      <c r="I5" s="17"/>
      <c r="J5" s="17">
        <f>B50*B61+C50*C61</f>
        <v>0</v>
      </c>
      <c r="K5" s="17"/>
      <c r="L5" s="17"/>
      <c r="M5" s="17"/>
      <c r="N5" s="17">
        <f>B48*B59+C48*C59</f>
        <v>43456.299201577145</v>
      </c>
      <c r="O5" s="17">
        <f>B69*B70*B71</f>
        <v>670.57787815281677</v>
      </c>
      <c r="P5" s="17">
        <f>B77*B78*B79/1000-B77*B78*B79/1000/B80</f>
        <v>1390.482628614423</v>
      </c>
    </row>
    <row r="6" spans="1:16">
      <c r="A6" s="16" t="s">
        <v>612</v>
      </c>
      <c r="B6" s="786">
        <f>kWh_PV_kleiner_dan_10kW</f>
        <v>7868.545939194576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32458.935501686177</v>
      </c>
      <c r="C8" s="21">
        <f>C5</f>
        <v>0</v>
      </c>
      <c r="D8" s="21">
        <f>D5</f>
        <v>66074.489781000288</v>
      </c>
      <c r="E8" s="21">
        <f>E5</f>
        <v>7568.0699407581887</v>
      </c>
      <c r="F8" s="21">
        <f>F5</f>
        <v>26680.082563031716</v>
      </c>
      <c r="G8" s="21"/>
      <c r="H8" s="21"/>
      <c r="I8" s="21"/>
      <c r="J8" s="21">
        <f>J5</f>
        <v>0</v>
      </c>
      <c r="K8" s="21"/>
      <c r="L8" s="21">
        <f>L5</f>
        <v>0</v>
      </c>
      <c r="M8" s="21">
        <f>M5</f>
        <v>0</v>
      </c>
      <c r="N8" s="21">
        <f>N5</f>
        <v>43456.299201577145</v>
      </c>
      <c r="O8" s="21">
        <f>O5</f>
        <v>670.57787815281677</v>
      </c>
      <c r="P8" s="21">
        <f>P5</f>
        <v>1390.482628614423</v>
      </c>
    </row>
    <row r="9" spans="1:16">
      <c r="B9" s="19"/>
      <c r="C9" s="19"/>
      <c r="D9" s="258"/>
      <c r="E9" s="19"/>
      <c r="F9" s="19"/>
      <c r="G9" s="19"/>
      <c r="H9" s="19"/>
      <c r="I9" s="19"/>
      <c r="J9" s="19"/>
      <c r="K9" s="19"/>
      <c r="L9" s="19"/>
      <c r="M9" s="19"/>
      <c r="N9" s="19"/>
      <c r="O9" s="19"/>
      <c r="P9" s="19"/>
    </row>
    <row r="10" spans="1:16">
      <c r="A10" s="24" t="s">
        <v>213</v>
      </c>
      <c r="B10" s="25">
        <f ca="1">'EF ele_warmte'!B12</f>
        <v>0.18946473770037531</v>
      </c>
      <c r="C10" s="25">
        <f ca="1">'EF ele_warmte'!B22</f>
        <v>0.16003168944345419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6149.8237008603719</v>
      </c>
      <c r="C12" s="23">
        <f ca="1">C10*C8</f>
        <v>0</v>
      </c>
      <c r="D12" s="23">
        <f>D8*D10</f>
        <v>13347.046935762059</v>
      </c>
      <c r="E12" s="23">
        <f>E10*E8</f>
        <v>1717.9518765521088</v>
      </c>
      <c r="F12" s="23">
        <f>F10*F8</f>
        <v>7123.5820443294688</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2144</v>
      </c>
      <c r="C18" s="166" t="s">
        <v>110</v>
      </c>
      <c r="D18" s="228"/>
      <c r="E18" s="15"/>
    </row>
    <row r="19" spans="1:7">
      <c r="A19" s="171" t="s">
        <v>71</v>
      </c>
      <c r="B19" s="37">
        <f>aantalw2001_ander</f>
        <v>12</v>
      </c>
      <c r="C19" s="166" t="s">
        <v>110</v>
      </c>
      <c r="D19" s="229"/>
      <c r="E19" s="15"/>
    </row>
    <row r="20" spans="1:7">
      <c r="A20" s="171" t="s">
        <v>72</v>
      </c>
      <c r="B20" s="37">
        <f>aantalw2001_propaan</f>
        <v>63</v>
      </c>
      <c r="C20" s="167">
        <f>IF(ISERROR(B20/SUM($B$20,$B$21,$B$22)*100),0,B20/SUM($B$20,$B$21,$B$22)*100)</f>
        <v>12.574850299401197</v>
      </c>
      <c r="D20" s="229"/>
      <c r="E20" s="15"/>
    </row>
    <row r="21" spans="1:7">
      <c r="A21" s="171" t="s">
        <v>73</v>
      </c>
      <c r="B21" s="37">
        <f>aantalw2001_elektriciteit</f>
        <v>245</v>
      </c>
      <c r="C21" s="167">
        <f>IF(ISERROR(B21/SUM($B$20,$B$21,$B$22)*100),0,B21/SUM($B$20,$B$21,$B$22)*100)</f>
        <v>48.902195608782435</v>
      </c>
      <c r="D21" s="229"/>
      <c r="E21" s="15"/>
    </row>
    <row r="22" spans="1:7">
      <c r="A22" s="171" t="s">
        <v>74</v>
      </c>
      <c r="B22" s="37">
        <f>aantalw2001_hout</f>
        <v>193</v>
      </c>
      <c r="C22" s="167">
        <f>IF(ISERROR(B22/SUM($B$20,$B$21,$B$22)*100),0,B22/SUM($B$20,$B$21,$B$22)*100)</f>
        <v>38.522954091816366</v>
      </c>
      <c r="D22" s="229"/>
      <c r="E22" s="15"/>
    </row>
    <row r="23" spans="1:7">
      <c r="A23" s="171" t="s">
        <v>75</v>
      </c>
      <c r="B23" s="37">
        <f>aantalw2001_niet_gespec</f>
        <v>70</v>
      </c>
      <c r="C23" s="166" t="s">
        <v>110</v>
      </c>
      <c r="D23" s="228"/>
      <c r="E23" s="15"/>
    </row>
    <row r="24" spans="1:7">
      <c r="A24" s="171" t="s">
        <v>76</v>
      </c>
      <c r="B24" s="37">
        <f>aantalw2001_steenkool</f>
        <v>116</v>
      </c>
      <c r="C24" s="166" t="s">
        <v>110</v>
      </c>
      <c r="D24" s="229"/>
      <c r="E24" s="15"/>
    </row>
    <row r="25" spans="1:7">
      <c r="A25" s="171" t="s">
        <v>77</v>
      </c>
      <c r="B25" s="37">
        <f>aantalw2001_stookolie</f>
        <v>3477</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7670</v>
      </c>
      <c r="C28" s="36"/>
      <c r="D28" s="228"/>
    </row>
    <row r="29" spans="1:7" s="15" customFormat="1">
      <c r="A29" s="230" t="s">
        <v>839</v>
      </c>
      <c r="B29" s="37">
        <f>SUM(HH_hh_gas_aantal,HH_rest_gas_aantal)</f>
        <v>4578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4578</v>
      </c>
      <c r="C32" s="167">
        <f>IF(ISERROR(B32/SUM($B$32,$B$34,$B$35,$B$36,$B$38,$B$39)*100),0,B32/SUM($B$32,$B$34,$B$35,$B$36,$B$38,$B$39)*100)</f>
        <v>60.732289732024412</v>
      </c>
      <c r="D32" s="233"/>
      <c r="G32" s="15"/>
    </row>
    <row r="33" spans="1:7">
      <c r="A33" s="171" t="s">
        <v>71</v>
      </c>
      <c r="B33" s="34" t="s">
        <v>110</v>
      </c>
      <c r="C33" s="167"/>
      <c r="D33" s="233"/>
      <c r="G33" s="15"/>
    </row>
    <row r="34" spans="1:7">
      <c r="A34" s="171" t="s">
        <v>72</v>
      </c>
      <c r="B34" s="33">
        <f>IF((($B$28-$B$32-$B$39-$B$77-$B$38)*C20/100)&lt;0,0,($B$28-$B$32-$B$39-$B$77-$B$38)*C20/100)</f>
        <v>210.45269461077842</v>
      </c>
      <c r="C34" s="167">
        <f>IF(ISERROR(B34/SUM($B$32,$B$34,$B$35,$B$36,$B$38,$B$39)*100),0,B34/SUM($B$32,$B$34,$B$35,$B$36,$B$38,$B$39)*100)</f>
        <v>2.791890350368512</v>
      </c>
      <c r="D34" s="233"/>
      <c r="G34" s="15"/>
    </row>
    <row r="35" spans="1:7">
      <c r="A35" s="171" t="s">
        <v>73</v>
      </c>
      <c r="B35" s="33">
        <f>IF((($B$28-$B$32-$B$39-$B$77-$B$38)*C21/100)&lt;0,0,($B$28-$B$32-$B$39-$B$77-$B$38)*C21/100)</f>
        <v>818.42714570858288</v>
      </c>
      <c r="C35" s="167">
        <f>IF(ISERROR(B35/SUM($B$32,$B$34,$B$35,$B$36,$B$38,$B$39)*100),0,B35/SUM($B$32,$B$34,$B$35,$B$36,$B$38,$B$39)*100)</f>
        <v>10.857351362544215</v>
      </c>
      <c r="D35" s="233"/>
      <c r="G35" s="15"/>
    </row>
    <row r="36" spans="1:7">
      <c r="A36" s="171" t="s">
        <v>74</v>
      </c>
      <c r="B36" s="33">
        <f>IF((($B$28-$B$32-$B$39-$B$77-$B$38)*C22/100)&lt;0,0,($B$28-$B$32-$B$39-$B$77-$B$38)*C22/100)</f>
        <v>644.72015968063863</v>
      </c>
      <c r="C36" s="167">
        <f>IF(ISERROR(B36/SUM($B$32,$B$34,$B$35,$B$36,$B$38,$B$39)*100),0,B36/SUM($B$32,$B$34,$B$35,$B$36,$B$38,$B$39)*100)</f>
        <v>8.552933930494012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1286.4000000000001</v>
      </c>
      <c r="C39" s="167">
        <f>IF(ISERROR(B39/SUM($B$32,$B$34,$B$35,$B$36,$B$38,$B$39)*100),0,B39/SUM($B$32,$B$34,$B$35,$B$36,$B$38,$B$39)*100)</f>
        <v>17.065534624568851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4578</v>
      </c>
      <c r="C44" s="34" t="s">
        <v>110</v>
      </c>
      <c r="D44" s="174"/>
    </row>
    <row r="45" spans="1:7">
      <c r="A45" s="171" t="s">
        <v>71</v>
      </c>
      <c r="B45" s="33" t="str">
        <f t="shared" si="0"/>
        <v>-</v>
      </c>
      <c r="C45" s="34" t="s">
        <v>110</v>
      </c>
      <c r="D45" s="174"/>
    </row>
    <row r="46" spans="1:7">
      <c r="A46" s="171" t="s">
        <v>72</v>
      </c>
      <c r="B46" s="33">
        <f t="shared" si="0"/>
        <v>210.45269461077842</v>
      </c>
      <c r="C46" s="34" t="s">
        <v>110</v>
      </c>
      <c r="D46" s="174"/>
    </row>
    <row r="47" spans="1:7">
      <c r="A47" s="171" t="s">
        <v>73</v>
      </c>
      <c r="B47" s="33">
        <f t="shared" si="0"/>
        <v>818.42714570858288</v>
      </c>
      <c r="C47" s="34" t="s">
        <v>110</v>
      </c>
      <c r="D47" s="174"/>
    </row>
    <row r="48" spans="1:7">
      <c r="A48" s="171" t="s">
        <v>74</v>
      </c>
      <c r="B48" s="33">
        <f t="shared" si="0"/>
        <v>644.72015968063863</v>
      </c>
      <c r="C48" s="33">
        <f>B48*10</f>
        <v>6447.2015968063861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1286.4000000000001</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338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21854.063665217258</v>
      </c>
      <c r="C5" s="17">
        <f>IF(ISERROR('Eigen informatie GS &amp; warmtenet'!B60),0,'Eigen informatie GS &amp; warmtenet'!B60)</f>
        <v>0</v>
      </c>
      <c r="D5" s="30">
        <f>SUM(D6:D12)</f>
        <v>24500.429316087982</v>
      </c>
      <c r="E5" s="17">
        <f>SUM(E6:E12)</f>
        <v>108.24367282187634</v>
      </c>
      <c r="F5" s="17">
        <f>SUM(F6:F12)</f>
        <v>5236.666362733562</v>
      </c>
      <c r="G5" s="18"/>
      <c r="H5" s="17"/>
      <c r="I5" s="17"/>
      <c r="J5" s="17">
        <f>SUM(J6:J12)</f>
        <v>6.2886408524560899E-2</v>
      </c>
      <c r="K5" s="17"/>
      <c r="L5" s="17"/>
      <c r="M5" s="17"/>
      <c r="N5" s="17">
        <f>SUM(N6:N12)</f>
        <v>2289.9862004521792</v>
      </c>
      <c r="O5" s="17">
        <f>B38*B39*B40</f>
        <v>39.178086126729234</v>
      </c>
      <c r="P5" s="17">
        <f>B46*B47*B48/1000-B46*B47*B48/1000/B49</f>
        <v>52.539138306495019</v>
      </c>
      <c r="R5" s="32"/>
    </row>
    <row r="6" spans="1:18">
      <c r="A6" s="32" t="s">
        <v>53</v>
      </c>
      <c r="B6" s="37">
        <f>B26</f>
        <v>4659.1153205964101</v>
      </c>
      <c r="C6" s="33"/>
      <c r="D6" s="37">
        <f>IF(ISERROR(TER_kantoor_gas_kWh/1000),0,TER_kantoor_gas_kWh/1000)*0.903</f>
        <v>5760.8469295514678</v>
      </c>
      <c r="E6" s="33">
        <f>$C$26*'E Balans VL '!I12/100/3.6*1000000</f>
        <v>1.1162132854186824</v>
      </c>
      <c r="F6" s="33">
        <f>$C$26*('E Balans VL '!L12+'E Balans VL '!N12)/100/3.6*1000000</f>
        <v>441.81843357502572</v>
      </c>
      <c r="G6" s="34"/>
      <c r="H6" s="33"/>
      <c r="I6" s="33"/>
      <c r="J6" s="33">
        <f>$C$26*('E Balans VL '!D12+'E Balans VL '!E12)/100/3.6*1000000</f>
        <v>0</v>
      </c>
      <c r="K6" s="33"/>
      <c r="L6" s="33"/>
      <c r="M6" s="33"/>
      <c r="N6" s="33">
        <f>$C$26*'E Balans VL '!Y12/100/3.6*1000000</f>
        <v>2.3665895961993177</v>
      </c>
      <c r="O6" s="33"/>
      <c r="P6" s="33"/>
      <c r="R6" s="32"/>
    </row>
    <row r="7" spans="1:18">
      <c r="A7" s="32" t="s">
        <v>52</v>
      </c>
      <c r="B7" s="37">
        <f t="shared" ref="B7:B12" si="0">B27</f>
        <v>4441.6940926057905</v>
      </c>
      <c r="C7" s="33"/>
      <c r="D7" s="37">
        <f>IF(ISERROR(TER_horeca_gas_kWh/1000),0,TER_horeca_gas_kWh/1000)*0.903</f>
        <v>9177.6028211390021</v>
      </c>
      <c r="E7" s="33">
        <f>$C$27*'E Balans VL '!I9/100/3.6*1000000</f>
        <v>0</v>
      </c>
      <c r="F7" s="33">
        <f>$C$27*('E Balans VL '!L9+'E Balans VL '!N9)/100/3.6*1000000</f>
        <v>364.20847455090478</v>
      </c>
      <c r="G7" s="34"/>
      <c r="H7" s="33"/>
      <c r="I7" s="33"/>
      <c r="J7" s="33">
        <f>$C$27*('E Balans VL '!D9+'E Balans VL '!E9)/100/3.6*1000000</f>
        <v>0</v>
      </c>
      <c r="K7" s="33"/>
      <c r="L7" s="33"/>
      <c r="M7" s="33"/>
      <c r="N7" s="33">
        <f>$C$27*'E Balans VL '!Y9/100/3.6*1000000</f>
        <v>1.3615576935656137</v>
      </c>
      <c r="O7" s="33"/>
      <c r="P7" s="33"/>
      <c r="R7" s="32"/>
    </row>
    <row r="8" spans="1:18">
      <c r="A8" s="6" t="s">
        <v>51</v>
      </c>
      <c r="B8" s="37">
        <f t="shared" si="0"/>
        <v>4532.0629863121103</v>
      </c>
      <c r="C8" s="33"/>
      <c r="D8" s="37">
        <f>IF(ISERROR(TER_handel_gas_kWh/1000),0,TER_handel_gas_kWh/1000)*0.903</f>
        <v>2592.9135988371659</v>
      </c>
      <c r="E8" s="33">
        <f>$C$28*'E Balans VL '!I13/100/3.6*1000000</f>
        <v>15.927724383801879</v>
      </c>
      <c r="F8" s="33">
        <f>$C$28*('E Balans VL '!L13+'E Balans VL '!N13)/100/3.6*1000000</f>
        <v>414.67562442200176</v>
      </c>
      <c r="G8" s="34"/>
      <c r="H8" s="33"/>
      <c r="I8" s="33"/>
      <c r="J8" s="33">
        <f>$C$28*('E Balans VL '!D13+'E Balans VL '!E13)/100/3.6*1000000</f>
        <v>0</v>
      </c>
      <c r="K8" s="33"/>
      <c r="L8" s="33"/>
      <c r="M8" s="33"/>
      <c r="N8" s="33">
        <f>$C$28*'E Balans VL '!Y13/100/3.6*1000000</f>
        <v>1.6413181010286673</v>
      </c>
      <c r="O8" s="33"/>
      <c r="P8" s="33"/>
      <c r="R8" s="32"/>
    </row>
    <row r="9" spans="1:18">
      <c r="A9" s="32" t="s">
        <v>50</v>
      </c>
      <c r="B9" s="37">
        <f t="shared" si="0"/>
        <v>1473.2798270077501</v>
      </c>
      <c r="C9" s="33"/>
      <c r="D9" s="37">
        <f>IF(ISERROR(TER_gezond_gas_kWh/1000),0,TER_gezond_gas_kWh/1000)*0.903</f>
        <v>3333.037685520078</v>
      </c>
      <c r="E9" s="33">
        <f>$C$29*'E Balans VL '!I10/100/3.6*1000000</f>
        <v>0</v>
      </c>
      <c r="F9" s="33">
        <f>$C$29*('E Balans VL '!L10+'E Balans VL '!N10)/100/3.6*1000000</f>
        <v>180.59705302988522</v>
      </c>
      <c r="G9" s="34"/>
      <c r="H9" s="33"/>
      <c r="I9" s="33"/>
      <c r="J9" s="33">
        <f>$C$29*('E Balans VL '!D10+'E Balans VL '!E10)/100/3.6*1000000</f>
        <v>0</v>
      </c>
      <c r="K9" s="33"/>
      <c r="L9" s="33"/>
      <c r="M9" s="33"/>
      <c r="N9" s="33">
        <f>$C$29*'E Balans VL '!Y10/100/3.6*1000000</f>
        <v>10.864412062010917</v>
      </c>
      <c r="O9" s="33"/>
      <c r="P9" s="33"/>
      <c r="R9" s="32"/>
    </row>
    <row r="10" spans="1:18">
      <c r="A10" s="32" t="s">
        <v>49</v>
      </c>
      <c r="B10" s="37">
        <f t="shared" si="0"/>
        <v>6367.7150699910908</v>
      </c>
      <c r="C10" s="33"/>
      <c r="D10" s="37">
        <f>IF(ISERROR(TER_ander_gas_kWh/1000),0,TER_ander_gas_kWh/1000)*0.903</f>
        <v>2887.5579774985122</v>
      </c>
      <c r="E10" s="33">
        <f>$C$30*'E Balans VL '!I14/100/3.6*1000000</f>
        <v>91.199735152655791</v>
      </c>
      <c r="F10" s="33">
        <f>$C$30*('E Balans VL '!L14+'E Balans VL '!N14)/100/3.6*1000000</f>
        <v>3790.9172941189358</v>
      </c>
      <c r="G10" s="34"/>
      <c r="H10" s="33"/>
      <c r="I10" s="33"/>
      <c r="J10" s="33">
        <f>$C$30*('E Balans VL '!D14+'E Balans VL '!E14)/100/3.6*1000000</f>
        <v>6.2886408524560899E-2</v>
      </c>
      <c r="K10" s="33"/>
      <c r="L10" s="33"/>
      <c r="M10" s="33"/>
      <c r="N10" s="33">
        <f>$C$30*'E Balans VL '!Y14/100/3.6*1000000</f>
        <v>2272.6817336835161</v>
      </c>
      <c r="O10" s="33"/>
      <c r="P10" s="33"/>
      <c r="R10" s="32"/>
    </row>
    <row r="11" spans="1:18">
      <c r="A11" s="32" t="s">
        <v>54</v>
      </c>
      <c r="B11" s="37">
        <f t="shared" si="0"/>
        <v>380.19636870410199</v>
      </c>
      <c r="C11" s="33"/>
      <c r="D11" s="37">
        <f>IF(ISERROR(TER_onderwijs_gas_kWh/1000),0,TER_onderwijs_gas_kWh/1000)*0.903</f>
        <v>748.47030354175354</v>
      </c>
      <c r="E11" s="33">
        <f>$C$31*'E Balans VL '!I11/100/3.6*1000000</f>
        <v>0</v>
      </c>
      <c r="F11" s="33">
        <f>$C$31*('E Balans VL '!L11+'E Balans VL '!N11)/100/3.6*1000000</f>
        <v>44.449483036808687</v>
      </c>
      <c r="G11" s="34"/>
      <c r="H11" s="33"/>
      <c r="I11" s="33"/>
      <c r="J11" s="33">
        <f>$C$31*('E Balans VL '!D11+'E Balans VL '!E11)/100/3.6*1000000</f>
        <v>0</v>
      </c>
      <c r="K11" s="33"/>
      <c r="L11" s="33"/>
      <c r="M11" s="33"/>
      <c r="N11" s="33">
        <f>$C$31*'E Balans VL '!Y11/100/3.6*1000000</f>
        <v>1.0705893158589235</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energieproductie'!N39+'lokale energieproductie'!N32</f>
        <v>1431</v>
      </c>
      <c r="C13" s="247">
        <f ca="1">'lokale energieproductie'!O39+'lokale energieproductie'!O32</f>
        <v>128.57142857142858</v>
      </c>
      <c r="D13" s="310">
        <f ca="1">('lokale energieproductie'!P32+'lokale energieproductie'!P39)*(-1)</f>
        <v>-257.14285714285717</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-3831.4285714285716</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23285.063665217258</v>
      </c>
      <c r="C16" s="21">
        <f t="shared" ca="1" si="1"/>
        <v>128.57142857142858</v>
      </c>
      <c r="D16" s="21">
        <f t="shared" ca="1" si="1"/>
        <v>24243.286458945124</v>
      </c>
      <c r="E16" s="21">
        <f t="shared" si="1"/>
        <v>108.24367282187634</v>
      </c>
      <c r="F16" s="21">
        <f t="shared" ca="1" si="1"/>
        <v>5236.666362733562</v>
      </c>
      <c r="G16" s="21">
        <f t="shared" si="1"/>
        <v>0</v>
      </c>
      <c r="H16" s="21">
        <f t="shared" si="1"/>
        <v>0</v>
      </c>
      <c r="I16" s="21">
        <f t="shared" si="1"/>
        <v>0</v>
      </c>
      <c r="J16" s="21">
        <f t="shared" si="1"/>
        <v>6.2886408524560899E-2</v>
      </c>
      <c r="K16" s="21">
        <f t="shared" si="1"/>
        <v>0</v>
      </c>
      <c r="L16" s="21">
        <f t="shared" ca="1" si="1"/>
        <v>0</v>
      </c>
      <c r="M16" s="21">
        <f t="shared" si="1"/>
        <v>0</v>
      </c>
      <c r="N16" s="21">
        <f t="shared" ca="1" si="1"/>
        <v>0</v>
      </c>
      <c r="O16" s="21">
        <f>O5</f>
        <v>39.178086126729234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0.18946473770037531</v>
      </c>
      <c r="C18" s="25">
        <f ca="1">'EF ele_warmte'!B22</f>
        <v>0.16003168944345419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4411.6984796669276</v>
      </c>
      <c r="C20" s="23">
        <f t="shared" ref="C20:P20" ca="1" si="2">C16*C18</f>
        <v>20.575502928444113</v>
      </c>
      <c r="D20" s="23">
        <f t="shared" ca="1" si="2"/>
        <v>4897.1438647069153</v>
      </c>
      <c r="E20" s="23">
        <f t="shared" si="2"/>
        <v>24.571313730565929</v>
      </c>
      <c r="F20" s="23">
        <f t="shared" ca="1" si="2"/>
        <v>1398.1899188498612</v>
      </c>
      <c r="G20" s="23">
        <f t="shared" si="2"/>
        <v>0</v>
      </c>
      <c r="H20" s="23">
        <f t="shared" si="2"/>
        <v>0</v>
      </c>
      <c r="I20" s="23">
        <f t="shared" si="2"/>
        <v>0</v>
      </c>
      <c r="J20" s="23">
        <f t="shared" si="2"/>
        <v>2.2261788617694556E-2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4659.1153205964101</v>
      </c>
      <c r="C26" s="39">
        <f>IF(ISERROR(B26*3.6/1000000/'E Balans VL '!Z12*100),0,B26*3.6/1000000/'E Balans VL '!Z12*100)</f>
        <v>0.13139939000286091</v>
      </c>
      <c r="D26" s="237" t="s">
        <v>702</v>
      </c>
      <c r="F26" s="6"/>
    </row>
    <row r="27" spans="1:18">
      <c r="A27" s="231" t="s">
        <v>52</v>
      </c>
      <c r="B27" s="33">
        <f>IF(ISERROR(TER_horeca_ele_kWh/1000),0,TER_horeca_ele_kWh/1000)</f>
        <v>4441.6940926057905</v>
      </c>
      <c r="C27" s="39">
        <f>IF(ISERROR(B27*3.6/1000000/'E Balans VL '!Z9*100),0,B27*3.6/1000000/'E Balans VL '!Z9*100)</f>
        <v>0.32929705218843597</v>
      </c>
      <c r="D27" s="237" t="s">
        <v>702</v>
      </c>
      <c r="F27" s="6"/>
    </row>
    <row r="28" spans="1:18">
      <c r="A28" s="171" t="s">
        <v>51</v>
      </c>
      <c r="B28" s="33">
        <f>IF(ISERROR(TER_handel_ele_kWh/1000),0,TER_handel_ele_kWh/1000)</f>
        <v>4532.0629863121103</v>
      </c>
      <c r="C28" s="39">
        <f>IF(ISERROR(B28*3.6/1000000/'E Balans VL '!Z13*100),0,B28*3.6/1000000/'E Balans VL '!Z13*100)</f>
        <v>0.13576983168785337</v>
      </c>
      <c r="D28" s="237" t="s">
        <v>702</v>
      </c>
      <c r="F28" s="6"/>
    </row>
    <row r="29" spans="1:18">
      <c r="A29" s="231" t="s">
        <v>50</v>
      </c>
      <c r="B29" s="33">
        <f>IF(ISERROR(TER_gezond_ele_kWh/1000),0,TER_gezond_ele_kWh/1000)</f>
        <v>1473.2798270077501</v>
      </c>
      <c r="C29" s="39">
        <f>IF(ISERROR(B29*3.6/1000000/'E Balans VL '!Z10*100),0,B29*3.6/1000000/'E Balans VL '!Z10*100)</f>
        <v>0.14567848674377282</v>
      </c>
      <c r="D29" s="237" t="s">
        <v>702</v>
      </c>
      <c r="F29" s="6"/>
    </row>
    <row r="30" spans="1:18">
      <c r="A30" s="231" t="s">
        <v>49</v>
      </c>
      <c r="B30" s="33">
        <f>IF(ISERROR(TER_ander_ele_kWh/1000),0,TER_ander_ele_kWh/1000)</f>
        <v>6367.7150699910908</v>
      </c>
      <c r="C30" s="39">
        <f>IF(ISERROR(B30*3.6/1000000/'E Balans VL '!Z14*100),0,B30*3.6/1000000/'E Balans VL '!Z14*100)</f>
        <v>0.25755525675588081</v>
      </c>
      <c r="D30" s="237" t="s">
        <v>702</v>
      </c>
      <c r="F30" s="6"/>
    </row>
    <row r="31" spans="1:18">
      <c r="A31" s="231" t="s">
        <v>54</v>
      </c>
      <c r="B31" s="33">
        <f>IF(ISERROR(TER_onderwijs_ele_kWh/1000),0,TER_onderwijs_ele_kWh/1000)</f>
        <v>380.19636870410199</v>
      </c>
      <c r="C31" s="39">
        <f>IF(ISERROR(B31*3.6/1000000/'E Balans VL '!Z11*100),0,B31*3.6/1000000/'E Balans VL '!Z11*100)</f>
        <v>0.10445657023282523</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8</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14507.04312139481</v>
      </c>
      <c r="C5" s="17">
        <f>IF(ISERROR('Eigen informatie GS &amp; warmtenet'!B61),0,'Eigen informatie GS &amp; warmtenet'!B61)</f>
        <v>0</v>
      </c>
      <c r="D5" s="30">
        <f>SUM(D6:D15)</f>
        <v>3320.5276419994043</v>
      </c>
      <c r="E5" s="17">
        <f>SUM(E6:E15)</f>
        <v>27.333174115510765</v>
      </c>
      <c r="F5" s="17">
        <f>SUM(F6:F15)</f>
        <v>1275.2230290370956</v>
      </c>
      <c r="G5" s="18"/>
      <c r="H5" s="17"/>
      <c r="I5" s="17"/>
      <c r="J5" s="17">
        <f>SUM(J6:J15)</f>
        <v>0.36850720808072818</v>
      </c>
      <c r="K5" s="17"/>
      <c r="L5" s="17"/>
      <c r="M5" s="17"/>
      <c r="N5" s="17">
        <f>SUM(N6:N15)</f>
        <v>465.78462517284839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372.05865842953705</v>
      </c>
      <c r="C8" s="33"/>
      <c r="D8" s="37">
        <f>IF( ISERROR(IND_metaal_Gas_kWH/1000),0,IND_metaal_Gas_kWH/1000)*0.903</f>
        <v>317.67420020118709</v>
      </c>
      <c r="E8" s="33">
        <f>C30*'E Balans VL '!I18/100/3.6*1000000</f>
        <v>1.8759846723456097</v>
      </c>
      <c r="F8" s="33">
        <f>C30*'E Balans VL '!L18/100/3.6*1000000+C30*'E Balans VL '!N18/100/3.6*1000000</f>
        <v>25.419807827553729</v>
      </c>
      <c r="G8" s="34"/>
      <c r="H8" s="33"/>
      <c r="I8" s="33"/>
      <c r="J8" s="40">
        <f>C30*'E Balans VL '!D18/100/3.6*1000000+C30*'E Balans VL '!E18/100/3.6*1000000</f>
        <v>0.32986173771020005</v>
      </c>
      <c r="K8" s="33"/>
      <c r="L8" s="33"/>
      <c r="M8" s="33"/>
      <c r="N8" s="33">
        <f>C30*'E Balans VL '!Y18/100/3.6*1000000</f>
        <v>4.9446617785208096</v>
      </c>
      <c r="O8" s="33"/>
      <c r="P8" s="33"/>
      <c r="R8" s="32"/>
    </row>
    <row r="9" spans="1:18">
      <c r="A9" s="6" t="s">
        <v>32</v>
      </c>
      <c r="B9" s="37">
        <f t="shared" si="0"/>
        <v>1712.6357669347999</v>
      </c>
      <c r="C9" s="33"/>
      <c r="D9" s="37">
        <f>IF( ISERROR(IND_andere_gas_kWh/1000),0,IND_andere_gas_kWh/1000)*0.903</f>
        <v>1369.1851295592878</v>
      </c>
      <c r="E9" s="33">
        <f>C31*'E Balans VL '!I19/100/3.6*1000000</f>
        <v>5.3986327073768017</v>
      </c>
      <c r="F9" s="33">
        <f>C31*'E Balans VL '!L19/100/3.6*1000000+C31*'E Balans VL '!N19/100/3.6*1000000</f>
        <v>1048.4035852640202</v>
      </c>
      <c r="G9" s="34"/>
      <c r="H9" s="33"/>
      <c r="I9" s="33"/>
      <c r="J9" s="40">
        <f>C31*'E Balans VL '!D19/100/3.6*1000000+C31*'E Balans VL '!E19/100/3.6*1000000</f>
        <v>0</v>
      </c>
      <c r="K9" s="33"/>
      <c r="L9" s="33"/>
      <c r="M9" s="33"/>
      <c r="N9" s="33">
        <f>C31*'E Balans VL '!Y19/100/3.6*1000000</f>
        <v>71.813143160152137</v>
      </c>
      <c r="O9" s="33"/>
      <c r="P9" s="33"/>
      <c r="R9" s="32"/>
    </row>
    <row r="10" spans="1:18">
      <c r="A10" s="6" t="s">
        <v>40</v>
      </c>
      <c r="B10" s="37">
        <f t="shared" si="0"/>
        <v>12307.400113080001</v>
      </c>
      <c r="C10" s="33"/>
      <c r="D10" s="37">
        <f>IF( ISERROR(IND_voed_gas_kWh/1000),0,IND_voed_gas_kWh/1000)*0.903</f>
        <v>1542.3282234750557</v>
      </c>
      <c r="E10" s="33">
        <f>C32*'E Balans VL '!I20/100/3.6*1000000</f>
        <v>19.614539330547647</v>
      </c>
      <c r="F10" s="33">
        <f>C32*'E Balans VL '!L20/100/3.6*1000000+C32*'E Balans VL '!N20/100/3.6*1000000</f>
        <v>199.96535377360661</v>
      </c>
      <c r="G10" s="34"/>
      <c r="H10" s="33"/>
      <c r="I10" s="33"/>
      <c r="J10" s="40">
        <f>C32*'E Balans VL '!D20/100/3.6*1000000+C32*'E Balans VL '!E20/100/3.6*1000000</f>
        <v>0</v>
      </c>
      <c r="K10" s="33"/>
      <c r="L10" s="33"/>
      <c r="M10" s="33"/>
      <c r="N10" s="33">
        <f>C32*'E Balans VL '!Y20/100/3.6*1000000</f>
        <v>388.72916330461629</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97.332889221281803</v>
      </c>
      <c r="C13" s="33"/>
      <c r="D13" s="37">
        <f>IF( ISERROR(IND_papier_gas_kWh/1000),0,IND_papier_gas_kWh/1000)*0.903</f>
        <v>0</v>
      </c>
      <c r="E13" s="33">
        <f>C35*'E Balans VL '!I23/100/3.6*1000000</f>
        <v>0</v>
      </c>
      <c r="F13" s="33">
        <f>C35*'E Balans VL '!L23/100/3.6*1000000+C35*'E Balans VL '!N23/100/3.6*1000000</f>
        <v>4.2169133473072612E-3</v>
      </c>
      <c r="G13" s="34"/>
      <c r="H13" s="33"/>
      <c r="I13" s="33"/>
      <c r="J13" s="40">
        <f>C35*'E Balans VL '!D23/100/3.6*1000000+C35*'E Balans VL '!E23/100/3.6*1000000</f>
        <v>2.6819853041007082E-3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17.615693729193399</v>
      </c>
      <c r="C15" s="33"/>
      <c r="D15" s="37">
        <f>IF( ISERROR(IND_rest_gas_kWh/1000),0,IND_rest_gas_kWh/1000)*0.903</f>
        <v>91.340088763873553</v>
      </c>
      <c r="E15" s="33">
        <f>C37*'E Balans VL '!I15/100/3.6*1000000</f>
        <v>0.44401740524070704</v>
      </c>
      <c r="F15" s="33">
        <f>C37*'E Balans VL '!L15/100/3.6*1000000+C37*'E Balans VL '!N15/100/3.6*1000000</f>
        <v>1.430065258567476</v>
      </c>
      <c r="G15" s="34"/>
      <c r="H15" s="33"/>
      <c r="I15" s="33"/>
      <c r="J15" s="40">
        <f>C37*'E Balans VL '!D15/100/3.6*1000000+C37*'E Balans VL '!E15/100/3.6*1000000</f>
        <v>3.5963485066427457E-2</v>
      </c>
      <c r="K15" s="33"/>
      <c r="L15" s="33"/>
      <c r="M15" s="33"/>
      <c r="N15" s="33">
        <f>C37*'E Balans VL '!Y15/100/3.6*1000000</f>
        <v>0.29765692955916095</v>
      </c>
      <c r="O15" s="33"/>
      <c r="P15" s="33"/>
      <c r="R15" s="32"/>
    </row>
    <row r="16" spans="1:18">
      <c r="A16" s="16" t="s">
        <v>479</v>
      </c>
      <c r="B16" s="247">
        <f>'lokale energieproductie'!N38+'lokale energieproductie'!N31</f>
        <v>0</v>
      </c>
      <c r="C16" s="247">
        <f>'lokale energieproductie'!O38+'lokale energieproductie'!O31</f>
        <v>0</v>
      </c>
      <c r="D16" s="310">
        <f>('lokale energieproductie'!P31+'lokale energieproductie'!P38)*(-1)</f>
        <v>0</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14507.04312139481</v>
      </c>
      <c r="C18" s="21">
        <f>C5+C16</f>
        <v>0</v>
      </c>
      <c r="D18" s="21">
        <f>MAX((D5+D16),0)</f>
        <v>3320.5276419994043</v>
      </c>
      <c r="E18" s="21">
        <f>MAX((E5+E16),0)</f>
        <v>27.333174115510765</v>
      </c>
      <c r="F18" s="21">
        <f>MAX((F5+F16),0)</f>
        <v>1275.2230290370956</v>
      </c>
      <c r="G18" s="21"/>
      <c r="H18" s="21"/>
      <c r="I18" s="21"/>
      <c r="J18" s="21">
        <f>MAX((J5+J16),0)</f>
        <v>0.36850720808072818</v>
      </c>
      <c r="K18" s="21"/>
      <c r="L18" s="21">
        <f>MAX((L5+L16),0)</f>
        <v>0</v>
      </c>
      <c r="M18" s="21"/>
      <c r="N18" s="21">
        <f>MAX((N5+N16),0)</f>
        <v>465.78462517284839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0.18946473770037531</v>
      </c>
      <c r="C20" s="25">
        <f ca="1">'EF ele_warmte'!B22</f>
        <v>0.16003168944345419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2748.5731198031017</v>
      </c>
      <c r="C22" s="23">
        <f ca="1">C18*C20</f>
        <v>0</v>
      </c>
      <c r="D22" s="23">
        <f>D18*D20</f>
        <v>670.74658368387975</v>
      </c>
      <c r="E22" s="23">
        <f>E18*E20</f>
        <v>6.2046305242209439</v>
      </c>
      <c r="F22" s="23">
        <f>F18*F20</f>
        <v>340.48454875290452</v>
      </c>
      <c r="G22" s="23"/>
      <c r="H22" s="23"/>
      <c r="I22" s="23"/>
      <c r="J22" s="23">
        <f>J18*J20</f>
        <v>0.13045155166057776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372.05865842953705</v>
      </c>
      <c r="C30" s="39">
        <f>IF(ISERROR(B30*3.6/1000000/'E Balans VL '!Z18*100),0,B30*3.6/1000000/'E Balans VL '!Z18*100)</f>
        <v>1.8468153277709433E-2</v>
      </c>
      <c r="D30" s="237" t="s">
        <v>702</v>
      </c>
    </row>
    <row r="31" spans="1:18">
      <c r="A31" s="6" t="s">
        <v>32</v>
      </c>
      <c r="B31" s="37">
        <f>IF( ISERROR(IND_ander_ele_kWh/1000),0,IND_ander_ele_kWh/1000)</f>
        <v>1712.6357669347999</v>
      </c>
      <c r="C31" s="39">
        <f>IF(ISERROR(B31*3.6/1000000/'E Balans VL '!Z19*100),0,B31*3.6/1000000/'E Balans VL '!Z19*100)</f>
        <v>5.7792681045359062E-2</v>
      </c>
      <c r="D31" s="237" t="s">
        <v>702</v>
      </c>
    </row>
    <row r="32" spans="1:18">
      <c r="A32" s="171" t="s">
        <v>40</v>
      </c>
      <c r="B32" s="37">
        <f>IF( ISERROR(IND_voed_ele_kWh/1000),0,IND_voed_ele_kWh/1000)</f>
        <v>12307.400113080001</v>
      </c>
      <c r="C32" s="39">
        <f>IF(ISERROR(B32*3.6/1000000/'E Balans VL '!Z20*100),0,B32*3.6/1000000/'E Balans VL '!Z20*100)</f>
        <v>0.28903083745992025</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97.332889221281803</v>
      </c>
      <c r="C35" s="39">
        <f>IF(ISERROR(B35*3.6/1000000/'E Balans VL '!Z22*100),0,B35*3.6/1000000/'E Balans VL '!Z22*100)</f>
        <v>1.3808690825585883E-2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17.615693729193399</v>
      </c>
      <c r="C37" s="39">
        <f>IF(ISERROR(B37*3.6/1000000/'E Balans VL '!Z15*100),0,B37*3.6/1000000/'E Balans VL '!Z15*100)</f>
        <v>6.6015326675782383E-5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3818.6478974923398</v>
      </c>
      <c r="C5" s="17">
        <f>'Eigen informatie GS &amp; warmtenet'!B62</f>
        <v>0</v>
      </c>
      <c r="D5" s="30">
        <f>IF(ISERROR(SUM(LB_lb_gas_kWh,LB_rest_gas_kWh)/1000),0,SUM(LB_lb_gas_kWh,LB_rest_gas_kWh)/1000)*0.903</f>
        <v>144.15149553962723</v>
      </c>
      <c r="E5" s="17">
        <f>B17*'E Balans VL '!I25/3.6*1000000/100</f>
        <v>142.40906050817657</v>
      </c>
      <c r="F5" s="17">
        <f>B17*('E Balans VL '!L25/3.6*1000000+'E Balans VL '!N25/3.6*1000000)/100</f>
        <v>12389.169363096231</v>
      </c>
      <c r="G5" s="18"/>
      <c r="H5" s="17"/>
      <c r="I5" s="17"/>
      <c r="J5" s="17">
        <f>('E Balans VL '!D25+'E Balans VL '!E25)/3.6*1000000*landbouw!B17/100</f>
        <v>1002.4139254017849</v>
      </c>
      <c r="K5" s="17"/>
      <c r="L5" s="17">
        <f>L6*(-1)</f>
        <v>0</v>
      </c>
      <c r="M5" s="17"/>
      <c r="N5" s="17">
        <f>N6*(-1)</f>
        <v>124.71428571428569</v>
      </c>
      <c r="O5" s="17"/>
      <c r="P5" s="17"/>
      <c r="R5" s="32"/>
    </row>
    <row r="6" spans="1:18">
      <c r="A6" s="16" t="s">
        <v>479</v>
      </c>
      <c r="B6" s="17" t="s">
        <v>210</v>
      </c>
      <c r="C6" s="17">
        <f>'lokale energieproductie'!O40+'lokale energieproductie'!O33</f>
        <v>62.357142857142847</v>
      </c>
      <c r="D6" s="310">
        <f>('lokale energieproductie'!P33+'lokale energieproductie'!P40)*(-1)</f>
        <v>0</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3818.6478974923398</v>
      </c>
      <c r="C8" s="21">
        <f>C5+C6</f>
        <v>62.357142857142847</v>
      </c>
      <c r="D8" s="21">
        <f>MAX((D5+D6),0)</f>
        <v>144.15149553962723</v>
      </c>
      <c r="E8" s="21">
        <f>MAX((E5+E6),0)</f>
        <v>142.40906050817657</v>
      </c>
      <c r="F8" s="21">
        <f>MAX((F5+F6),0)</f>
        <v>12389.169363096231</v>
      </c>
      <c r="G8" s="21"/>
      <c r="H8" s="21"/>
      <c r="I8" s="21"/>
      <c r="J8" s="21">
        <f>MAX((J5+J6),0)</f>
        <v>1002.4139254017849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0.18946473770037531</v>
      </c>
      <c r="C10" s="31">
        <f ca="1">'EF ele_warmte'!B22</f>
        <v>0.16003168944345419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723.49912226847584</v>
      </c>
      <c r="C12" s="23">
        <f ca="1">C8*C10</f>
        <v>9.9791189202953916</v>
      </c>
      <c r="D12" s="23">
        <f>D8*D10</f>
        <v>29.118602099004704</v>
      </c>
      <c r="E12" s="23">
        <f>E8*E10</f>
        <v>32.326856735356081</v>
      </c>
      <c r="F12" s="23">
        <f>F8*F10</f>
        <v>3307.9082199466939</v>
      </c>
      <c r="G12" s="23"/>
      <c r="H12" s="23"/>
      <c r="I12" s="23"/>
      <c r="J12" s="23">
        <f>J8*J10</f>
        <v>354.85452959223187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0.52448132388879654</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767.99724765749147</v>
      </c>
      <c r="C26" s="247">
        <f>B26*'GWP N2O_CH4'!B5</f>
        <v>16127.942200807322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375.34537820879558</v>
      </c>
      <c r="C27" s="247">
        <f>B27*'GWP N2O_CH4'!B5</f>
        <v>7882.2529423847072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17.573815373604713</v>
      </c>
      <c r="C28" s="247">
        <f>B28*'GWP N2O_CH4'!B4</f>
        <v>5447.8827658174614</v>
      </c>
      <c r="D28" s="50"/>
    </row>
    <row r="29" spans="1:4">
      <c r="A29" s="41" t="s">
        <v>276</v>
      </c>
      <c r="B29" s="247">
        <f>B34*'ha_N2O bodem landbouw'!B4</f>
        <v>19.863272608981333</v>
      </c>
      <c r="C29" s="247">
        <f>B29*'GWP N2O_CH4'!B4</f>
        <v>6157.6145087842133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4.5268965533566624E-3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2.9382787816789434E-4</v>
      </c>
      <c r="C5" s="440" t="s">
        <v>210</v>
      </c>
      <c r="D5" s="425">
        <f>SUM(D6:D11)</f>
        <v>1.1858174601089536E-3</v>
      </c>
      <c r="E5" s="425">
        <f>SUM(E6:E11)</f>
        <v>6.3624831346952883E-4</v>
      </c>
      <c r="F5" s="438" t="s">
        <v>210</v>
      </c>
      <c r="G5" s="425">
        <f>SUM(G6:G11)</f>
        <v>0.26651718092290166</v>
      </c>
      <c r="H5" s="425">
        <f>SUM(H6:H11)</f>
        <v>7.5605729633661106E-2</v>
      </c>
      <c r="I5" s="440" t="s">
        <v>210</v>
      </c>
      <c r="J5" s="440" t="s">
        <v>210</v>
      </c>
      <c r="K5" s="440" t="s">
        <v>210</v>
      </c>
      <c r="L5" s="440" t="s">
        <v>210</v>
      </c>
      <c r="M5" s="425">
        <f>SUM(M6:M11)</f>
        <v>2.0261152978633255E-2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2.4419329779739614E-4</v>
      </c>
      <c r="C6" s="426"/>
      <c r="D6" s="893">
        <f>vkm_GW_PW*SUMIFS(TableVerdeelsleutelVkm[CNG],TableVerdeelsleutelVkm[Voertuigtype],"Lichte voertuigen")*SUMIFS(TableECFTransport[EnergieConsumptieFactor (PJ per km)],TableECFTransport[Index],CONCATENATE($A6,"_CNG_CNG"))</f>
        <v>8.819516712062649E-4</v>
      </c>
      <c r="E6" s="893">
        <f>vkm_GW_PW*SUMIFS(TableVerdeelsleutelVkm[LPG],TableVerdeelsleutelVkm[Voertuigtype],"Lichte voertuigen")*SUMIFS(TableECFTransport[EnergieConsumptieFactor (PJ per km)],TableECFTransport[Index],CONCATENATE($A6,"_LPG_LPG"))</f>
        <v>4.7931809476699775E-4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0.14916083784863243</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5.645138802420064E-2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1.2322307686727969E-2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6.1426219203591433E-2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6.466671671887939E-7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3.4583923554413303E-3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4.9634580370498201E-5</v>
      </c>
      <c r="C8" s="426"/>
      <c r="D8" s="428">
        <f>vkm_NGW_PW*SUMIFS(TableVerdeelsleutelVkm[CNG],TableVerdeelsleutelVkm[Voertuigtype],"Lichte voertuigen")*SUMIFS(TableECFTransport[EnergieConsumptieFactor (PJ per km)],TableECFTransport[Index],CONCATENATE($A8,"_CNG_CNG"))</f>
        <v>3.0386578890268879E-4</v>
      </c>
      <c r="E8" s="428">
        <f>vkm_NGW_PW*SUMIFS(TableVerdeelsleutelVkm[LPG],TableVerdeelsleutelVkm[Voertuigtype],"Lichte voertuigen")*SUMIFS(TableECFTransport[EnergieConsumptieFactor (PJ per km)],TableECFTransport[Index],CONCATENATE($A8,"_LPG_LPG"))</f>
        <v>1.5693021870253102E-4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4.5447030068180246E-2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1.9153534647502517E-2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3.8902348639876403E-3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1.0483093802497546E-2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1.6029479075975766E-7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5.9021807247631747E-4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81.618855046637307</v>
      </c>
      <c r="C14" s="21"/>
      <c r="D14" s="21">
        <f t="shared" ref="D14:M14" si="0">((D5)*10^9/3600)+D12</f>
        <v>329.39373891915375</v>
      </c>
      <c r="E14" s="21">
        <f t="shared" si="0"/>
        <v>176.73564263042468</v>
      </c>
      <c r="F14" s="21"/>
      <c r="G14" s="21">
        <f t="shared" si="0"/>
        <v>74032.550256361574</v>
      </c>
      <c r="H14" s="21">
        <f t="shared" si="0"/>
        <v>21001.591564905862</v>
      </c>
      <c r="I14" s="21"/>
      <c r="J14" s="21"/>
      <c r="K14" s="21"/>
      <c r="L14" s="21"/>
      <c r="M14" s="21">
        <f t="shared" si="0"/>
        <v>5628.0980496203483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0.18946473770037531</v>
      </c>
      <c r="C16" s="56">
        <f ca="1">'EF ele_warmte'!B22</f>
        <v>0.16003168944345419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15.463894962816092</v>
      </c>
      <c r="C18" s="23"/>
      <c r="D18" s="23">
        <f t="shared" ref="D18:M18" si="1">D14*D16</f>
        <v>66.537535261669063</v>
      </c>
      <c r="E18" s="23">
        <f t="shared" si="1"/>
        <v>40.118990877106405</v>
      </c>
      <c r="F18" s="23"/>
      <c r="G18" s="23">
        <f t="shared" si="1"/>
        <v>19766.690918448541</v>
      </c>
      <c r="H18" s="23">
        <f t="shared" si="1"/>
        <v>5229.3962996615601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4.680182047522484E-3</v>
      </c>
      <c r="H50" s="321">
        <f t="shared" si="2"/>
        <v>0</v>
      </c>
      <c r="I50" s="321">
        <f t="shared" si="2"/>
        <v>0</v>
      </c>
      <c r="J50" s="321">
        <f t="shared" si="2"/>
        <v>0</v>
      </c>
      <c r="K50" s="321">
        <f t="shared" si="2"/>
        <v>0</v>
      </c>
      <c r="L50" s="321">
        <f t="shared" si="2"/>
        <v>0</v>
      </c>
      <c r="M50" s="321">
        <f t="shared" si="2"/>
        <v>2.53973334288918E-4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4.680182047522484E-3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2.53973334288918E-4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1300.0505687562456</v>
      </c>
      <c r="H54" s="21">
        <f t="shared" si="3"/>
        <v>0</v>
      </c>
      <c r="I54" s="21">
        <f t="shared" si="3"/>
        <v>0</v>
      </c>
      <c r="J54" s="21">
        <f t="shared" si="3"/>
        <v>0</v>
      </c>
      <c r="K54" s="21">
        <f t="shared" si="3"/>
        <v>0</v>
      </c>
      <c r="L54" s="21">
        <f t="shared" si="3"/>
        <v>0</v>
      </c>
      <c r="M54" s="21">
        <f t="shared" si="3"/>
        <v>70.548148413588336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0.18946473770037531</v>
      </c>
      <c r="C56" s="56">
        <f ca="1">'EF ele_warmte'!B22</f>
        <v>0.16003168944345419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347.11350185791758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24099.011665217258</v>
      </c>
      <c r="D10" s="689">
        <f ca="1">tertiair!C16</f>
        <v>128.57142857142858</v>
      </c>
      <c r="E10" s="689">
        <f ca="1">tertiair!D16</f>
        <v>24243.286458945124</v>
      </c>
      <c r="F10" s="689">
        <f>tertiair!E16</f>
        <v>108.24367282187634</v>
      </c>
      <c r="G10" s="689">
        <f ca="1">tertiair!F16</f>
        <v>5236.666362733562</v>
      </c>
      <c r="H10" s="689">
        <f>tertiair!G16</f>
        <v>0</v>
      </c>
      <c r="I10" s="689">
        <f>tertiair!H16</f>
        <v>0</v>
      </c>
      <c r="J10" s="689">
        <f>tertiair!I16</f>
        <v>0</v>
      </c>
      <c r="K10" s="689">
        <f>tertiair!J16</f>
        <v>6.2886408524560899E-2</v>
      </c>
      <c r="L10" s="689">
        <f>tertiair!K16</f>
        <v>0</v>
      </c>
      <c r="M10" s="689">
        <f ca="1">tertiair!L16</f>
        <v>0</v>
      </c>
      <c r="N10" s="689">
        <f>tertiair!M16</f>
        <v>0</v>
      </c>
      <c r="O10" s="689">
        <f ca="1">tertiair!N16</f>
        <v>0</v>
      </c>
      <c r="P10" s="689">
        <f>tertiair!O16</f>
        <v>39.178086126729234</v>
      </c>
      <c r="Q10" s="690">
        <f>tertiair!P16</f>
        <v>52.539138306495019</v>
      </c>
      <c r="R10" s="692">
        <f ca="1">SUM(C10:Q10)</f>
        <v>53907.559699131001</v>
      </c>
      <c r="S10" s="67"/>
    </row>
    <row r="11" spans="1:19" s="451" customFormat="1">
      <c r="A11" s="811" t="s">
        <v>224</v>
      </c>
      <c r="B11" s="816"/>
      <c r="C11" s="689">
        <f>huishoudens!B8</f>
        <v>32458.935501686177</v>
      </c>
      <c r="D11" s="689">
        <f>huishoudens!C8</f>
        <v>0</v>
      </c>
      <c r="E11" s="689">
        <f>huishoudens!D8</f>
        <v>66074.489781000288</v>
      </c>
      <c r="F11" s="689">
        <f>huishoudens!E8</f>
        <v>7568.0699407581887</v>
      </c>
      <c r="G11" s="689">
        <f>huishoudens!F8</f>
        <v>26680.082563031716</v>
      </c>
      <c r="H11" s="689">
        <f>huishoudens!G8</f>
        <v>0</v>
      </c>
      <c r="I11" s="689">
        <f>huishoudens!H8</f>
        <v>0</v>
      </c>
      <c r="J11" s="689">
        <f>huishoudens!I8</f>
        <v>0</v>
      </c>
      <c r="K11" s="689">
        <f>huishoudens!J8</f>
        <v>0</v>
      </c>
      <c r="L11" s="689">
        <f>huishoudens!K8</f>
        <v>0</v>
      </c>
      <c r="M11" s="689">
        <f>huishoudens!L8</f>
        <v>0</v>
      </c>
      <c r="N11" s="689">
        <f>huishoudens!M8</f>
        <v>0</v>
      </c>
      <c r="O11" s="689">
        <f>huishoudens!N8</f>
        <v>43456.299201577145</v>
      </c>
      <c r="P11" s="689">
        <f>huishoudens!O8</f>
        <v>670.57787815281677</v>
      </c>
      <c r="Q11" s="690">
        <f>huishoudens!P8</f>
        <v>1390.482628614423</v>
      </c>
      <c r="R11" s="692">
        <f>SUM(C11:Q11)</f>
        <v>178298.93749482074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14507.04312139481</v>
      </c>
      <c r="D13" s="689">
        <f>industrie!C18</f>
        <v>0</v>
      </c>
      <c r="E13" s="689">
        <f>industrie!D18</f>
        <v>3320.5276419994043</v>
      </c>
      <c r="F13" s="689">
        <f>industrie!E18</f>
        <v>27.333174115510765</v>
      </c>
      <c r="G13" s="689">
        <f>industrie!F18</f>
        <v>1275.2230290370956</v>
      </c>
      <c r="H13" s="689">
        <f>industrie!G18</f>
        <v>0</v>
      </c>
      <c r="I13" s="689">
        <f>industrie!H18</f>
        <v>0</v>
      </c>
      <c r="J13" s="689">
        <f>industrie!I18</f>
        <v>0</v>
      </c>
      <c r="K13" s="689">
        <f>industrie!J18</f>
        <v>0.36850720808072818</v>
      </c>
      <c r="L13" s="689">
        <f>industrie!K18</f>
        <v>0</v>
      </c>
      <c r="M13" s="689">
        <f>industrie!L18</f>
        <v>0</v>
      </c>
      <c r="N13" s="689">
        <f>industrie!M18</f>
        <v>0</v>
      </c>
      <c r="O13" s="689">
        <f>industrie!N18</f>
        <v>465.78462517284839</v>
      </c>
      <c r="P13" s="689">
        <f>industrie!O18</f>
        <v>0</v>
      </c>
      <c r="Q13" s="690">
        <f>industrie!P18</f>
        <v>0</v>
      </c>
      <c r="R13" s="692">
        <f>SUM(C13:Q13)</f>
        <v>19596.280098927753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71064.990288298257</v>
      </c>
      <c r="D16" s="725">
        <f t="shared" ref="D16:R16" ca="1" si="0">SUM(D9:D15)</f>
        <v>128.57142857142858</v>
      </c>
      <c r="E16" s="725">
        <f t="shared" ca="1" si="0"/>
        <v>93638.303881944812</v>
      </c>
      <c r="F16" s="725">
        <f t="shared" si="0"/>
        <v>7703.6467876955758</v>
      </c>
      <c r="G16" s="725">
        <f t="shared" ca="1" si="0"/>
        <v>33191.971954802371</v>
      </c>
      <c r="H16" s="725">
        <f t="shared" si="0"/>
        <v>0</v>
      </c>
      <c r="I16" s="725">
        <f t="shared" si="0"/>
        <v>0</v>
      </c>
      <c r="J16" s="725">
        <f t="shared" si="0"/>
        <v>0</v>
      </c>
      <c r="K16" s="725">
        <f t="shared" si="0"/>
        <v>0.43139361660528908</v>
      </c>
      <c r="L16" s="725">
        <f t="shared" si="0"/>
        <v>0</v>
      </c>
      <c r="M16" s="725">
        <f t="shared" ca="1" si="0"/>
        <v>0</v>
      </c>
      <c r="N16" s="725">
        <f t="shared" si="0"/>
        <v>0</v>
      </c>
      <c r="O16" s="725">
        <f t="shared" ca="1" si="0"/>
        <v>43922.083826749993</v>
      </c>
      <c r="P16" s="725">
        <f t="shared" si="0"/>
        <v>709.75596427954599</v>
      </c>
      <c r="Q16" s="725">
        <f t="shared" si="0"/>
        <v>1443.021766920918</v>
      </c>
      <c r="R16" s="725">
        <f t="shared" ca="1" si="0"/>
        <v>251802.7772928795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1300.0505687562456</v>
      </c>
      <c r="I19" s="689">
        <f>transport!H54</f>
        <v>0</v>
      </c>
      <c r="J19" s="689">
        <f>transport!I54</f>
        <v>0</v>
      </c>
      <c r="K19" s="689">
        <f>transport!J54</f>
        <v>0</v>
      </c>
      <c r="L19" s="689">
        <f>transport!K54</f>
        <v>0</v>
      </c>
      <c r="M19" s="689">
        <f>transport!L54</f>
        <v>0</v>
      </c>
      <c r="N19" s="689">
        <f>transport!M54</f>
        <v>70.548148413588336</v>
      </c>
      <c r="O19" s="689">
        <f>transport!N54</f>
        <v>0</v>
      </c>
      <c r="P19" s="689">
        <f>transport!O54</f>
        <v>0</v>
      </c>
      <c r="Q19" s="690">
        <f>transport!P54</f>
        <v>0</v>
      </c>
      <c r="R19" s="692">
        <f>SUM(C19:Q19)</f>
        <v>1370.5987171698339</v>
      </c>
      <c r="S19" s="67"/>
    </row>
    <row r="20" spans="1:19" s="451" customFormat="1">
      <c r="A20" s="811" t="s">
        <v>306</v>
      </c>
      <c r="B20" s="816"/>
      <c r="C20" s="689">
        <f>transport!B14</f>
        <v>81.618855046637307</v>
      </c>
      <c r="D20" s="689">
        <f>transport!C14</f>
        <v>0</v>
      </c>
      <c r="E20" s="689">
        <f>transport!D14</f>
        <v>329.39373891915375</v>
      </c>
      <c r="F20" s="689">
        <f>transport!E14</f>
        <v>176.73564263042468</v>
      </c>
      <c r="G20" s="689">
        <f>transport!F14</f>
        <v>0</v>
      </c>
      <c r="H20" s="689">
        <f>transport!G14</f>
        <v>74032.550256361574</v>
      </c>
      <c r="I20" s="689">
        <f>transport!H14</f>
        <v>21001.591564905862</v>
      </c>
      <c r="J20" s="689">
        <f>transport!I14</f>
        <v>0</v>
      </c>
      <c r="K20" s="689">
        <f>transport!J14</f>
        <v>0</v>
      </c>
      <c r="L20" s="689">
        <f>transport!K14</f>
        <v>0</v>
      </c>
      <c r="M20" s="689">
        <f>transport!L14</f>
        <v>0</v>
      </c>
      <c r="N20" s="689">
        <f>transport!M14</f>
        <v>5628.0980496203483</v>
      </c>
      <c r="O20" s="689">
        <f>transport!N14</f>
        <v>0</v>
      </c>
      <c r="P20" s="689">
        <f>transport!O14</f>
        <v>0</v>
      </c>
      <c r="Q20" s="690">
        <f>transport!P14</f>
        <v>0</v>
      </c>
      <c r="R20" s="692">
        <f>SUM(C20:Q20)</f>
        <v>101249.98810748401</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81.618855046637307</v>
      </c>
      <c r="D22" s="814">
        <f t="shared" ref="D22:R22" si="1">SUM(D18:D21)</f>
        <v>0</v>
      </c>
      <c r="E22" s="814">
        <f t="shared" si="1"/>
        <v>329.39373891915375</v>
      </c>
      <c r="F22" s="814">
        <f t="shared" si="1"/>
        <v>176.73564263042468</v>
      </c>
      <c r="G22" s="814">
        <f t="shared" si="1"/>
        <v>0</v>
      </c>
      <c r="H22" s="814">
        <f t="shared" si="1"/>
        <v>75332.600825117814</v>
      </c>
      <c r="I22" s="814">
        <f t="shared" si="1"/>
        <v>21001.591564905862</v>
      </c>
      <c r="J22" s="814">
        <f t="shared" si="1"/>
        <v>0</v>
      </c>
      <c r="K22" s="814">
        <f t="shared" si="1"/>
        <v>0</v>
      </c>
      <c r="L22" s="814">
        <f t="shared" si="1"/>
        <v>0</v>
      </c>
      <c r="M22" s="814">
        <f t="shared" si="1"/>
        <v>0</v>
      </c>
      <c r="N22" s="814">
        <f t="shared" si="1"/>
        <v>5698.6461980339363</v>
      </c>
      <c r="O22" s="814">
        <f t="shared" si="1"/>
        <v>0</v>
      </c>
      <c r="P22" s="814">
        <f t="shared" si="1"/>
        <v>0</v>
      </c>
      <c r="Q22" s="814">
        <f t="shared" si="1"/>
        <v>0</v>
      </c>
      <c r="R22" s="814">
        <f t="shared" si="1"/>
        <v>102620.58682465384</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3818.6478974923398</v>
      </c>
      <c r="D24" s="689">
        <f>+landbouw!C8</f>
        <v>62.357142857142847</v>
      </c>
      <c r="E24" s="689">
        <f>+landbouw!D8</f>
        <v>144.15149553962723</v>
      </c>
      <c r="F24" s="689">
        <f>+landbouw!E8</f>
        <v>142.40906050817657</v>
      </c>
      <c r="G24" s="689">
        <f>+landbouw!F8</f>
        <v>12389.169363096231</v>
      </c>
      <c r="H24" s="689">
        <f>+landbouw!G8</f>
        <v>0</v>
      </c>
      <c r="I24" s="689">
        <f>+landbouw!H8</f>
        <v>0</v>
      </c>
      <c r="J24" s="689">
        <f>+landbouw!I8</f>
        <v>0</v>
      </c>
      <c r="K24" s="689">
        <f>+landbouw!J8</f>
        <v>1002.4139254017849</v>
      </c>
      <c r="L24" s="689">
        <f>+landbouw!K8</f>
        <v>0</v>
      </c>
      <c r="M24" s="689">
        <f>+landbouw!L8</f>
        <v>0</v>
      </c>
      <c r="N24" s="689">
        <f>+landbouw!M8</f>
        <v>0</v>
      </c>
      <c r="O24" s="689">
        <f>+landbouw!N8</f>
        <v>0</v>
      </c>
      <c r="P24" s="689">
        <f>+landbouw!O8</f>
        <v>0</v>
      </c>
      <c r="Q24" s="690">
        <f>+landbouw!P8</f>
        <v>0</v>
      </c>
      <c r="R24" s="692">
        <f>SUM(C24:Q24)</f>
        <v>17559.148884895305</v>
      </c>
      <c r="S24" s="67"/>
    </row>
    <row r="25" spans="1:19" s="451" customFormat="1" ht="15" thickBot="1">
      <c r="A25" s="833" t="s">
        <v>714</v>
      </c>
      <c r="B25" s="947"/>
      <c r="C25" s="948">
        <f>IF(Onbekend_ele_kWh="---",0,Onbekend_ele_kWh)/1000+IF(REST_rest_ele_kWh="---",0,REST_rest_ele_kWh)/1000</f>
        <v>1013.5867839098501</v>
      </c>
      <c r="D25" s="948"/>
      <c r="E25" s="948">
        <f>IF(onbekend_gas_kWh="---",0,onbekend_gas_kWh)/1000+IF(REST_rest_gas_kWh="---",0,REST_rest_gas_kWh)/1000</f>
        <v>1636.3810444519499</v>
      </c>
      <c r="F25" s="948"/>
      <c r="G25" s="948"/>
      <c r="H25" s="948"/>
      <c r="I25" s="948"/>
      <c r="J25" s="948"/>
      <c r="K25" s="948"/>
      <c r="L25" s="948"/>
      <c r="M25" s="948"/>
      <c r="N25" s="948"/>
      <c r="O25" s="948"/>
      <c r="P25" s="948"/>
      <c r="Q25" s="949"/>
      <c r="R25" s="692">
        <f>SUM(C25:Q25)</f>
        <v>2649.9678283618</v>
      </c>
      <c r="S25" s="67"/>
    </row>
    <row r="26" spans="1:19" s="451" customFormat="1" ht="15.75" thickBot="1">
      <c r="A26" s="697" t="s">
        <v>715</v>
      </c>
      <c r="B26" s="819"/>
      <c r="C26" s="814">
        <f>SUM(C24:C25)</f>
        <v>4832.2346814021894</v>
      </c>
      <c r="D26" s="814">
        <f t="shared" ref="D26:R26" si="2">SUM(D24:D25)</f>
        <v>62.357142857142847</v>
      </c>
      <c r="E26" s="814">
        <f t="shared" si="2"/>
        <v>1780.5325399915771</v>
      </c>
      <c r="F26" s="814">
        <f t="shared" si="2"/>
        <v>142.40906050817657</v>
      </c>
      <c r="G26" s="814">
        <f t="shared" si="2"/>
        <v>12389.169363096231</v>
      </c>
      <c r="H26" s="814">
        <f t="shared" si="2"/>
        <v>0</v>
      </c>
      <c r="I26" s="814">
        <f t="shared" si="2"/>
        <v>0</v>
      </c>
      <c r="J26" s="814">
        <f t="shared" si="2"/>
        <v>0</v>
      </c>
      <c r="K26" s="814">
        <f t="shared" si="2"/>
        <v>1002.4139254017849</v>
      </c>
      <c r="L26" s="814">
        <f t="shared" si="2"/>
        <v>0</v>
      </c>
      <c r="M26" s="814">
        <f t="shared" si="2"/>
        <v>0</v>
      </c>
      <c r="N26" s="814">
        <f t="shared" si="2"/>
        <v>0</v>
      </c>
      <c r="O26" s="814">
        <f t="shared" si="2"/>
        <v>0</v>
      </c>
      <c r="P26" s="814">
        <f t="shared" si="2"/>
        <v>0</v>
      </c>
      <c r="Q26" s="814">
        <f t="shared" si="2"/>
        <v>0</v>
      </c>
      <c r="R26" s="814">
        <f t="shared" si="2"/>
        <v>20209.116713257106</v>
      </c>
      <c r="S26" s="67"/>
    </row>
    <row r="27" spans="1:19" s="451" customFormat="1" ht="17.25" thickTop="1" thickBot="1">
      <c r="A27" s="698" t="s">
        <v>115</v>
      </c>
      <c r="B27" s="806"/>
      <c r="C27" s="699">
        <f ca="1">C22+C16+C26</f>
        <v>75978.843824747077</v>
      </c>
      <c r="D27" s="699">
        <f t="shared" ref="D27:R27" ca="1" si="3">D22+D16+D26</f>
        <v>190.92857142857144</v>
      </c>
      <c r="E27" s="699">
        <f t="shared" ca="1" si="3"/>
        <v>95748.230160855543</v>
      </c>
      <c r="F27" s="699">
        <f t="shared" si="3"/>
        <v>8022.7914908341772</v>
      </c>
      <c r="G27" s="699">
        <f t="shared" ca="1" si="3"/>
        <v>45581.141317898604</v>
      </c>
      <c r="H27" s="699">
        <f t="shared" si="3"/>
        <v>75332.600825117814</v>
      </c>
      <c r="I27" s="699">
        <f t="shared" si="3"/>
        <v>21001.591564905862</v>
      </c>
      <c r="J27" s="699">
        <f t="shared" si="3"/>
        <v>0</v>
      </c>
      <c r="K27" s="699">
        <f t="shared" si="3"/>
        <v>1002.8453190183902</v>
      </c>
      <c r="L27" s="699">
        <f t="shared" si="3"/>
        <v>0</v>
      </c>
      <c r="M27" s="699">
        <f t="shared" ca="1" si="3"/>
        <v>0</v>
      </c>
      <c r="N27" s="699">
        <f t="shared" si="3"/>
        <v>5698.6461980339363</v>
      </c>
      <c r="O27" s="699">
        <f t="shared" ca="1" si="3"/>
        <v>43922.083826749993</v>
      </c>
      <c r="P27" s="699">
        <f t="shared" si="3"/>
        <v>709.75596427954599</v>
      </c>
      <c r="Q27" s="699">
        <f t="shared" si="3"/>
        <v>1443.021766920918</v>
      </c>
      <c r="R27" s="699">
        <f t="shared" ca="1" si="3"/>
        <v>374632.48083079042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4565.9129239886724</v>
      </c>
      <c r="D40" s="689">
        <f ca="1">tertiair!C20</f>
        <v>20.575502928444113</v>
      </c>
      <c r="E40" s="689">
        <f ca="1">tertiair!D20</f>
        <v>4897.1438647069153</v>
      </c>
      <c r="F40" s="689">
        <f>tertiair!E20</f>
        <v>24.571313730565929</v>
      </c>
      <c r="G40" s="689">
        <f ca="1">tertiair!F20</f>
        <v>1398.1899188498612</v>
      </c>
      <c r="H40" s="689">
        <f>tertiair!G20</f>
        <v>0</v>
      </c>
      <c r="I40" s="689">
        <f>tertiair!H20</f>
        <v>0</v>
      </c>
      <c r="J40" s="689">
        <f>tertiair!I20</f>
        <v>0</v>
      </c>
      <c r="K40" s="689">
        <f>tertiair!J20</f>
        <v>2.2261788617694556E-2</v>
      </c>
      <c r="L40" s="689">
        <f>tertiair!K20</f>
        <v>0</v>
      </c>
      <c r="M40" s="689">
        <f ca="1">tertiair!L20</f>
        <v>0</v>
      </c>
      <c r="N40" s="689">
        <f>tertiair!M20</f>
        <v>0</v>
      </c>
      <c r="O40" s="689">
        <f ca="1">tertiair!N20</f>
        <v>0</v>
      </c>
      <c r="P40" s="689">
        <f>tertiair!O20</f>
        <v>0</v>
      </c>
      <c r="Q40" s="772">
        <f>tertiair!P20</f>
        <v>0</v>
      </c>
      <c r="R40" s="852">
        <f t="shared" ca="1" si="4"/>
        <v>10906.415785993076</v>
      </c>
    </row>
    <row r="41" spans="1:18">
      <c r="A41" s="824" t="s">
        <v>224</v>
      </c>
      <c r="B41" s="831"/>
      <c r="C41" s="689">
        <f ca="1">huishoudens!B12</f>
        <v>6149.8237008603719</v>
      </c>
      <c r="D41" s="689">
        <f ca="1">huishoudens!C12</f>
        <v>0</v>
      </c>
      <c r="E41" s="689">
        <f>huishoudens!D12</f>
        <v>13347.046935762059</v>
      </c>
      <c r="F41" s="689">
        <f>huishoudens!E12</f>
        <v>1717.9518765521088</v>
      </c>
      <c r="G41" s="689">
        <f>huishoudens!F12</f>
        <v>7123.5820443294688</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28338.404557504007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2748.5731198031017</v>
      </c>
      <c r="D43" s="689">
        <f ca="1">industrie!C22</f>
        <v>0</v>
      </c>
      <c r="E43" s="689">
        <f>industrie!D22</f>
        <v>670.74658368387975</v>
      </c>
      <c r="F43" s="689">
        <f>industrie!E22</f>
        <v>6.2046305242209439</v>
      </c>
      <c r="G43" s="689">
        <f>industrie!F22</f>
        <v>340.48454875290452</v>
      </c>
      <c r="H43" s="689">
        <f>industrie!G22</f>
        <v>0</v>
      </c>
      <c r="I43" s="689">
        <f>industrie!H22</f>
        <v>0</v>
      </c>
      <c r="J43" s="689">
        <f>industrie!I22</f>
        <v>0</v>
      </c>
      <c r="K43" s="689">
        <f>industrie!J22</f>
        <v>0.13045155166057776</v>
      </c>
      <c r="L43" s="689">
        <f>industrie!K22</f>
        <v>0</v>
      </c>
      <c r="M43" s="689">
        <f>industrie!L22</f>
        <v>0</v>
      </c>
      <c r="N43" s="689">
        <f>industrie!M22</f>
        <v>0</v>
      </c>
      <c r="O43" s="689">
        <f>industrie!N22</f>
        <v>0</v>
      </c>
      <c r="P43" s="689">
        <f>industrie!O22</f>
        <v>0</v>
      </c>
      <c r="Q43" s="772">
        <f>industrie!P22</f>
        <v>0</v>
      </c>
      <c r="R43" s="851">
        <f t="shared" ca="1" si="4"/>
        <v>3766.1393343157674</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13464.309744652146</v>
      </c>
      <c r="D46" s="725">
        <f t="shared" ref="D46:Q46" ca="1" si="5">SUM(D39:D45)</f>
        <v>20.575502928444113</v>
      </c>
      <c r="E46" s="725">
        <f t="shared" ca="1" si="5"/>
        <v>18914.937384152854</v>
      </c>
      <c r="F46" s="725">
        <f t="shared" si="5"/>
        <v>1748.7278208068956</v>
      </c>
      <c r="G46" s="725">
        <f t="shared" ca="1" si="5"/>
        <v>8862.2565119322335</v>
      </c>
      <c r="H46" s="725">
        <f t="shared" si="5"/>
        <v>0</v>
      </c>
      <c r="I46" s="725">
        <f t="shared" si="5"/>
        <v>0</v>
      </c>
      <c r="J46" s="725">
        <f t="shared" si="5"/>
        <v>0</v>
      </c>
      <c r="K46" s="725">
        <f t="shared" si="5"/>
        <v>0.15271334027827232</v>
      </c>
      <c r="L46" s="725">
        <f t="shared" si="5"/>
        <v>0</v>
      </c>
      <c r="M46" s="725">
        <f t="shared" ca="1" si="5"/>
        <v>0</v>
      </c>
      <c r="N46" s="725">
        <f t="shared" si="5"/>
        <v>0</v>
      </c>
      <c r="O46" s="725">
        <f t="shared" ca="1" si="5"/>
        <v>0</v>
      </c>
      <c r="P46" s="725">
        <f t="shared" si="5"/>
        <v>0</v>
      </c>
      <c r="Q46" s="725">
        <f t="shared" si="5"/>
        <v>0</v>
      </c>
      <c r="R46" s="725">
        <f ca="1">SUM(R39:R45)</f>
        <v>43010.959677812854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347.11350185791758</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347.11350185791758</v>
      </c>
    </row>
    <row r="50" spans="1:18">
      <c r="A50" s="827" t="s">
        <v>306</v>
      </c>
      <c r="B50" s="837"/>
      <c r="C50" s="695">
        <f ca="1">transport!B18</f>
        <v>15.463894962816092</v>
      </c>
      <c r="D50" s="695">
        <f>transport!C18</f>
        <v>0</v>
      </c>
      <c r="E50" s="695">
        <f>transport!D18</f>
        <v>66.537535261669063</v>
      </c>
      <c r="F50" s="695">
        <f>transport!E18</f>
        <v>40.118990877106405</v>
      </c>
      <c r="G50" s="695">
        <f>transport!F18</f>
        <v>0</v>
      </c>
      <c r="H50" s="695">
        <f>transport!G18</f>
        <v>19766.690918448541</v>
      </c>
      <c r="I50" s="695">
        <f>transport!H18</f>
        <v>5229.3962996615601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25118.207639211691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15.463894962816092</v>
      </c>
      <c r="D52" s="725">
        <f t="shared" ref="D52:Q52" ca="1" si="6">SUM(D48:D51)</f>
        <v>0</v>
      </c>
      <c r="E52" s="725">
        <f t="shared" si="6"/>
        <v>66.537535261669063</v>
      </c>
      <c r="F52" s="725">
        <f t="shared" si="6"/>
        <v>40.118990877106405</v>
      </c>
      <c r="G52" s="725">
        <f t="shared" si="6"/>
        <v>0</v>
      </c>
      <c r="H52" s="725">
        <f t="shared" si="6"/>
        <v>20113.80442030646</v>
      </c>
      <c r="I52" s="725">
        <f t="shared" si="6"/>
        <v>5229.3962996615601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25465.321141069609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723.49912226847584</v>
      </c>
      <c r="D54" s="695">
        <f ca="1">+landbouw!C12</f>
        <v>9.9791189202953916</v>
      </c>
      <c r="E54" s="695">
        <f>+landbouw!D12</f>
        <v>29.118602099004704</v>
      </c>
      <c r="F54" s="695">
        <f>+landbouw!E12</f>
        <v>32.326856735356081</v>
      </c>
      <c r="G54" s="695">
        <f>+landbouw!F12</f>
        <v>3307.9082199466939</v>
      </c>
      <c r="H54" s="695">
        <f>+landbouw!G12</f>
        <v>0</v>
      </c>
      <c r="I54" s="695">
        <f>+landbouw!H12</f>
        <v>0</v>
      </c>
      <c r="J54" s="695">
        <f>+landbouw!I12</f>
        <v>0</v>
      </c>
      <c r="K54" s="695">
        <f>+landbouw!J12</f>
        <v>354.85452959223187</v>
      </c>
      <c r="L54" s="695">
        <f>+landbouw!K12</f>
        <v>0</v>
      </c>
      <c r="M54" s="695">
        <f>+landbouw!L12</f>
        <v>0</v>
      </c>
      <c r="N54" s="695">
        <f>+landbouw!M12</f>
        <v>0</v>
      </c>
      <c r="O54" s="695">
        <f>+landbouw!N12</f>
        <v>0</v>
      </c>
      <c r="P54" s="695">
        <f>+landbouw!O12</f>
        <v>0</v>
      </c>
      <c r="Q54" s="696">
        <f>+landbouw!P12</f>
        <v>0</v>
      </c>
      <c r="R54" s="724">
        <f ca="1">SUM(C54:Q54)</f>
        <v>4457.6864495620584</v>
      </c>
    </row>
    <row r="55" spans="1:18" ht="15" thickBot="1">
      <c r="A55" s="827" t="s">
        <v>714</v>
      </c>
      <c r="B55" s="837"/>
      <c r="C55" s="695">
        <f ca="1">C25*'EF ele_warmte'!B12</f>
        <v>192.03895415004672</v>
      </c>
      <c r="D55" s="695"/>
      <c r="E55" s="695">
        <f>E25*EF_CO2_aardgas</f>
        <v>330.54897097929393</v>
      </c>
      <c r="F55" s="695"/>
      <c r="G55" s="695"/>
      <c r="H55" s="695"/>
      <c r="I55" s="695"/>
      <c r="J55" s="695"/>
      <c r="K55" s="695"/>
      <c r="L55" s="695"/>
      <c r="M55" s="695"/>
      <c r="N55" s="695"/>
      <c r="O55" s="695"/>
      <c r="P55" s="695"/>
      <c r="Q55" s="696"/>
      <c r="R55" s="724">
        <f ca="1">SUM(C55:Q55)</f>
        <v>522.58792512934065</v>
      </c>
    </row>
    <row r="56" spans="1:18" ht="15.75" thickBot="1">
      <c r="A56" s="825" t="s">
        <v>715</v>
      </c>
      <c r="B56" s="838"/>
      <c r="C56" s="725">
        <f ca="1">SUM(C54:C55)</f>
        <v>915.53807641852256</v>
      </c>
      <c r="D56" s="725">
        <f t="shared" ref="D56:Q56" ca="1" si="7">SUM(D54:D55)</f>
        <v>9.9791189202953916</v>
      </c>
      <c r="E56" s="725">
        <f t="shared" si="7"/>
        <v>359.66757307829863</v>
      </c>
      <c r="F56" s="725">
        <f t="shared" si="7"/>
        <v>32.326856735356081</v>
      </c>
      <c r="G56" s="725">
        <f t="shared" si="7"/>
        <v>3307.9082199466939</v>
      </c>
      <c r="H56" s="725">
        <f t="shared" si="7"/>
        <v>0</v>
      </c>
      <c r="I56" s="725">
        <f t="shared" si="7"/>
        <v>0</v>
      </c>
      <c r="J56" s="725">
        <f t="shared" si="7"/>
        <v>0</v>
      </c>
      <c r="K56" s="725">
        <f t="shared" si="7"/>
        <v>354.85452959223187</v>
      </c>
      <c r="L56" s="725">
        <f t="shared" si="7"/>
        <v>0</v>
      </c>
      <c r="M56" s="725">
        <f t="shared" si="7"/>
        <v>0</v>
      </c>
      <c r="N56" s="725">
        <f t="shared" si="7"/>
        <v>0</v>
      </c>
      <c r="O56" s="725">
        <f t="shared" si="7"/>
        <v>0</v>
      </c>
      <c r="P56" s="725">
        <f t="shared" si="7"/>
        <v>0</v>
      </c>
      <c r="Q56" s="726">
        <f t="shared" si="7"/>
        <v>0</v>
      </c>
      <c r="R56" s="727">
        <f ca="1">SUM(R54:R55)</f>
        <v>4980.2743746913993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14395.311716033486</v>
      </c>
      <c r="D61" s="733">
        <f t="shared" ref="D61:Q61" ca="1" si="8">D46+D52+D56</f>
        <v>30.554621848739504</v>
      </c>
      <c r="E61" s="733">
        <f t="shared" ca="1" si="8"/>
        <v>19341.142492492821</v>
      </c>
      <c r="F61" s="733">
        <f t="shared" si="8"/>
        <v>1821.1736684193581</v>
      </c>
      <c r="G61" s="733">
        <f t="shared" ca="1" si="8"/>
        <v>12170.164731878927</v>
      </c>
      <c r="H61" s="733">
        <f t="shared" si="8"/>
        <v>20113.80442030646</v>
      </c>
      <c r="I61" s="733">
        <f t="shared" si="8"/>
        <v>5229.3962996615601</v>
      </c>
      <c r="J61" s="733">
        <f t="shared" si="8"/>
        <v>0</v>
      </c>
      <c r="K61" s="733">
        <f t="shared" si="8"/>
        <v>355.00724293251017</v>
      </c>
      <c r="L61" s="733">
        <f t="shared" si="8"/>
        <v>0</v>
      </c>
      <c r="M61" s="733">
        <f t="shared" ca="1" si="8"/>
        <v>0</v>
      </c>
      <c r="N61" s="733">
        <f t="shared" si="8"/>
        <v>0</v>
      </c>
      <c r="O61" s="733">
        <f t="shared" ca="1" si="8"/>
        <v>0</v>
      </c>
      <c r="P61" s="733">
        <f t="shared" si="8"/>
        <v>0</v>
      </c>
      <c r="Q61" s="733">
        <f t="shared" si="8"/>
        <v>0</v>
      </c>
      <c r="R61" s="733">
        <f ca="1">R46+R52+R56</f>
        <v>73456.555193573862</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0.18946473770037531</v>
      </c>
      <c r="D63" s="779">
        <f t="shared" ca="1" si="9"/>
        <v>0.16003168944345419</v>
      </c>
      <c r="E63" s="973">
        <f t="shared" ca="1" si="9"/>
        <v>0.20200000000000001</v>
      </c>
      <c r="F63" s="779">
        <f t="shared" si="9"/>
        <v>0.22699999999999998</v>
      </c>
      <c r="G63" s="779">
        <f t="shared" ca="1" si="9"/>
        <v>0.26700000000000002</v>
      </c>
      <c r="H63" s="779">
        <f t="shared" si="9"/>
        <v>0.26700000000000007</v>
      </c>
      <c r="I63" s="779">
        <f t="shared" si="9"/>
        <v>0.24900000000000003</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9463.816083844973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43.649999999999984</v>
      </c>
      <c r="C76" s="746">
        <f>'lokale energieproductie'!B8*IFERROR(SUM(D76:H76)/SUM(D76:O76),0)</f>
        <v>89.999999999999986</v>
      </c>
      <c r="D76" s="956">
        <f>'lokale energieproductie'!C8</f>
        <v>105.88235294117646</v>
      </c>
      <c r="E76" s="957">
        <f>'lokale energieproductie'!D8</f>
        <v>0</v>
      </c>
      <c r="F76" s="957">
        <f>'lokale energieproductie'!E8</f>
        <v>0</v>
      </c>
      <c r="G76" s="957">
        <f>'lokale energieproductie'!F8</f>
        <v>0</v>
      </c>
      <c r="H76" s="957">
        <f>'lokale energieproductie'!G8</f>
        <v>0</v>
      </c>
      <c r="I76" s="957">
        <f>'lokale energieproductie'!I8</f>
        <v>0</v>
      </c>
      <c r="J76" s="957">
        <f>'lokale energieproductie'!J8</f>
        <v>51.352941176470573</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21.388235294117646</v>
      </c>
      <c r="R76" s="854">
        <v>0</v>
      </c>
    </row>
    <row r="77" spans="1:18" ht="15.75" thickBot="1">
      <c r="A77" s="749" t="s">
        <v>760</v>
      </c>
      <c r="B77" s="746">
        <f>'lokale energieproductie'!B9*IFERROR(SUM(I77:O77)/SUM(D77:O77),0)</f>
        <v>1341</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3831.4285714285716</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10848.466083844973</v>
      </c>
      <c r="C78" s="751">
        <f>SUM(C72:C77)</f>
        <v>89.999999999999986</v>
      </c>
      <c r="D78" s="752">
        <f t="shared" ref="D78:H78" si="10">SUM(D76:D77)</f>
        <v>105.88235294117646</v>
      </c>
      <c r="E78" s="752">
        <f t="shared" si="10"/>
        <v>0</v>
      </c>
      <c r="F78" s="752">
        <f t="shared" si="10"/>
        <v>0</v>
      </c>
      <c r="G78" s="752">
        <f t="shared" si="10"/>
        <v>0</v>
      </c>
      <c r="H78" s="752">
        <f t="shared" si="10"/>
        <v>0</v>
      </c>
      <c r="I78" s="752">
        <f>SUM(I76:I77)</f>
        <v>0</v>
      </c>
      <c r="J78" s="752">
        <f>SUM(J76:J77)</f>
        <v>3882.7815126050423</v>
      </c>
      <c r="K78" s="752">
        <f t="shared" ref="K78:L78" si="11">SUM(K76:K77)</f>
        <v>0</v>
      </c>
      <c r="L78" s="752">
        <f t="shared" si="11"/>
        <v>0</v>
      </c>
      <c r="M78" s="752">
        <f>SUM(M76:M77)</f>
        <v>0</v>
      </c>
      <c r="N78" s="752">
        <f>SUM(N76:N77)</f>
        <v>0</v>
      </c>
      <c r="O78" s="862">
        <f>SUM(O76:O77)</f>
        <v>0</v>
      </c>
      <c r="P78" s="753">
        <v>0</v>
      </c>
      <c r="Q78" s="753">
        <f>SUM(Q76:Q77)</f>
        <v>21.388235294117646</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62.357142857142847</v>
      </c>
      <c r="C87" s="764">
        <f>'lokale energieproductie'!B17*IFERROR(SUM(D87:H87)/SUM(D87:O87),0)</f>
        <v>128.57142857142858</v>
      </c>
      <c r="D87" s="775">
        <f>'lokale energieproductie'!C17</f>
        <v>151.2605042016807</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73.361344537815114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30.554621848739504</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62.357142857142847</v>
      </c>
      <c r="C90" s="751">
        <f>SUM(C87:C89)</f>
        <v>128.57142857142858</v>
      </c>
      <c r="D90" s="751">
        <f t="shared" ref="D90:H90" si="12">SUM(D87:D89)</f>
        <v>151.2605042016807</v>
      </c>
      <c r="E90" s="751">
        <f t="shared" si="12"/>
        <v>0</v>
      </c>
      <c r="F90" s="751">
        <f t="shared" si="12"/>
        <v>0</v>
      </c>
      <c r="G90" s="751">
        <f t="shared" si="12"/>
        <v>0</v>
      </c>
      <c r="H90" s="751">
        <f t="shared" si="12"/>
        <v>0</v>
      </c>
      <c r="I90" s="751">
        <f>SUM(I87:I89)</f>
        <v>0</v>
      </c>
      <c r="J90" s="751">
        <f>SUM(J87:J89)</f>
        <v>73.361344537815114</v>
      </c>
      <c r="K90" s="751">
        <f t="shared" ref="K90:L90" si="13">SUM(K87:K89)</f>
        <v>0</v>
      </c>
      <c r="L90" s="751">
        <f t="shared" si="13"/>
        <v>0</v>
      </c>
      <c r="M90" s="751">
        <f>SUM(M87:M89)</f>
        <v>0</v>
      </c>
      <c r="N90" s="751">
        <f>SUM(N87:N89)</f>
        <v>0</v>
      </c>
      <c r="O90" s="751">
        <f>SUM(O87:O89)</f>
        <v>0</v>
      </c>
      <c r="P90" s="751">
        <v>0</v>
      </c>
      <c r="Q90" s="751">
        <f>SUM(Q87:Q89)</f>
        <v>30.554621848739504</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9463.816083844973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133.64999999999998</v>
      </c>
      <c r="C8" s="551">
        <f>B49</f>
        <v>105.88235294117646</v>
      </c>
      <c r="D8" s="552"/>
      <c r="E8" s="552">
        <f>E49</f>
        <v>0</v>
      </c>
      <c r="F8" s="553"/>
      <c r="G8" s="554"/>
      <c r="H8" s="552">
        <f>I49</f>
        <v>0</v>
      </c>
      <c r="I8" s="552">
        <f>G49+F49</f>
        <v>0</v>
      </c>
      <c r="J8" s="552">
        <f>H49+D49+C49</f>
        <v>51.352941176470573</v>
      </c>
      <c r="K8" s="552"/>
      <c r="L8" s="552"/>
      <c r="M8" s="552"/>
      <c r="N8" s="555"/>
      <c r="O8" s="556">
        <f>C8*$C$12+D8*$D$12+E8*$E$12+F8*$F$12+G8*$G$12+H8*$H$12+I8*$I$12+J8*$J$12</f>
        <v>21.388235294117646</v>
      </c>
      <c r="P8" s="1256"/>
      <c r="Q8" s="1257"/>
      <c r="S8" s="546"/>
      <c r="T8" s="1244"/>
      <c r="U8" s="1244"/>
    </row>
    <row r="9" spans="1:21" s="537" customFormat="1" ht="17.45" customHeight="1" thickBot="1">
      <c r="A9" s="557" t="s">
        <v>247</v>
      </c>
      <c r="B9" s="558">
        <f>N37+'Eigen informatie GS &amp; warmtenet'!B12</f>
        <v>1341</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10938.466083844973</v>
      </c>
      <c r="C10" s="566">
        <f t="shared" ref="C10:L10" si="0">SUM(C8:C9)</f>
        <v>105.88235294117646</v>
      </c>
      <c r="D10" s="566">
        <f t="shared" si="0"/>
        <v>0</v>
      </c>
      <c r="E10" s="566">
        <f t="shared" si="0"/>
        <v>0</v>
      </c>
      <c r="F10" s="566">
        <f t="shared" si="0"/>
        <v>0</v>
      </c>
      <c r="G10" s="566">
        <f t="shared" si="0"/>
        <v>0</v>
      </c>
      <c r="H10" s="566">
        <f t="shared" si="0"/>
        <v>0</v>
      </c>
      <c r="I10" s="566">
        <f t="shared" si="0"/>
        <v>0</v>
      </c>
      <c r="J10" s="566">
        <f t="shared" si="0"/>
        <v>3882.7815126050423</v>
      </c>
      <c r="K10" s="566">
        <f t="shared" si="0"/>
        <v>0</v>
      </c>
      <c r="L10" s="566">
        <f t="shared" si="0"/>
        <v>0</v>
      </c>
      <c r="M10" s="969"/>
      <c r="N10" s="969"/>
      <c r="O10" s="567">
        <f>SUM(O4:O9)</f>
        <v>21.388235294117646</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190.92857142857144</v>
      </c>
      <c r="C17" s="582">
        <f>B50</f>
        <v>151.2605042016807</v>
      </c>
      <c r="D17" s="583"/>
      <c r="E17" s="583">
        <f>E50</f>
        <v>0</v>
      </c>
      <c r="F17" s="584"/>
      <c r="G17" s="585"/>
      <c r="H17" s="582">
        <f>I50</f>
        <v>0</v>
      </c>
      <c r="I17" s="583">
        <f>G50+F50</f>
        <v>0</v>
      </c>
      <c r="J17" s="583">
        <f>H50+D50+C50</f>
        <v>73.361344537815114</v>
      </c>
      <c r="K17" s="583"/>
      <c r="L17" s="583"/>
      <c r="M17" s="583"/>
      <c r="N17" s="970"/>
      <c r="O17" s="586">
        <f>C17*$C$22+E17*$E$22+H17*$H$22+I17*$I$22+J17*$J$22+D17*$D$22+F17*$F$22+G17*$G$22+K17*$K$22+L17*$L$22</f>
        <v>30.554621848739504</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190.92857142857144</v>
      </c>
      <c r="C20" s="565">
        <f>SUM(C17:C19)</f>
        <v>151.2605042016807</v>
      </c>
      <c r="D20" s="565">
        <f t="shared" ref="D20:L20" si="1">SUM(D17:D19)</f>
        <v>0</v>
      </c>
      <c r="E20" s="565">
        <f t="shared" si="1"/>
        <v>0</v>
      </c>
      <c r="F20" s="565">
        <f t="shared" si="1"/>
        <v>0</v>
      </c>
      <c r="G20" s="565">
        <f t="shared" si="1"/>
        <v>0</v>
      </c>
      <c r="H20" s="565">
        <f t="shared" si="1"/>
        <v>0</v>
      </c>
      <c r="I20" s="565">
        <f t="shared" si="1"/>
        <v>0</v>
      </c>
      <c r="J20" s="565">
        <f t="shared" si="1"/>
        <v>73.361344537815114</v>
      </c>
      <c r="K20" s="565">
        <f t="shared" si="1"/>
        <v>0</v>
      </c>
      <c r="L20" s="565">
        <f t="shared" si="1"/>
        <v>0</v>
      </c>
      <c r="M20" s="565"/>
      <c r="N20" s="565"/>
      <c r="O20" s="591">
        <f>SUM(O17:O19)</f>
        <v>30.554621848739504</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13017</v>
      </c>
      <c r="C28" s="794">
        <v>2460</v>
      </c>
      <c r="D28" s="643" t="s">
        <v>865</v>
      </c>
      <c r="E28" s="642" t="s">
        <v>866</v>
      </c>
      <c r="F28" s="642" t="s">
        <v>867</v>
      </c>
      <c r="G28" s="642" t="s">
        <v>868</v>
      </c>
      <c r="H28" s="642" t="s">
        <v>869</v>
      </c>
      <c r="I28" s="642" t="s">
        <v>866</v>
      </c>
      <c r="J28" s="793">
        <v>41586</v>
      </c>
      <c r="K28" s="793">
        <v>41586</v>
      </c>
      <c r="L28" s="642" t="s">
        <v>870</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96" customFormat="1" ht="51">
      <c r="A29" s="595"/>
      <c r="B29" s="794">
        <v>13017</v>
      </c>
      <c r="C29" s="794">
        <v>2460</v>
      </c>
      <c r="D29" s="643" t="s">
        <v>871</v>
      </c>
      <c r="E29" s="642"/>
      <c r="F29" s="642" t="s">
        <v>872</v>
      </c>
      <c r="G29" s="642" t="s">
        <v>868</v>
      </c>
      <c r="H29" s="642" t="s">
        <v>869</v>
      </c>
      <c r="I29" s="642" t="s">
        <v>873</v>
      </c>
      <c r="J29" s="793">
        <v>42396</v>
      </c>
      <c r="K29" s="793">
        <v>42377</v>
      </c>
      <c r="L29" s="642" t="s">
        <v>874</v>
      </c>
      <c r="M29" s="642">
        <v>20</v>
      </c>
      <c r="N29" s="642">
        <v>90</v>
      </c>
      <c r="O29" s="642">
        <v>128.57142857142858</v>
      </c>
      <c r="P29" s="642">
        <v>257.14285714285717</v>
      </c>
      <c r="Q29" s="642">
        <v>0</v>
      </c>
      <c r="R29" s="642">
        <v>0</v>
      </c>
      <c r="S29" s="642">
        <v>0</v>
      </c>
      <c r="T29" s="642">
        <v>0</v>
      </c>
      <c r="U29" s="642">
        <v>0</v>
      </c>
      <c r="V29" s="642">
        <v>0</v>
      </c>
      <c r="W29" s="642">
        <v>0</v>
      </c>
      <c r="X29" s="642">
        <v>1500</v>
      </c>
      <c r="Y29" s="642" t="s">
        <v>50</v>
      </c>
      <c r="Z29" s="644" t="s">
        <v>155</v>
      </c>
    </row>
    <row r="30" spans="1:26" s="576" customFormat="1">
      <c r="A30" s="598" t="s">
        <v>279</v>
      </c>
      <c r="B30" s="599"/>
      <c r="C30" s="599"/>
      <c r="D30" s="599"/>
      <c r="E30" s="599"/>
      <c r="F30" s="599"/>
      <c r="G30" s="599"/>
      <c r="H30" s="599"/>
      <c r="I30" s="599"/>
      <c r="J30" s="599"/>
      <c r="K30" s="599"/>
      <c r="L30" s="600"/>
      <c r="M30" s="600">
        <f>SUM(M28:M29)</f>
        <v>29.7</v>
      </c>
      <c r="N30" s="600">
        <f>SUM(N28:N29)</f>
        <v>133.64999999999998</v>
      </c>
      <c r="O30" s="600">
        <f>SUM(O28:O29)</f>
        <v>190.92857142857144</v>
      </c>
      <c r="P30" s="600">
        <f>SUM(P28:P29)</f>
        <v>257.14285714285717</v>
      </c>
      <c r="Q30" s="600">
        <f>SUM(Q28:Q29)</f>
        <v>124.71428571428569</v>
      </c>
      <c r="R30" s="600">
        <f>SUM(R28:R29)</f>
        <v>0</v>
      </c>
      <c r="S30" s="600">
        <f>SUM(S28:S29)</f>
        <v>0</v>
      </c>
      <c r="T30" s="600">
        <f>SUM(T28:T29)</f>
        <v>0</v>
      </c>
      <c r="U30" s="600">
        <f>SUM(U28:U29)</f>
        <v>0</v>
      </c>
      <c r="V30" s="600">
        <f>SUM(V28:V29)</f>
        <v>0</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0</v>
      </c>
      <c r="N31" s="600">
        <f>SUMIF($Z$28:$Z$29,"industrie",N28:N29)</f>
        <v>0</v>
      </c>
      <c r="O31" s="600">
        <f>SUMIF($Z$28:$Z$29,"industrie",O28:O29)</f>
        <v>0</v>
      </c>
      <c r="P31" s="600">
        <f>SUMIF($Z$28:$Z$29,"industrie",P28:P29)</f>
        <v>0</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20</v>
      </c>
      <c r="N32" s="600">
        <f ca="1">SUMIF($Z$28:AD29,"tertiair",N28:N29)</f>
        <v>90</v>
      </c>
      <c r="O32" s="600">
        <f ca="1">SUMIF($Z$28:AE29,"tertiair",O28:O29)</f>
        <v>128.57142857142858</v>
      </c>
      <c r="P32" s="600">
        <f ca="1">SUMIF($Z$28:AF29,"tertiair",P28:P29)</f>
        <v>257.14285714285717</v>
      </c>
      <c r="Q32" s="600">
        <f ca="1">SUMIF($Z$28:AG29,"tertiair",Q28:Q29)</f>
        <v>0</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9.6999999999999993</v>
      </c>
      <c r="N33" s="605">
        <f>SUMIF($Z$28:$Z$29,"landbouw",N28:N29)</f>
        <v>43.649999999999991</v>
      </c>
      <c r="O33" s="605">
        <f>SUMIF($Z$28:$Z$29,"landbouw",O28:O29)</f>
        <v>62.357142857142847</v>
      </c>
      <c r="P33" s="605">
        <f>SUMIF($Z$28:$Z$29,"landbouw",P28:P29)</f>
        <v>0</v>
      </c>
      <c r="Q33" s="605">
        <f>SUMIF($Z$28:$Z$29,"landbouw",Q28:Q29)</f>
        <v>124.71428571428569</v>
      </c>
      <c r="R33" s="605">
        <f>SUMIF($Z$28:$Z$29,"landbouw",R28:R29)</f>
        <v>0</v>
      </c>
      <c r="S33" s="605">
        <f>SUMIF($Z$28:$Z$29,"landbouw",S28:S29)</f>
        <v>0</v>
      </c>
      <c r="T33" s="605">
        <f>SUMIF($Z$28:$Z$29,"landbouw",T28:T29)</f>
        <v>0</v>
      </c>
      <c r="U33" s="605">
        <f>SUMIF($Z$28:$Z$29,"landbouw",U28:U29)</f>
        <v>0</v>
      </c>
      <c r="V33" s="605">
        <f>SUMIF($Z$28:$Z$29,"landbouw",V28:V29)</f>
        <v>0</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63.75">
      <c r="A36" s="597"/>
      <c r="B36" s="794">
        <v>13017</v>
      </c>
      <c r="C36" s="794">
        <v>2460</v>
      </c>
      <c r="D36" s="645" t="s">
        <v>875</v>
      </c>
      <c r="E36" s="645" t="s">
        <v>876</v>
      </c>
      <c r="F36" s="645" t="s">
        <v>877</v>
      </c>
      <c r="G36" s="645" t="s">
        <v>878</v>
      </c>
      <c r="H36" s="645" t="s">
        <v>879</v>
      </c>
      <c r="I36" s="645" t="s">
        <v>880</v>
      </c>
      <c r="J36" s="793">
        <v>38768</v>
      </c>
      <c r="K36" s="793">
        <v>39052</v>
      </c>
      <c r="L36" s="645" t="s">
        <v>881</v>
      </c>
      <c r="M36" s="645">
        <v>298</v>
      </c>
      <c r="N36" s="645">
        <v>1341</v>
      </c>
      <c r="O36" s="645">
        <v>0</v>
      </c>
      <c r="P36" s="645">
        <v>0</v>
      </c>
      <c r="Q36" s="645">
        <v>3831.4285714285716</v>
      </c>
      <c r="R36" s="645">
        <v>0</v>
      </c>
      <c r="S36" s="645">
        <v>0</v>
      </c>
      <c r="T36" s="645">
        <v>0</v>
      </c>
      <c r="U36" s="645">
        <v>0</v>
      </c>
      <c r="V36" s="645">
        <v>0</v>
      </c>
      <c r="W36" s="645">
        <v>0</v>
      </c>
      <c r="X36" s="645">
        <v>1600</v>
      </c>
      <c r="Y36" s="645" t="s">
        <v>49</v>
      </c>
      <c r="Z36" s="646" t="s">
        <v>155</v>
      </c>
    </row>
    <row r="37" spans="1:27" s="576" customFormat="1">
      <c r="A37" s="598" t="s">
        <v>279</v>
      </c>
      <c r="B37" s="599"/>
      <c r="C37" s="599"/>
      <c r="D37" s="599"/>
      <c r="E37" s="599"/>
      <c r="F37" s="599"/>
      <c r="G37" s="599"/>
      <c r="H37" s="599"/>
      <c r="I37" s="599"/>
      <c r="J37" s="599"/>
      <c r="K37" s="599"/>
      <c r="L37" s="600"/>
      <c r="M37" s="600">
        <f>SUM(M36:M36)</f>
        <v>298</v>
      </c>
      <c r="N37" s="600">
        <f>SUM(N36:N36)</f>
        <v>1341</v>
      </c>
      <c r="O37" s="600">
        <f>SUM(O36:O36)</f>
        <v>0</v>
      </c>
      <c r="P37" s="600">
        <f>SUM(P36:P36)</f>
        <v>0</v>
      </c>
      <c r="Q37" s="600">
        <f>SUM(Q36:Q36)</f>
        <v>3831.4285714285716</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298</v>
      </c>
      <c r="N39" s="600">
        <f>SUMIF($Z$36:$Z$37,"tertiair",N36:N37)</f>
        <v>1341</v>
      </c>
      <c r="O39" s="600">
        <f>SUMIF($Z$36:$Z$37,"tertiair",O36:O37)</f>
        <v>0</v>
      </c>
      <c r="P39" s="600">
        <f>SUMIF($Z$36:$Z$37,"tertiair",P36:P37)</f>
        <v>0</v>
      </c>
      <c r="Q39" s="600">
        <f>SUMIF($Z$36:$Z$37,"tertiair",Q36:Q37)</f>
        <v>3831.4285714285716</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0.58823529411764708</v>
      </c>
      <c r="C46" s="625">
        <f>IF(ISERROR(N30/(O30+N30)),0,N30/(N30+O30))</f>
        <v>0.41176470588235287</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105.88235294117646</v>
      </c>
      <c r="C49" s="634">
        <f t="shared" si="2"/>
        <v>51.352941176470573</v>
      </c>
      <c r="D49" s="634">
        <f t="shared" si="2"/>
        <v>0</v>
      </c>
      <c r="E49" s="634">
        <f t="shared" si="2"/>
        <v>0</v>
      </c>
      <c r="F49" s="634">
        <f t="shared" si="2"/>
        <v>0</v>
      </c>
      <c r="G49" s="634">
        <f t="shared" si="2"/>
        <v>0</v>
      </c>
      <c r="H49" s="634">
        <f t="shared" si="2"/>
        <v>0</v>
      </c>
      <c r="I49" s="635">
        <f t="shared" si="2"/>
        <v>0</v>
      </c>
      <c r="J49" s="592"/>
      <c r="K49" s="592"/>
      <c r="L49" s="630"/>
      <c r="M49" s="630"/>
      <c r="N49" s="630"/>
      <c r="O49" s="617"/>
      <c r="P49" s="617"/>
    </row>
    <row r="50" spans="1:16" ht="15.75" thickBot="1">
      <c r="A50" s="636" t="s">
        <v>285</v>
      </c>
      <c r="B50" s="637">
        <f t="shared" ref="B50:I50" si="3">$B$46*P30</f>
        <v>151.2605042016807</v>
      </c>
      <c r="C50" s="637">
        <f t="shared" si="3"/>
        <v>73.361344537815114</v>
      </c>
      <c r="D50" s="637">
        <f t="shared" si="3"/>
        <v>0</v>
      </c>
      <c r="E50" s="637">
        <f t="shared" si="3"/>
        <v>0</v>
      </c>
      <c r="F50" s="637">
        <f t="shared" si="3"/>
        <v>0</v>
      </c>
      <c r="G50" s="637">
        <f t="shared" si="3"/>
        <v>0</v>
      </c>
      <c r="H50" s="637">
        <f t="shared" si="3"/>
        <v>0</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32458.935501686177</v>
      </c>
      <c r="C4" s="455">
        <f>huishoudens!C8</f>
        <v>0</v>
      </c>
      <c r="D4" s="455">
        <f>huishoudens!D8</f>
        <v>66074.489781000288</v>
      </c>
      <c r="E4" s="455">
        <f>huishoudens!E8</f>
        <v>7568.0699407581887</v>
      </c>
      <c r="F4" s="455">
        <f>huishoudens!F8</f>
        <v>26680.082563031716</v>
      </c>
      <c r="G4" s="455">
        <f>huishoudens!G8</f>
        <v>0</v>
      </c>
      <c r="H4" s="455">
        <f>huishoudens!H8</f>
        <v>0</v>
      </c>
      <c r="I4" s="455">
        <f>huishoudens!I8</f>
        <v>0</v>
      </c>
      <c r="J4" s="455">
        <f>huishoudens!J8</f>
        <v>0</v>
      </c>
      <c r="K4" s="455">
        <f>huishoudens!K8</f>
        <v>0</v>
      </c>
      <c r="L4" s="455">
        <f>huishoudens!L8</f>
        <v>0</v>
      </c>
      <c r="M4" s="455">
        <f>huishoudens!M8</f>
        <v>0</v>
      </c>
      <c r="N4" s="455">
        <f>huishoudens!N8</f>
        <v>43456.299201577145</v>
      </c>
      <c r="O4" s="455">
        <f>huishoudens!O8</f>
        <v>670.57787815281677</v>
      </c>
      <c r="P4" s="456">
        <f>huishoudens!P8</f>
        <v>1390.482628614423</v>
      </c>
      <c r="Q4" s="457">
        <f>SUM(B4:P4)</f>
        <v>178298.93749482074</v>
      </c>
    </row>
    <row r="5" spans="1:17">
      <c r="A5" s="454" t="s">
        <v>155</v>
      </c>
      <c r="B5" s="455">
        <f ca="1">tertiair!B16</f>
        <v>23285.063665217258</v>
      </c>
      <c r="C5" s="455">
        <f ca="1">tertiair!C16</f>
        <v>128.57142857142858</v>
      </c>
      <c r="D5" s="455">
        <f ca="1">tertiair!D16</f>
        <v>24243.286458945124</v>
      </c>
      <c r="E5" s="455">
        <f>tertiair!E16</f>
        <v>108.24367282187634</v>
      </c>
      <c r="F5" s="455">
        <f ca="1">tertiair!F16</f>
        <v>5236.666362733562</v>
      </c>
      <c r="G5" s="455">
        <f>tertiair!G16</f>
        <v>0</v>
      </c>
      <c r="H5" s="455">
        <f>tertiair!H16</f>
        <v>0</v>
      </c>
      <c r="I5" s="455">
        <f>tertiair!I16</f>
        <v>0</v>
      </c>
      <c r="J5" s="455">
        <f>tertiair!J16</f>
        <v>6.2886408524560899E-2</v>
      </c>
      <c r="K5" s="455">
        <f>tertiair!K16</f>
        <v>0</v>
      </c>
      <c r="L5" s="455">
        <f ca="1">tertiair!L16</f>
        <v>0</v>
      </c>
      <c r="M5" s="455">
        <f>tertiair!M16</f>
        <v>0</v>
      </c>
      <c r="N5" s="455">
        <f ca="1">tertiair!N16</f>
        <v>0</v>
      </c>
      <c r="O5" s="455">
        <f>tertiair!O16</f>
        <v>39.178086126729234</v>
      </c>
      <c r="P5" s="456">
        <f>tertiair!P16</f>
        <v>52.539138306495019</v>
      </c>
      <c r="Q5" s="454">
        <f t="shared" ref="Q5:Q14" ca="1" si="0">SUM(B5:P5)</f>
        <v>53093.611699130997</v>
      </c>
    </row>
    <row r="6" spans="1:17">
      <c r="A6" s="454" t="s">
        <v>193</v>
      </c>
      <c r="B6" s="455">
        <f>'openbare verlichting'!B8</f>
        <v>813.94799999999998</v>
      </c>
      <c r="C6" s="455"/>
      <c r="D6" s="455"/>
      <c r="E6" s="455"/>
      <c r="F6" s="455"/>
      <c r="G6" s="455"/>
      <c r="H6" s="455"/>
      <c r="I6" s="455"/>
      <c r="J6" s="455"/>
      <c r="K6" s="455"/>
      <c r="L6" s="455"/>
      <c r="M6" s="455"/>
      <c r="N6" s="455"/>
      <c r="O6" s="455"/>
      <c r="P6" s="456"/>
      <c r="Q6" s="454">
        <f t="shared" si="0"/>
        <v>813.94799999999998</v>
      </c>
    </row>
    <row r="7" spans="1:17">
      <c r="A7" s="454" t="s">
        <v>111</v>
      </c>
      <c r="B7" s="455">
        <f>landbouw!B8</f>
        <v>3818.6478974923398</v>
      </c>
      <c r="C7" s="455">
        <f>landbouw!C8</f>
        <v>62.357142857142847</v>
      </c>
      <c r="D7" s="455">
        <f>landbouw!D8</f>
        <v>144.15149553962723</v>
      </c>
      <c r="E7" s="455">
        <f>landbouw!E8</f>
        <v>142.40906050817657</v>
      </c>
      <c r="F7" s="455">
        <f>landbouw!F8</f>
        <v>12389.169363096231</v>
      </c>
      <c r="G7" s="455">
        <f>landbouw!G8</f>
        <v>0</v>
      </c>
      <c r="H7" s="455">
        <f>landbouw!H8</f>
        <v>0</v>
      </c>
      <c r="I7" s="455">
        <f>landbouw!I8</f>
        <v>0</v>
      </c>
      <c r="J7" s="455">
        <f>landbouw!J8</f>
        <v>1002.4139254017849</v>
      </c>
      <c r="K7" s="455">
        <f>landbouw!K8</f>
        <v>0</v>
      </c>
      <c r="L7" s="455">
        <f>landbouw!L8</f>
        <v>0</v>
      </c>
      <c r="M7" s="455">
        <f>landbouw!M8</f>
        <v>0</v>
      </c>
      <c r="N7" s="455">
        <f>landbouw!N8</f>
        <v>0</v>
      </c>
      <c r="O7" s="455">
        <f>landbouw!O8</f>
        <v>0</v>
      </c>
      <c r="P7" s="456">
        <f>landbouw!P8</f>
        <v>0</v>
      </c>
      <c r="Q7" s="454">
        <f t="shared" si="0"/>
        <v>17559.148884895305</v>
      </c>
    </row>
    <row r="8" spans="1:17">
      <c r="A8" s="454" t="s">
        <v>626</v>
      </c>
      <c r="B8" s="455">
        <f>industrie!B18</f>
        <v>14507.04312139481</v>
      </c>
      <c r="C8" s="455">
        <f>industrie!C18</f>
        <v>0</v>
      </c>
      <c r="D8" s="455">
        <f>industrie!D18</f>
        <v>3320.5276419994043</v>
      </c>
      <c r="E8" s="455">
        <f>industrie!E18</f>
        <v>27.333174115510765</v>
      </c>
      <c r="F8" s="455">
        <f>industrie!F18</f>
        <v>1275.2230290370956</v>
      </c>
      <c r="G8" s="455">
        <f>industrie!G18</f>
        <v>0</v>
      </c>
      <c r="H8" s="455">
        <f>industrie!H18</f>
        <v>0</v>
      </c>
      <c r="I8" s="455">
        <f>industrie!I18</f>
        <v>0</v>
      </c>
      <c r="J8" s="455">
        <f>industrie!J18</f>
        <v>0.36850720808072818</v>
      </c>
      <c r="K8" s="455">
        <f>industrie!K18</f>
        <v>0</v>
      </c>
      <c r="L8" s="455">
        <f>industrie!L18</f>
        <v>0</v>
      </c>
      <c r="M8" s="455">
        <f>industrie!M18</f>
        <v>0</v>
      </c>
      <c r="N8" s="455">
        <f>industrie!N18</f>
        <v>465.78462517284839</v>
      </c>
      <c r="O8" s="455">
        <f>industrie!O18</f>
        <v>0</v>
      </c>
      <c r="P8" s="456">
        <f>industrie!P18</f>
        <v>0</v>
      </c>
      <c r="Q8" s="454">
        <f t="shared" si="0"/>
        <v>19596.280098927753</v>
      </c>
    </row>
    <row r="9" spans="1:17" s="460" customFormat="1">
      <c r="A9" s="458" t="s">
        <v>552</v>
      </c>
      <c r="B9" s="459">
        <f>transport!B14</f>
        <v>81.618855046637307</v>
      </c>
      <c r="C9" s="459">
        <f>transport!C14</f>
        <v>0</v>
      </c>
      <c r="D9" s="459">
        <f>transport!D14</f>
        <v>329.39373891915375</v>
      </c>
      <c r="E9" s="459">
        <f>transport!E14</f>
        <v>176.73564263042468</v>
      </c>
      <c r="F9" s="459">
        <f>transport!F14</f>
        <v>0</v>
      </c>
      <c r="G9" s="459">
        <f>transport!G14</f>
        <v>74032.550256361574</v>
      </c>
      <c r="H9" s="459">
        <f>transport!H14</f>
        <v>21001.591564905862</v>
      </c>
      <c r="I9" s="459">
        <f>transport!I14</f>
        <v>0</v>
      </c>
      <c r="J9" s="459">
        <f>transport!J14</f>
        <v>0</v>
      </c>
      <c r="K9" s="459">
        <f>transport!K14</f>
        <v>0</v>
      </c>
      <c r="L9" s="459">
        <f>transport!L14</f>
        <v>0</v>
      </c>
      <c r="M9" s="459">
        <f>transport!M14</f>
        <v>5628.0980496203483</v>
      </c>
      <c r="N9" s="459">
        <f>transport!N14</f>
        <v>0</v>
      </c>
      <c r="O9" s="459">
        <f>transport!O14</f>
        <v>0</v>
      </c>
      <c r="P9" s="459">
        <f>transport!P14</f>
        <v>0</v>
      </c>
      <c r="Q9" s="458">
        <f>SUM(B9:P9)</f>
        <v>101249.98810748401</v>
      </c>
    </row>
    <row r="10" spans="1:17">
      <c r="A10" s="454" t="s">
        <v>542</v>
      </c>
      <c r="B10" s="455">
        <f>transport!B54</f>
        <v>0</v>
      </c>
      <c r="C10" s="455">
        <f>transport!C54</f>
        <v>0</v>
      </c>
      <c r="D10" s="455">
        <f>transport!D54</f>
        <v>0</v>
      </c>
      <c r="E10" s="455">
        <f>transport!E54</f>
        <v>0</v>
      </c>
      <c r="F10" s="455">
        <f>transport!F54</f>
        <v>0</v>
      </c>
      <c r="G10" s="455">
        <f>transport!G54</f>
        <v>1300.0505687562456</v>
      </c>
      <c r="H10" s="455">
        <f>transport!H54</f>
        <v>0</v>
      </c>
      <c r="I10" s="455">
        <f>transport!I54</f>
        <v>0</v>
      </c>
      <c r="J10" s="455">
        <f>transport!J54</f>
        <v>0</v>
      </c>
      <c r="K10" s="455">
        <f>transport!K54</f>
        <v>0</v>
      </c>
      <c r="L10" s="455">
        <f>transport!L54</f>
        <v>0</v>
      </c>
      <c r="M10" s="455">
        <f>transport!M54</f>
        <v>70.548148413588336</v>
      </c>
      <c r="N10" s="455">
        <f>transport!N54</f>
        <v>0</v>
      </c>
      <c r="O10" s="455">
        <f>transport!O54</f>
        <v>0</v>
      </c>
      <c r="P10" s="456">
        <f>transport!P54</f>
        <v>0</v>
      </c>
      <c r="Q10" s="454">
        <f t="shared" si="0"/>
        <v>1370.5987171698339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1013.5867839098501</v>
      </c>
      <c r="C14" s="462"/>
      <c r="D14" s="462">
        <f>'SEAP template'!E25</f>
        <v>1636.3810444519499</v>
      </c>
      <c r="E14" s="462"/>
      <c r="F14" s="462"/>
      <c r="G14" s="462"/>
      <c r="H14" s="462"/>
      <c r="I14" s="462"/>
      <c r="J14" s="462"/>
      <c r="K14" s="462"/>
      <c r="L14" s="462"/>
      <c r="M14" s="462"/>
      <c r="N14" s="462"/>
      <c r="O14" s="462"/>
      <c r="P14" s="463"/>
      <c r="Q14" s="454">
        <f t="shared" si="0"/>
        <v>2649.9678283618</v>
      </c>
    </row>
    <row r="15" spans="1:17" s="466" customFormat="1">
      <c r="A15" s="464" t="s">
        <v>546</v>
      </c>
      <c r="B15" s="465">
        <f ca="1">SUM(B4:B14)</f>
        <v>75978.843824747062</v>
      </c>
      <c r="C15" s="465">
        <f t="shared" ref="C15:Q15" ca="1" si="1">SUM(C4:C14)</f>
        <v>190.92857142857144</v>
      </c>
      <c r="D15" s="465">
        <f t="shared" ca="1" si="1"/>
        <v>95748.230160855543</v>
      </c>
      <c r="E15" s="465">
        <f t="shared" si="1"/>
        <v>8022.7914908341772</v>
      </c>
      <c r="F15" s="465">
        <f t="shared" ca="1" si="1"/>
        <v>45581.141317898604</v>
      </c>
      <c r="G15" s="465">
        <f t="shared" si="1"/>
        <v>75332.600825117814</v>
      </c>
      <c r="H15" s="465">
        <f t="shared" si="1"/>
        <v>21001.591564905862</v>
      </c>
      <c r="I15" s="465">
        <f t="shared" si="1"/>
        <v>0</v>
      </c>
      <c r="J15" s="465">
        <f t="shared" si="1"/>
        <v>1002.8453190183902</v>
      </c>
      <c r="K15" s="465">
        <f t="shared" si="1"/>
        <v>0</v>
      </c>
      <c r="L15" s="465">
        <f t="shared" ca="1" si="1"/>
        <v>0</v>
      </c>
      <c r="M15" s="465">
        <f t="shared" si="1"/>
        <v>5698.6461980339363</v>
      </c>
      <c r="N15" s="465">
        <f t="shared" ca="1" si="1"/>
        <v>43922.083826749993</v>
      </c>
      <c r="O15" s="465">
        <f t="shared" si="1"/>
        <v>709.75596427954599</v>
      </c>
      <c r="P15" s="465">
        <f t="shared" si="1"/>
        <v>1443.021766920918</v>
      </c>
      <c r="Q15" s="465">
        <f t="shared" ca="1" si="1"/>
        <v>374632.48083079042</v>
      </c>
    </row>
    <row r="17" spans="1:17">
      <c r="A17" s="467" t="s">
        <v>547</v>
      </c>
      <c r="B17" s="784">
        <f ca="1">huishoudens!B10</f>
        <v>0.18946473770037531</v>
      </c>
      <c r="C17" s="784">
        <f ca="1">huishoudens!C10</f>
        <v>0.16003168944345419</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6149.8237008603719</v>
      </c>
      <c r="C22" s="455">
        <f t="shared" ref="C22:C32" ca="1" si="3">C4*$C$17</f>
        <v>0</v>
      </c>
      <c r="D22" s="455">
        <f t="shared" ref="D22:D32" si="4">D4*$D$17</f>
        <v>13347.046935762059</v>
      </c>
      <c r="E22" s="455">
        <f t="shared" ref="E22:E32" si="5">E4*$E$17</f>
        <v>1717.9518765521088</v>
      </c>
      <c r="F22" s="455">
        <f t="shared" ref="F22:F32" si="6">F4*$F$17</f>
        <v>7123.5820443294688</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28338.404557504007</v>
      </c>
    </row>
    <row r="23" spans="1:17">
      <c r="A23" s="454" t="s">
        <v>155</v>
      </c>
      <c r="B23" s="455">
        <f t="shared" ca="1" si="2"/>
        <v>4411.6984796669276</v>
      </c>
      <c r="C23" s="455">
        <f t="shared" ca="1" si="3"/>
        <v>20.575502928444113</v>
      </c>
      <c r="D23" s="455">
        <f t="shared" ca="1" si="4"/>
        <v>4897.1438647069153</v>
      </c>
      <c r="E23" s="455">
        <f t="shared" si="5"/>
        <v>24.571313730565929</v>
      </c>
      <c r="F23" s="455">
        <f t="shared" ca="1" si="6"/>
        <v>1398.1899188498612</v>
      </c>
      <c r="G23" s="455">
        <f t="shared" si="7"/>
        <v>0</v>
      </c>
      <c r="H23" s="455">
        <f t="shared" si="8"/>
        <v>0</v>
      </c>
      <c r="I23" s="455">
        <f t="shared" si="9"/>
        <v>0</v>
      </c>
      <c r="J23" s="455">
        <f t="shared" si="10"/>
        <v>2.2261788617694556E-2</v>
      </c>
      <c r="K23" s="455">
        <f t="shared" si="11"/>
        <v>0</v>
      </c>
      <c r="L23" s="455">
        <f t="shared" ca="1" si="12"/>
        <v>0</v>
      </c>
      <c r="M23" s="455">
        <f t="shared" si="13"/>
        <v>0</v>
      </c>
      <c r="N23" s="455">
        <f t="shared" ca="1" si="14"/>
        <v>0</v>
      </c>
      <c r="O23" s="455">
        <f t="shared" si="15"/>
        <v>0</v>
      </c>
      <c r="P23" s="456">
        <f t="shared" si="16"/>
        <v>0</v>
      </c>
      <c r="Q23" s="454">
        <f t="shared" ref="Q23:Q31" ca="1" si="17">SUM(B23:P23)</f>
        <v>10752.201341671333</v>
      </c>
    </row>
    <row r="24" spans="1:17">
      <c r="A24" s="454" t="s">
        <v>193</v>
      </c>
      <c r="B24" s="455">
        <f t="shared" ca="1" si="2"/>
        <v>154.21444432174508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154.21444432174508</v>
      </c>
    </row>
    <row r="25" spans="1:17">
      <c r="A25" s="454" t="s">
        <v>111</v>
      </c>
      <c r="B25" s="455">
        <f t="shared" ca="1" si="2"/>
        <v>723.49912226847584</v>
      </c>
      <c r="C25" s="455">
        <f t="shared" ca="1" si="3"/>
        <v>9.9791189202953916</v>
      </c>
      <c r="D25" s="455">
        <f t="shared" si="4"/>
        <v>29.118602099004704</v>
      </c>
      <c r="E25" s="455">
        <f t="shared" si="5"/>
        <v>32.326856735356081</v>
      </c>
      <c r="F25" s="455">
        <f t="shared" si="6"/>
        <v>3307.9082199466939</v>
      </c>
      <c r="G25" s="455">
        <f t="shared" si="7"/>
        <v>0</v>
      </c>
      <c r="H25" s="455">
        <f t="shared" si="8"/>
        <v>0</v>
      </c>
      <c r="I25" s="455">
        <f t="shared" si="9"/>
        <v>0</v>
      </c>
      <c r="J25" s="455">
        <f t="shared" si="10"/>
        <v>354.85452959223187</v>
      </c>
      <c r="K25" s="455">
        <f t="shared" si="11"/>
        <v>0</v>
      </c>
      <c r="L25" s="455">
        <f t="shared" si="12"/>
        <v>0</v>
      </c>
      <c r="M25" s="455">
        <f t="shared" si="13"/>
        <v>0</v>
      </c>
      <c r="N25" s="455">
        <f t="shared" si="14"/>
        <v>0</v>
      </c>
      <c r="O25" s="455">
        <f t="shared" si="15"/>
        <v>0</v>
      </c>
      <c r="P25" s="456">
        <f t="shared" si="16"/>
        <v>0</v>
      </c>
      <c r="Q25" s="454">
        <f t="shared" ca="1" si="17"/>
        <v>4457.6864495620584</v>
      </c>
    </row>
    <row r="26" spans="1:17">
      <c r="A26" s="454" t="s">
        <v>626</v>
      </c>
      <c r="B26" s="455">
        <f t="shared" ca="1" si="2"/>
        <v>2748.5731198031017</v>
      </c>
      <c r="C26" s="455">
        <f t="shared" ca="1" si="3"/>
        <v>0</v>
      </c>
      <c r="D26" s="455">
        <f t="shared" si="4"/>
        <v>670.74658368387975</v>
      </c>
      <c r="E26" s="455">
        <f t="shared" si="5"/>
        <v>6.2046305242209439</v>
      </c>
      <c r="F26" s="455">
        <f t="shared" si="6"/>
        <v>340.48454875290452</v>
      </c>
      <c r="G26" s="455">
        <f t="shared" si="7"/>
        <v>0</v>
      </c>
      <c r="H26" s="455">
        <f t="shared" si="8"/>
        <v>0</v>
      </c>
      <c r="I26" s="455">
        <f t="shared" si="9"/>
        <v>0</v>
      </c>
      <c r="J26" s="455">
        <f t="shared" si="10"/>
        <v>0.13045155166057776</v>
      </c>
      <c r="K26" s="455">
        <f t="shared" si="11"/>
        <v>0</v>
      </c>
      <c r="L26" s="455">
        <f t="shared" si="12"/>
        <v>0</v>
      </c>
      <c r="M26" s="455">
        <f t="shared" si="13"/>
        <v>0</v>
      </c>
      <c r="N26" s="455">
        <f t="shared" si="14"/>
        <v>0</v>
      </c>
      <c r="O26" s="455">
        <f t="shared" si="15"/>
        <v>0</v>
      </c>
      <c r="P26" s="456">
        <f t="shared" si="16"/>
        <v>0</v>
      </c>
      <c r="Q26" s="454">
        <f t="shared" ca="1" si="17"/>
        <v>3766.1393343157674</v>
      </c>
    </row>
    <row r="27" spans="1:17" s="460" customFormat="1">
      <c r="A27" s="458" t="s">
        <v>552</v>
      </c>
      <c r="B27" s="778">
        <f t="shared" ca="1" si="2"/>
        <v>15.463894962816092</v>
      </c>
      <c r="C27" s="459">
        <f t="shared" ca="1" si="3"/>
        <v>0</v>
      </c>
      <c r="D27" s="459">
        <f t="shared" si="4"/>
        <v>66.537535261669063</v>
      </c>
      <c r="E27" s="459">
        <f t="shared" si="5"/>
        <v>40.118990877106405</v>
      </c>
      <c r="F27" s="459">
        <f t="shared" si="6"/>
        <v>0</v>
      </c>
      <c r="G27" s="459">
        <f t="shared" si="7"/>
        <v>19766.690918448541</v>
      </c>
      <c r="H27" s="459">
        <f t="shared" si="8"/>
        <v>5229.3962996615601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25118.207639211691</v>
      </c>
    </row>
    <row r="28" spans="1:17" ht="16.5" customHeight="1">
      <c r="A28" s="454" t="s">
        <v>542</v>
      </c>
      <c r="B28" s="455">
        <f t="shared" ca="1" si="2"/>
        <v>0</v>
      </c>
      <c r="C28" s="455">
        <f t="shared" ca="1" si="3"/>
        <v>0</v>
      </c>
      <c r="D28" s="455">
        <f t="shared" si="4"/>
        <v>0</v>
      </c>
      <c r="E28" s="455">
        <f t="shared" si="5"/>
        <v>0</v>
      </c>
      <c r="F28" s="455">
        <f t="shared" si="6"/>
        <v>0</v>
      </c>
      <c r="G28" s="455">
        <f t="shared" si="7"/>
        <v>347.11350185791758</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347.11350185791758</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192.03895415004672</v>
      </c>
      <c r="C32" s="455">
        <f t="shared" ca="1" si="3"/>
        <v>0</v>
      </c>
      <c r="D32" s="455">
        <f t="shared" si="4"/>
        <v>330.54897097929393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522.58792512934065</v>
      </c>
    </row>
    <row r="33" spans="1:17" s="466" customFormat="1">
      <c r="A33" s="464" t="s">
        <v>546</v>
      </c>
      <c r="B33" s="465">
        <f ca="1">SUM(B22:B32)</f>
        <v>14395.311716033486</v>
      </c>
      <c r="C33" s="465">
        <f t="shared" ref="C33:Q33" ca="1" si="19">SUM(C22:C32)</f>
        <v>30.554621848739504</v>
      </c>
      <c r="D33" s="465">
        <f t="shared" ca="1" si="19"/>
        <v>19341.142492492821</v>
      </c>
      <c r="E33" s="465">
        <f t="shared" si="19"/>
        <v>1821.1736684193581</v>
      </c>
      <c r="F33" s="465">
        <f t="shared" ca="1" si="19"/>
        <v>12170.164731878927</v>
      </c>
      <c r="G33" s="465">
        <f t="shared" si="19"/>
        <v>20113.80442030646</v>
      </c>
      <c r="H33" s="465">
        <f t="shared" si="19"/>
        <v>5229.3962996615601</v>
      </c>
      <c r="I33" s="465">
        <f t="shared" si="19"/>
        <v>0</v>
      </c>
      <c r="J33" s="465">
        <f t="shared" si="19"/>
        <v>355.00724293251017</v>
      </c>
      <c r="K33" s="465">
        <f t="shared" si="19"/>
        <v>0</v>
      </c>
      <c r="L33" s="465">
        <f t="shared" ca="1" si="19"/>
        <v>0</v>
      </c>
      <c r="M33" s="465">
        <f t="shared" si="19"/>
        <v>0</v>
      </c>
      <c r="N33" s="465">
        <f t="shared" ca="1" si="19"/>
        <v>0</v>
      </c>
      <c r="O33" s="465">
        <f t="shared" si="19"/>
        <v>0</v>
      </c>
      <c r="P33" s="465">
        <f t="shared" si="19"/>
        <v>0</v>
      </c>
      <c r="Q33" s="465">
        <f t="shared" ca="1" si="19"/>
        <v>73456.555193573862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9463.816083844973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43.649999999999984</v>
      </c>
      <c r="C8" s="1026">
        <f>'SEAP template'!C76</f>
        <v>89.999999999999986</v>
      </c>
      <c r="D8" s="1026">
        <f>'SEAP template'!D76</f>
        <v>105.88235294117646</v>
      </c>
      <c r="E8" s="1026">
        <f>'SEAP template'!E76</f>
        <v>0</v>
      </c>
      <c r="F8" s="1026">
        <f>'SEAP template'!F76</f>
        <v>0</v>
      </c>
      <c r="G8" s="1026">
        <f>'SEAP template'!G76</f>
        <v>0</v>
      </c>
      <c r="H8" s="1026">
        <f>'SEAP template'!H76</f>
        <v>0</v>
      </c>
      <c r="I8" s="1026">
        <f>'SEAP template'!I76</f>
        <v>0</v>
      </c>
      <c r="J8" s="1026">
        <f>'SEAP template'!J76</f>
        <v>51.352941176470573</v>
      </c>
      <c r="K8" s="1026">
        <f>'SEAP template'!K76</f>
        <v>0</v>
      </c>
      <c r="L8" s="1026">
        <f>'SEAP template'!L76</f>
        <v>0</v>
      </c>
      <c r="M8" s="1026">
        <f>'SEAP template'!M76</f>
        <v>0</v>
      </c>
      <c r="N8" s="1026">
        <f>'SEAP template'!N76</f>
        <v>0</v>
      </c>
      <c r="O8" s="1026">
        <f>'SEAP template'!O76</f>
        <v>0</v>
      </c>
      <c r="P8" s="1027">
        <f>'SEAP template'!Q76</f>
        <v>21.388235294117646</v>
      </c>
    </row>
    <row r="9" spans="1:16">
      <c r="A9" s="1032" t="s">
        <v>761</v>
      </c>
      <c r="B9" s="1026">
        <f>'SEAP template'!B77</f>
        <v>1341</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3831.4285714285716</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10848.466083844973</v>
      </c>
      <c r="C10" s="1028">
        <f>SUM(C4:C9)</f>
        <v>89.999999999999986</v>
      </c>
      <c r="D10" s="1028">
        <f t="shared" ref="D10:H10" si="0">SUM(D8:D9)</f>
        <v>105.88235294117646</v>
      </c>
      <c r="E10" s="1028">
        <f t="shared" si="0"/>
        <v>0</v>
      </c>
      <c r="F10" s="1028">
        <f t="shared" si="0"/>
        <v>0</v>
      </c>
      <c r="G10" s="1028">
        <f t="shared" si="0"/>
        <v>0</v>
      </c>
      <c r="H10" s="1028">
        <f t="shared" si="0"/>
        <v>0</v>
      </c>
      <c r="I10" s="1028">
        <f>SUM(I8:I9)</f>
        <v>0</v>
      </c>
      <c r="J10" s="1028">
        <f>SUM(J8:J9)</f>
        <v>3882.7815126050423</v>
      </c>
      <c r="K10" s="1028">
        <f t="shared" ref="K10:L10" si="1">SUM(K8:K9)</f>
        <v>0</v>
      </c>
      <c r="L10" s="1028">
        <f t="shared" si="1"/>
        <v>0</v>
      </c>
      <c r="M10" s="1028">
        <f>SUM(M8:M9)</f>
        <v>0</v>
      </c>
      <c r="N10" s="1028">
        <f>SUM(N8:N9)</f>
        <v>0</v>
      </c>
      <c r="O10" s="1028">
        <f>SUM(O8:O9)</f>
        <v>0</v>
      </c>
      <c r="P10" s="1028">
        <f>SUM(P8:P9)</f>
        <v>21.388235294117646</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0.18946473770037531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62.357142857142847</v>
      </c>
      <c r="C17" s="1029">
        <f>'SEAP template'!C87</f>
        <v>128.57142857142858</v>
      </c>
      <c r="D17" s="1027">
        <f>'SEAP template'!D87</f>
        <v>151.2605042016807</v>
      </c>
      <c r="E17" s="1027">
        <f>'SEAP template'!E87</f>
        <v>0</v>
      </c>
      <c r="F17" s="1027">
        <f>'SEAP template'!F87</f>
        <v>0</v>
      </c>
      <c r="G17" s="1027">
        <f>'SEAP template'!G87</f>
        <v>0</v>
      </c>
      <c r="H17" s="1027">
        <f>'SEAP template'!H87</f>
        <v>0</v>
      </c>
      <c r="I17" s="1027">
        <f>'SEAP template'!I87</f>
        <v>0</v>
      </c>
      <c r="J17" s="1027">
        <f>'SEAP template'!J87</f>
        <v>73.361344537815114</v>
      </c>
      <c r="K17" s="1027">
        <f>'SEAP template'!K87</f>
        <v>0</v>
      </c>
      <c r="L17" s="1027">
        <f>'SEAP template'!L87</f>
        <v>0</v>
      </c>
      <c r="M17" s="1027">
        <f>'SEAP template'!M87</f>
        <v>0</v>
      </c>
      <c r="N17" s="1027">
        <f>'SEAP template'!N87</f>
        <v>0</v>
      </c>
      <c r="O17" s="1027">
        <f>'SEAP template'!O87</f>
        <v>0</v>
      </c>
      <c r="P17" s="1027">
        <f>'SEAP template'!Q87</f>
        <v>30.554621848739504</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62.357142857142847</v>
      </c>
      <c r="C20" s="1028">
        <f>SUM(C17:C19)</f>
        <v>128.57142857142858</v>
      </c>
      <c r="D20" s="1028">
        <f t="shared" ref="D20:H20" si="2">SUM(D17:D19)</f>
        <v>151.2605042016807</v>
      </c>
      <c r="E20" s="1028">
        <f t="shared" si="2"/>
        <v>0</v>
      </c>
      <c r="F20" s="1028">
        <f t="shared" si="2"/>
        <v>0</v>
      </c>
      <c r="G20" s="1028">
        <f t="shared" si="2"/>
        <v>0</v>
      </c>
      <c r="H20" s="1028">
        <f t="shared" si="2"/>
        <v>0</v>
      </c>
      <c r="I20" s="1028">
        <f>SUM(I17:I19)</f>
        <v>0</v>
      </c>
      <c r="J20" s="1028">
        <f>SUM(J17:J19)</f>
        <v>73.361344537815114</v>
      </c>
      <c r="K20" s="1028">
        <f t="shared" ref="K20:L20" si="3">SUM(K17:K19)</f>
        <v>0</v>
      </c>
      <c r="L20" s="1028">
        <f t="shared" si="3"/>
        <v>0</v>
      </c>
      <c r="M20" s="1028">
        <f>SUM(M17:M19)</f>
        <v>0</v>
      </c>
      <c r="N20" s="1028">
        <f>SUM(N17:N19)</f>
        <v>0</v>
      </c>
      <c r="O20" s="1028">
        <f>SUM(O17:O19)</f>
        <v>0</v>
      </c>
      <c r="P20" s="1028">
        <f>SUM(P17:P19)</f>
        <v>30.554621848739504</v>
      </c>
    </row>
    <row r="21" spans="1:16">
      <c r="B21" s="890"/>
    </row>
    <row r="22" spans="1:16">
      <c r="A22" s="467" t="s">
        <v>773</v>
      </c>
      <c r="B22" s="784" t="s">
        <v>771</v>
      </c>
      <c r="C22" s="784">
        <f ca="1">'EF ele_warmte'!B22</f>
        <v>0.16003168944345419</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0.18946473770037531</v>
      </c>
      <c r="C17" s="504">
        <f ca="1">'EF ele_warmte'!B22</f>
        <v>0.16003168944345419</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2020-06-20T15:18:39Z</dcterms:modified>
</cp:coreProperties>
</file>