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4"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3" i="18" l="1"/>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I9" i="18" s="1"/>
  <c r="I77" i="14" s="1"/>
  <c r="I9" i="59" s="1"/>
  <c r="T40" i="18"/>
  <c r="S40" i="18"/>
  <c r="E9" i="18" s="1"/>
  <c r="F77" i="14" s="1"/>
  <c r="F9" i="59" s="1"/>
  <c r="R40" i="18"/>
  <c r="Q40" i="18"/>
  <c r="P40" i="18"/>
  <c r="O40" i="18"/>
  <c r="N40" i="18"/>
  <c r="B9" i="18" s="1"/>
  <c r="M40" i="18"/>
  <c r="W36" i="18"/>
  <c r="V36" i="18"/>
  <c r="U36" i="18"/>
  <c r="T36" i="18"/>
  <c r="L6" i="17" s="1"/>
  <c r="L5" i="17" s="1"/>
  <c r="S36" i="18"/>
  <c r="R36" i="18"/>
  <c r="Q36" i="18"/>
  <c r="P36" i="18"/>
  <c r="D6" i="17" s="1"/>
  <c r="O36" i="18"/>
  <c r="C6" i="17" s="1"/>
  <c r="N36" i="18"/>
  <c r="M36" i="18"/>
  <c r="W35" i="18"/>
  <c r="V35" i="18"/>
  <c r="U35" i="18"/>
  <c r="T35" i="18"/>
  <c r="S35" i="18"/>
  <c r="R35" i="18"/>
  <c r="Q35" i="18"/>
  <c r="P35" i="18"/>
  <c r="O35" i="18"/>
  <c r="C13" i="15" s="1"/>
  <c r="N35" i="18"/>
  <c r="M35" i="18"/>
  <c r="W34" i="18"/>
  <c r="V34" i="18"/>
  <c r="U34" i="18"/>
  <c r="T34" i="18"/>
  <c r="S34" i="18"/>
  <c r="F16" i="16" s="1"/>
  <c r="R34" i="18"/>
  <c r="Q34" i="18"/>
  <c r="P34" i="18"/>
  <c r="O34" i="18"/>
  <c r="N34" i="18"/>
  <c r="W33" i="18"/>
  <c r="V33" i="18"/>
  <c r="U33" i="18"/>
  <c r="T33" i="18"/>
  <c r="S33" i="18"/>
  <c r="R33" i="18"/>
  <c r="Q33" i="18"/>
  <c r="P33" i="18"/>
  <c r="O33" i="18"/>
  <c r="B17" i="18" s="1"/>
  <c r="N33" i="18"/>
  <c r="B8" i="18" s="1"/>
  <c r="M33"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16" i="16" l="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9" i="18"/>
  <c r="B53" i="18" s="1"/>
  <c r="B16" i="16"/>
  <c r="K9" i="14"/>
  <c r="H77" i="14"/>
  <c r="J11" i="48"/>
  <c r="J29" i="48" s="1"/>
  <c r="M9" i="14"/>
  <c r="L11" i="48"/>
  <c r="O19" i="14"/>
  <c r="O22" i="14" s="1"/>
  <c r="N10" i="48"/>
  <c r="N28" i="48" s="1"/>
  <c r="J19" i="14"/>
  <c r="J22" i="14" s="1"/>
  <c r="J27" i="14" s="1"/>
  <c r="I10" i="48"/>
  <c r="I28" i="48" s="1"/>
  <c r="J19" i="19"/>
  <c r="K39" i="14" s="1"/>
  <c r="N19" i="19"/>
  <c r="O39" i="14" s="1"/>
  <c r="C49" i="18"/>
  <c r="I52"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13" i="14" l="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52" i="18"/>
  <c r="E8" i="18" s="1"/>
  <c r="F76" i="14" s="1"/>
  <c r="F7" i="48"/>
  <c r="F25" i="48" s="1"/>
  <c r="D52" i="18"/>
  <c r="O9" i="18"/>
  <c r="M29" i="48"/>
  <c r="F12" i="17"/>
  <c r="G54" i="14" s="1"/>
  <c r="G56" i="14" s="1"/>
  <c r="C53" i="18"/>
  <c r="C52" i="18"/>
  <c r="B10" i="18"/>
  <c r="E53" i="18"/>
  <c r="E17" i="18" s="1"/>
  <c r="F87" i="14" s="1"/>
  <c r="G53" i="18"/>
  <c r="D7" i="48"/>
  <c r="D25" i="48" s="1"/>
  <c r="H52" i="18"/>
  <c r="G52" i="18"/>
  <c r="D53" i="18"/>
  <c r="L28" i="48"/>
  <c r="H53" i="18"/>
  <c r="I53" i="18"/>
  <c r="H17" i="18" s="1"/>
  <c r="F53" i="18"/>
  <c r="F52" i="18"/>
  <c r="H10" i="18"/>
  <c r="M78" i="14"/>
  <c r="B52"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22" i="59"/>
  <c r="C17" i="49"/>
  <c r="C17" i="19"/>
  <c r="C19" i="19" s="1"/>
  <c r="D39" i="14" s="1"/>
  <c r="C10" i="13"/>
  <c r="C12" i="13" s="1"/>
  <c r="D41" i="14" s="1"/>
  <c r="D46" i="14" s="1"/>
  <c r="D61" i="14" s="1"/>
  <c r="D63" i="14" s="1"/>
  <c r="C29" i="20"/>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<sst xmlns="http://schemas.openxmlformats.org/spreadsheetml/2006/main" count="2417" uniqueCount="891">
  <si>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</si>
  <si>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</si>
  <si>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</si>
  <si>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</si>
  <si>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</si>
  <si>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</si>
  <si>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</si>
  <si>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</si>
  <si>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</si>
  <si>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</si>
  <si>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</si>
  <si>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</si>
  <si>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</si>
  <si>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</si>
  <si>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</si>
  <si>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</si>
  <si>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</si>
  <si>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</si>
  <si>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</si>
  <si>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</si>
  <si>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</si>
  <si>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</si>
  <si>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</si>
  <si>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</si>
  <si>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</si>
  <si>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</si>
  <si>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</si>
  <si>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</si>
  <si>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</si>
  <si>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</si>
  <si>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</si>
  <si>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</si>
  <si>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</si>
  <si>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</si>
  <si>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</si>
  <si>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</si>
  <si>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</si>
  <si>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</si>
  <si>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</si>
  <si>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</si>
  <si>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</si>
  <si>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</si>
  <si>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</si>
  <si>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</si>
  <si>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</si>
  <si>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</si>
  <si>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</si>
  <si>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</si>
  <si>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</si>
  <si>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</si>
  <si>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</si>
  <si>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</si>
  <si>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</si>
  <si>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</si>
  <si>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</si>
  <si>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</si>
  <si>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</si>
  <si>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</si>
  <si>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</si>
  <si>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</si>
  <si>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</si>
  <si>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</si>
  <si>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</si>
  <si>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</si>
  <si>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</si>
  <si>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</si>
  <si>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</si>
  <si>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</si>
  <si>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</si>
  <si>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</si>
  <si>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</si>
  <si>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</si>
  <si>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</si>
  <si>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</si>
  <si>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</si>
  <si>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</si>
  <si>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</si>
  <si>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</si>
  <si>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</si>
  <si>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</si>
  <si>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</si>
  <si>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</si>
  <si>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</si>
  <si>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</si>
  <si>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</si>
  <si>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</si>
  <si>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</si>
  <si>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</si>
  <si>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</si>
  <si>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</si>
  <si>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</si>
  <si>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</si>
  <si>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</si>
  <si>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</si>
  <si>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</si>
  <si>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</si>
  <si>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</si>
  <si>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</si>
  <si>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</si>
  <si>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</si>
  <si>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</si>
  <si>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</si>
  <si>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</si>
  <si>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</si>
  <si>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</si>
  <si>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</si>
  <si>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</si>
  <si>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</si>
  <si>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</si>
  <si>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</si>
  <si>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</si>
  <si>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</si>
  <si>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</si>
  <si>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</si>
  <si>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</si>
  <si>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</si>
  <si>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</si>
  <si>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</si>
  <si>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</si>
  <si>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</si>
  <si>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</si>
  <si>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</si>
  <si>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</si>
  <si>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</si>
  <si>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</si>
  <si>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</si>
  <si>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</si>
  <si>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</si>
  <si>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</si>
  <si>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</si>
  <si>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</si>
  <si>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</si>
  <si>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</si>
  <si>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</si>
  <si>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</si>
  <si>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</si>
  <si>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</si>
  <si>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</si>
  <si>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</si>
  <si>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</si>
  <si>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</si>
  <si>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</si>
  <si>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</si>
  <si>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</si>
  <si>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</si>
  <si>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</si>
  <si>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</si>
  <si>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</si>
  <si>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</si>
  <si>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</si>
  <si>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</si>
  <si>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</si>
  <si>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</si>
  <si>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</si>
  <si>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</si>
  <si>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</si>
  <si>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</si>
  <si>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</si>
  <si>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</si>
  <si>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</si>
  <si>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</si>
  <si>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</si>
  <si>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</si>
  <si>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</si>
  <si>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</si>
  <si>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</si>
  <si>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</si>
  <si>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</si>
  <si>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</si>
  <si>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</si>
  <si>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</si>
  <si>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</si>
  <si>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</si>
  <si>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</si>
  <si>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</si>
  <si>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</si>
  <si>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</si>
  <si>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</si>
  <si>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</si>
  <si>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</si>
  <si>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</si>
  <si>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</si>
  <si>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</si>
  <si>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</si>
  <si>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</si>
  <si>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</si>
  <si>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</si>
  <si>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</si>
  <si>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</si>
  <si>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</si>
  <si>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</si>
  <si>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</si>
  <si>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</si>
  <si>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</si>
  <si>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</si>
  <si>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</si>
  <si>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</si>
  <si>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</si>
  <si>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</si>
  <si>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</si>
  <si>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</si>
  <si>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</si>
  <si>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</si>
  <si>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</si>
  <si>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</si>
  <si>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</si>
  <si>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</si>
  <si>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</si>
  <si>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</si>
  <si>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</si>
  <si>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</si>
  <si>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</si>
  <si>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</si>
  <si>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</si>
  <si>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</si>
  <si>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</si>
  <si>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</si>
  <si>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</si>
  <si>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</si>
  <si>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</si>
  <si>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</si>
  <si>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</si>
  <si>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</si>
  <si>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</si>
  <si>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</si>
  <si>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</si>
  <si>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</si>
  <si>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</si>
  <si>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</si>
  <si>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</si>
  <si>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</si>
  <si>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</si>
  <si>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</si>
  <si>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</si>
  <si>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</si>
  <si>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</si>
  <si>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</si>
  <si>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</si>
  <si>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</si>
  <si>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</si>
  <si>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</si>
  <si>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</si>
  <si>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</si>
  <si>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</si>
  <si>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</si>
  <si>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</si>
  <si>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</si>
  <si>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</si>
  <si>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</si>
  <si>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</si>
  <si>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</si>
  <si>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</si>
  <si>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</si>
  <si>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</si>
  <si>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</si>
  <si>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</si>
  <si>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</si>
  <si>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</si>
  <si>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</si>
  <si>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</si>
  <si>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</si>
  <si>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</si>
  <si>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</si>
  <si>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</si>
  <si>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</si>
  <si>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</si>
  <si>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</si>
  <si>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</si>
  <si>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</si>
  <si>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</si>
  <si>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</si>
  <si>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</si>
  <si>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</si>
  <si>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</si>
  <si>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</si>
  <si>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</si>
  <si>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</si>
  <si>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</si>
  <si>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</si>
  <si>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</si>
  <si>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</si>
  <si>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</si>
  <si>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</si>
  <si>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</si>
  <si>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</si>
  <si>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</si>
  <si>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</si>
  <si>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</si>
  <si>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</si>
  <si>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</si>
  <si>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</si>
  <si>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</si>
  <si>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</si>
  <si>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</si>
  <si>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</si>
  <si>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</si>
  <si>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</si>
  <si>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</si>
  <si>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</si>
  <si>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</si>
  <si>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</si>
  <si>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</si>
  <si>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</si>
  <si>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</si>
  <si>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</si>
  <si>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</si>
  <si>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</si>
  <si>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</si>
  <si>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</si>
  <si>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</si>
  <si>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</si>
  <si>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</si>
  <si>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</si>
  <si>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</si>
  <si>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</si>
  <si>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</si>
  <si>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</si>
  <si>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</si>
  <si>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</si>
  <si>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</si>
  <si>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</si>
  <si>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</si>
  <si>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</si>
  <si>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</si>
  <si>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</si>
  <si>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</si>
  <si>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</si>
  <si>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</si>
  <si>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</si>
  <si>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</si>
  <si>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</si>
  <si>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</si>
  <si>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</si>
  <si>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</si>
  <si>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</si>
  <si>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</si>
  <si>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</si>
  <si>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</si>
  <si>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</si>
  <si>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</si>
  <si>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</si>
  <si>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</si>
  <si>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</si>
  <si>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</si>
  <si>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</si>
  <si>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</si>
  <si>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</si>
  <si>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</si>
  <si>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</si>
  <si>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</si>
  <si>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</si>
  <si>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</si>
  <si>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</si>
  <si>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</si>
  <si>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</si>
  <si>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</si>
  <si>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</si>
  <si>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</si>
  <si>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</si>
  <si>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</si>
  <si>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</si>
  <si>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</si>
  <si>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</si>
  <si>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</si>
  <si>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</si>
  <si>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</si>
  <si>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</si>
  <si>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</si>
  <si>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</si>
  <si>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</si>
  <si>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</si>
  <si>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</si>
  <si>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</si>
  <si>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</si>
  <si>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</si>
  <si>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</si>
  <si>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</si>
  <si>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</si>
  <si>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</si>
  <si>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</si>
  <si>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</si>
  <si>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</si>
  <si>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</si>
  <si>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</si>
  <si>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</si>
  <si>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</si>
  <si>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</si>
  <si>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</si>
  <si>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</si>
  <si>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</si>
  <si>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</si>
  <si>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</si>
  <si>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</si>
  <si>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</si>
  <si>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</si>
  <si>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</si>
  <si>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</si>
  <si>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</si>
  <si>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</si>
  <si>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</si>
  <si>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</si>
  <si>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</si>
  <si>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</si>
  <si>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</si>
  <si>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</si>
  <si>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</si>
  <si>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</si>
  <si>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</si>
  <si>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</si>
  <si>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</si>
  <si>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</si>
  <si>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</si>
  <si>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</si>
  <si>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</si>
  <si>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</si>
  <si>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</si>
  <si>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</si>
  <si>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</si>
  <si>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</si>
  <si>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</si>
  <si>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</si>
  <si>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</si>
  <si>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</si>
  <si>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</si>
  <si>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</si>
  <si>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</si>
  <si>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</si>
  <si>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</si>
  <si>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</si>
  <si>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</si>
  <si>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</si>
  <si>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</si>
  <si>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</si>
  <si>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</si>
  <si>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</si>
  <si>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</si>
  <si>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</si>
  <si>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</si>
  <si>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</si>
  <si>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</si>
  <si>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</si>
  <si>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</si>
  <si>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</si>
  <si>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</si>
  <si>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</si>
  <si>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</si>
  <si>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</si>
  <si>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</si>
  <si>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</si>
  <si>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</si>
  <si>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</si>
  <si>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</si>
  <si>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</si>
  <si>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</si>
  <si>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</si>
  <si>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</si>
  <si>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</si>
  <si>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</si>
  <si>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</si>
  <si>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</si>
  <si>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</si>
  <si>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</si>
  <si>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</si>
  <si>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</si>
  <si>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</si>
  <si>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</si>
  <si>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</si>
  <si>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</si>
  <si>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</si>
  <si>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</si>
  <si>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</si>
  <si>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</si>
  <si>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</si>
  <si>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</si>
  <si>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</si>
  <si>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</si>
  <si>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</si>
  <si>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</si>
  <si>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</si>
  <si>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</si>
  <si>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</si>
  <si>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</si>
  <si>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</si>
  <si>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</si>
  <si>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</si>
  <si>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</si>
  <si>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</si>
  <si>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</si>
  <si>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</si>
  <si>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</si>
  <si>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</si>
  <si>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</si>
  <si>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</si>
  <si>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</si>
  <si>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</si>
  <si>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</si>
  <si>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</si>
  <si>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</si>
  <si>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</si>
  <si>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</si>
  <si>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</si>
  <si>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</si>
  <si>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</si>
  <si>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</si>
  <si>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</si>
  <si>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</si>
  <si>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</si>
  <si>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</si>
  <si>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</si>
  <si>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</si>
  <si>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</si>
  <si>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</si>
  <si>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</si>
  <si>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</si>
  <si>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</si>
  <si>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</si>
  <si>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</si>
  <si>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</si>
  <si>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</si>
  <si>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</si>
  <si>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</si>
  <si>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</si>
  <si>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</si>
  <si>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</si>
  <si>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</si>
  <si>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</si>
  <si>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</si>
  <si>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</si>
  <si>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</si>
  <si>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</si>
  <si>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</si>
  <si>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</si>
  <si>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</si>
  <si>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</si>
  <si>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</si>
  <si>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</si>
  <si>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</si>
  <si>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</si>
  <si>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</si>
  <si>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</si>
  <si>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</si>
  <si>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</si>
  <si>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</si>
  <si>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</si>
  <si>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</si>
  <si>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</si>
  <si>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</si>
  <si>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</si>
  <si>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</si>
  <si>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</si>
  <si>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</si>
  <si>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</si>
  <si>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</si>
  <si>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</si>
  <si>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</si>
  <si>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</si>
  <si>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</si>
  <si>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</si>
  <si>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</si>
  <si>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</si>
  <si>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</si>
  <si>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</si>
  <si>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</si>
  <si>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</si>
  <si>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</si>
  <si>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</si>
  <si>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</si>
  <si>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</si>
  <si>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</si>
  <si>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</si>
  <si>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</si>
  <si>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</si>
  <si>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</si>
  <si>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</si>
  <si>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</si>
  <si>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</si>
  <si>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</si>
  <si>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</si>
  <si>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</si>
  <si>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</si>
  <si>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</si>
  <si>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</si>
  <si>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</si>
  <si>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</si>
  <si>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</si>
  <si>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</si>
  <si>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</si>
  <si>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</si>
  <si>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</si>
  <si>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</si>
  <si>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</si>
  <si>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</si>
  <si>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</si>
  <si>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</si>
  <si>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</si>
  <si>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</si>
  <si>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</si>
  <si>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</si>
  <si>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</si>
  <si>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</si>
  <si>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</si>
  <si>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</si>
  <si>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</si>
  <si>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</si>
  <si>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</si>
  <si>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</si>
  <si>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</si>
  <si>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</si>
  <si>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</si>
  <si>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</si>
  <si>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</si>
  <si>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</si>
  <si>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</si>
  <si>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</si>
  <si>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</si>
  <si>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</si>
  <si>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</si>
  <si>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</si>
  <si>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</si>
  <si>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</si>
  <si>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</si>
  <si>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</si>
  <si>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</si>
  <si>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</si>
  <si>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</si>
  <si>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</si>
  <si>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</si>
  <si>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</si>
  <si>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</si>
  <si>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</si>
  <si>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</si>
  <si>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</si>
  <si>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</si>
  <si>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</si>
  <si>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</si>
  <si>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</si>
  <si>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</si>
  <si>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</si>
  <si>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</si>
  <si>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</si>
  <si>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</si>
  <si>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</si>
  <si>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</si>
  <si>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</si>
  <si>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</si>
  <si>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</si>
  <si>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</si>
  <si>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</si>
  <si>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</si>
  <si>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</si>
  <si>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</si>
  <si>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</si>
  <si>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</si>
  <si>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</si>
  <si>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</si>
  <si>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</si>
  <si>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</si>
  <si>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</si>
  <si>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</si>
  <si>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</si>
  <si>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</si>
  <si>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</si>
  <si>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</si>
  <si>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</si>
  <si>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</si>
  <si>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</si>
  <si>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</si>
  <si>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</si>
  <si>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</si>
  <si>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</si>
  <si>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</si>
  <si>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</si>
  <si>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</si>
  <si>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</si>
  <si>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</si>
  <si>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</si>
  <si>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</si>
  <si>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</si>
  <si>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</si>
  <si>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</si>
  <si>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</si>
  <si>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</si>
  <si>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</si>
  <si>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</si>
  <si>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</si>
  <si>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</si>
  <si>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</si>
  <si>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</si>
  <si>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</si>
  <si>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</si>
  <si>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</si>
  <si>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</si>
  <si>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</si>
  <si>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</si>
  <si>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</si>
  <si>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</si>
  <si>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</si>
  <si>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</si>
  <si>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</si>
  <si>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</si>
  <si>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</si>
  <si>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</si>
  <si>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</si>
  <si>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</si>
  <si>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</si>
  <si>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</si>
  <si>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</si>
  <si>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</si>
  <si>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</si>
  <si>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</si>
  <si>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</si>
  <si>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</si>
  <si>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</si>
  <si>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</si>
  <si>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</si>
  <si>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</si>
  <si>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</si>
  <si>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</si>
  <si>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</si>
  <si>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</si>
  <si>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</si>
  <si>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</si>
  <si>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</si>
  <si>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</si>
  <si>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</si>
  <si>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</si>
  <si>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</si>
  <si>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</si>
  <si>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</si>
  <si>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</si>
  <si>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</si>
  <si>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</si>
  <si>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</si>
  <si>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</si>
  <si>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</si>
  <si>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</si>
  <si>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</si>
  <si>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</si>
  <si>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</si>
  <si>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</si>
  <si>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</si>
  <si>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</si>
  <si>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</si>
  <si>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</si>
  <si>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</si>
  <si>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</si>
  <si>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</si>
  <si>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</si>
  <si>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</si>
  <si>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</si>
  <si>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</si>
  <si>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</si>
  <si>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</si>
  <si>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</si>
  <si>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</si>
  <si>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</si>
  <si>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</si>
  <si>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</si>
  <si>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</si>
  <si>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</si>
  <si>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</si>
  <si>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</si>
  <si>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</si>
  <si>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</si>
  <si>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</si>
  <si>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</si>
  <si>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</si>
  <si>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</si>
  <si>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</si>
  <si>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</si>
  <si>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</si>
  <si>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</si>
  <si>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</si>
  <si>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</si>
  <si>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</si>
  <si>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</si>
  <si>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</si>
  <si>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</si>
  <si>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</si>
  <si>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</si>
  <si>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</si>
  <si>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</si>
  <si>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</si>
  <si>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</si>
  <si>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</si>
  <si>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</si>
  <si>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</si>
  <si>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</si>
  <si>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</si>
  <si>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</si>
  <si>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</si>
  <si>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</si>
  <si>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</si>
  <si>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</si>
  <si>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</si>
  <si>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</si>
  <si>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</si>
  <si>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</si>
  <si>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</si>
  <si>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</si>
  <si>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</si>
  <si>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</si>
  <si>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</si>
  <si>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</si>
  <si>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</si>
  <si>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</si>
  <si>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</si>
  <si>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</si>
  <si>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</si>
  <si>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</si>
  <si>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</si>
  <si>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</si>
  <si>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</si>
  <si>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</si>
  <si>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</si>
  <si>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</si>
  <si>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</si>
  <si>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</si>
  <si>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</si>
  <si>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</si>
  <si>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</si>
  <si>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</si>
  <si>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</si>
  <si>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</si>
  <si>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</si>
  <si>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</si>
  <si>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</si>
  <si>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</si>
  <si>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</si>
  <si>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</si>
  <si>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</si>
  <si>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</si>
  <si>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</si>
  <si>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</si>
  <si>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</si>
  <si>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</si>
  <si>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</si>
  <si>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</si>
  <si>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</si>
  <si>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</si>
  <si>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</si>
  <si>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</si>
  <si>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</si>
  <si>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</si>
  <si>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</si>
  <si>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</si>
  <si>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</si>
  <si>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</si>
  <si>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</si>
  <si>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</si>
  <si>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</si>
  <si>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</si>
  <si>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</si>
  <si>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</si>
  <si>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</si>
  <si>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</si>
  <si>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</si>
  <si>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</si>
  <si>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</si>
  <si>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</si>
  <si>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</si>
  <si>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</si>
  <si>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13013</t>
  </si>
  <si>
    <t>HERSELT</t>
  </si>
  <si>
    <t>referentietaak LNE (2017); Jaarverslag De Lijn</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</si>
  <si>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</si>
  <si>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</si>
  <si>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</si>
  <si>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</si>
  <si>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</si>
  <si>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</si>
  <si>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</si>
  <si>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</si>
  <si>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</si>
  <si>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Woonzorgcentrum Sint-Barbara vzw</t>
  </si>
  <si>
    <t>Dieperstraat 17 , 2230 Herselt</t>
  </si>
  <si>
    <t>WKK-0648 Woonzorgcentrum Sint-Barbara</t>
  </si>
  <si>
    <t>WKK-0652 Firma De Ploeg</t>
  </si>
  <si>
    <t>Diestsebaan 73 , 2230 Herselt</t>
  </si>
  <si>
    <t>Greenenergy II</t>
  </si>
  <si>
    <t>WKK-0773</t>
  </si>
  <si>
    <t>Biogas - hoofdzakelijk agrarische stromen</t>
  </si>
  <si>
    <t>Dieperstraat 110, 2230 Herselt, BE</t>
  </si>
  <si>
    <t>IVERLEK (via EANDIS)</t>
  </si>
  <si>
    <t>Aquafin NV</t>
  </si>
  <si>
    <t>Dijkstraat 8 , 2630 Aartselaar</t>
  </si>
  <si>
    <t>BGS-0047 RWZI Westerlo</t>
  </si>
  <si>
    <t>biogas - RWZI</t>
  </si>
  <si>
    <t>niet WKK interne verbrandingsmotor (gas)</t>
  </si>
  <si>
    <t>Kwarrekendreef 2 , 2230 Westerlo</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</si>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</sst>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146509.89271413375</c:v>
                </c:pt>
                <c:pt idx="1">
                  <c:v>22292.206066761704</c:v>
                </c:pt>
                <c:pt idx="2">
                  <c:v>692.178</c:v>
                </c:pt>
                <c:pt idx="3">
                  <c:v>42920.100729616635</c:v>
                </c:pt>
                <c:pt idx="4">
                  <c:v>10942.941296252846</c:v>
                </c:pt>
                <c:pt idx="5">
                  <c:v>84570.377529602905</c:v>
                </c:pt>
                <c:pt idx="6">
                  <c:v>1140.2900852258149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146509.89271413375</c:v>
                </c:pt>
                <c:pt idx="1">
                  <c:v>22292.206066761704</c:v>
                </c:pt>
                <c:pt idx="2">
                  <c:v>692.178</c:v>
                </c:pt>
                <c:pt idx="3">
                  <c:v>42920.100729616635</c:v>
                </c:pt>
                <c:pt idx="4">
                  <c:v>10942.941296252846</c:v>
                </c:pt>
                <c:pt idx="5">
                  <c:v>84570.377529602905</c:v>
                </c:pt>
                <c:pt idx="6">
                  <c:v>1140.2900852258149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25204.521232217936</c:v>
                </c:pt>
                <c:pt idx="1">
                  <c:v>3382.1774142339436</c:v>
                </c:pt>
                <c:pt idx="2">
                  <c:v>69.753526511353655</c:v>
                </c:pt>
                <c:pt idx="3">
                  <c:v>4491.2697260206769</c:v>
                </c:pt>
                <c:pt idx="4">
                  <c:v>1775.2274601296776</c:v>
                </c:pt>
                <c:pt idx="5">
                  <c:v>20960.883835057259</c:v>
                </c:pt>
                <c:pt idx="6">
                  <c:v>288.7862651979633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25204.521232217936</c:v>
                </c:pt>
                <c:pt idx="1">
                  <c:v>3382.1774142339436</c:v>
                </c:pt>
                <c:pt idx="2">
                  <c:v>69.753526511353655</c:v>
                </c:pt>
                <c:pt idx="3">
                  <c:v>4491.2697260206769</c:v>
                </c:pt>
                <c:pt idx="4">
                  <c:v>1775.2274601296776</c:v>
                </c:pt>
                <c:pt idx="5">
                  <c:v>20960.883835057259</c:v>
                </c:pt>
                <c:pt idx="6">
                  <c:v>288.7862651979633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13013</v>
      </c>
      <c r="B6" s="392"/>
      <c r="C6" s="393"/>
    </row>
    <row r="7" spans="1:7" s="390" customFormat="1" ht="15.75" customHeight="1">
      <c r="A7" s="394" t="str">
        <f>txtMunicipality</f>
        <v>HERSELT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0.10077397217385363</v>
      </c>
      <c r="C17" s="504">
        <f ca="1">'EF ele_warmte'!B22</f>
        <v>7.2796891716875978E-2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0.10077397217385363</v>
      </c>
      <c r="C29" s="505">
        <f ca="1">'EF ele_warmte'!B22</f>
        <v>7.2796891716875978E-2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6087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1741.96</v>
      </c>
      <c r="C14" s="332"/>
      <c r="D14" s="332"/>
      <c r="E14" s="332"/>
      <c r="F14" s="332"/>
    </row>
    <row r="15" spans="1:6">
      <c r="A15" s="1310" t="s">
        <v>183</v>
      </c>
      <c r="B15" s="1311">
        <v>3278</v>
      </c>
      <c r="C15" s="332"/>
      <c r="D15" s="332"/>
      <c r="E15" s="332"/>
      <c r="F15" s="332"/>
    </row>
    <row r="16" spans="1:6">
      <c r="A16" s="1310" t="s">
        <v>6</v>
      </c>
      <c r="B16" s="1311">
        <v>948</v>
      </c>
      <c r="C16" s="332"/>
      <c r="D16" s="332"/>
      <c r="E16" s="332"/>
      <c r="F16" s="332"/>
    </row>
    <row r="17" spans="1:6">
      <c r="A17" s="1310" t="s">
        <v>7</v>
      </c>
      <c r="B17" s="1311">
        <v>179</v>
      </c>
      <c r="C17" s="332"/>
      <c r="D17" s="332"/>
      <c r="E17" s="332"/>
      <c r="F17" s="332"/>
    </row>
    <row r="18" spans="1:6">
      <c r="A18" s="1310" t="s">
        <v>8</v>
      </c>
      <c r="B18" s="1311">
        <v>535</v>
      </c>
      <c r="C18" s="332"/>
      <c r="D18" s="332"/>
      <c r="E18" s="332"/>
      <c r="F18" s="332"/>
    </row>
    <row r="19" spans="1:6">
      <c r="A19" s="1310" t="s">
        <v>9</v>
      </c>
      <c r="B19" s="1311">
        <v>460</v>
      </c>
      <c r="C19" s="332"/>
      <c r="D19" s="332"/>
      <c r="E19" s="332"/>
      <c r="F19" s="332"/>
    </row>
    <row r="20" spans="1:6">
      <c r="A20" s="1310" t="s">
        <v>10</v>
      </c>
      <c r="B20" s="1311">
        <v>267</v>
      </c>
      <c r="C20" s="332"/>
      <c r="D20" s="332"/>
      <c r="E20" s="332"/>
      <c r="F20" s="332"/>
    </row>
    <row r="21" spans="1:6">
      <c r="A21" s="1310" t="s">
        <v>11</v>
      </c>
      <c r="B21" s="1311">
        <v>3285</v>
      </c>
      <c r="C21" s="332"/>
      <c r="D21" s="332"/>
      <c r="E21" s="332"/>
      <c r="F21" s="332"/>
    </row>
    <row r="22" spans="1:6">
      <c r="A22" s="1310" t="s">
        <v>12</v>
      </c>
      <c r="B22" s="1311">
        <v>40</v>
      </c>
      <c r="C22" s="332"/>
      <c r="D22" s="332"/>
      <c r="E22" s="332"/>
      <c r="F22" s="332"/>
    </row>
    <row r="23" spans="1:6">
      <c r="A23" s="1310" t="s">
        <v>13</v>
      </c>
      <c r="B23" s="1311">
        <v>58</v>
      </c>
      <c r="C23" s="332"/>
      <c r="D23" s="332"/>
      <c r="E23" s="332"/>
      <c r="F23" s="332"/>
    </row>
    <row r="24" spans="1:6">
      <c r="A24" s="1310" t="s">
        <v>14</v>
      </c>
      <c r="B24" s="1311">
        <v>2</v>
      </c>
      <c r="C24" s="332"/>
      <c r="D24" s="332"/>
      <c r="E24" s="332"/>
      <c r="F24" s="332"/>
    </row>
    <row r="25" spans="1:6">
      <c r="A25" s="1310" t="s">
        <v>15</v>
      </c>
      <c r="B25" s="1311">
        <v>846</v>
      </c>
      <c r="C25" s="332"/>
      <c r="D25" s="332"/>
      <c r="E25" s="332"/>
      <c r="F25" s="332"/>
    </row>
    <row r="26" spans="1:6">
      <c r="A26" s="1310" t="s">
        <v>16</v>
      </c>
      <c r="B26" s="1311">
        <v>152</v>
      </c>
      <c r="C26" s="332"/>
      <c r="D26" s="332"/>
      <c r="E26" s="332"/>
      <c r="F26" s="332"/>
    </row>
    <row r="27" spans="1:6">
      <c r="A27" s="1310" t="s">
        <v>17</v>
      </c>
      <c r="B27" s="1311">
        <v>18</v>
      </c>
      <c r="C27" s="332"/>
      <c r="D27" s="332"/>
      <c r="E27" s="332"/>
      <c r="F27" s="332"/>
    </row>
    <row r="28" spans="1:6" s="43" customFormat="1">
      <c r="A28" s="1312" t="s">
        <v>18</v>
      </c>
      <c r="B28" s="1313">
        <v>8559</v>
      </c>
      <c r="C28" s="338"/>
      <c r="D28" s="338"/>
      <c r="E28" s="338"/>
      <c r="F28" s="338"/>
    </row>
    <row r="29" spans="1:6">
      <c r="A29" s="1312" t="s">
        <v>699</v>
      </c>
      <c r="B29" s="1313">
        <v>191</v>
      </c>
      <c r="C29" s="338"/>
      <c r="D29" s="338"/>
      <c r="E29" s="338"/>
      <c r="F29" s="338"/>
    </row>
    <row r="30" spans="1:6">
      <c r="A30" s="1305" t="s">
        <v>700</v>
      </c>
      <c r="B30" s="1314">
        <v>29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72639.444083621405</v>
      </c>
      <c r="E38" s="1311">
        <v>1</v>
      </c>
      <c r="F38" s="1311">
        <v>3065.0000114499999</v>
      </c>
    </row>
    <row r="39" spans="1:6">
      <c r="A39" s="1310" t="s">
        <v>29</v>
      </c>
      <c r="B39" s="1310" t="s">
        <v>30</v>
      </c>
      <c r="C39" s="1311">
        <v>2388</v>
      </c>
      <c r="D39" s="1311">
        <v>36289408.314372197</v>
      </c>
      <c r="E39" s="1311">
        <v>6214</v>
      </c>
      <c r="F39" s="1311">
        <v>20660908.522084102</v>
      </c>
    </row>
    <row r="40" spans="1:6">
      <c r="A40" s="1310" t="s">
        <v>29</v>
      </c>
      <c r="B40" s="1310" t="s">
        <v>28</v>
      </c>
      <c r="C40" s="1311">
        <v>0</v>
      </c>
      <c r="D40" s="1311">
        <v>0</v>
      </c>
      <c r="E40" s="1311">
        <v>0</v>
      </c>
      <c r="F40" s="1311">
        <v>0</v>
      </c>
    </row>
    <row r="41" spans="1:6">
      <c r="A41" s="1310" t="s">
        <v>31</v>
      </c>
      <c r="B41" s="1310" t="s">
        <v>32</v>
      </c>
      <c r="C41" s="1311">
        <v>35</v>
      </c>
      <c r="D41" s="1311">
        <v>717078.72877758299</v>
      </c>
      <c r="E41" s="1311">
        <v>124</v>
      </c>
      <c r="F41" s="1311">
        <v>1032157.7811843</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4</v>
      </c>
      <c r="D44" s="1311">
        <v>153205.205670172</v>
      </c>
      <c r="E44" s="1311">
        <v>19</v>
      </c>
      <c r="F44" s="1311">
        <v>217607.040080545</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5</v>
      </c>
      <c r="F47" s="1311">
        <v>20333.699854128401</v>
      </c>
    </row>
    <row r="48" spans="1:6">
      <c r="A48" s="1310" t="s">
        <v>31</v>
      </c>
      <c r="B48" s="1310" t="s">
        <v>28</v>
      </c>
      <c r="C48" s="1311">
        <v>3</v>
      </c>
      <c r="D48" s="1311">
        <v>113264.433487592</v>
      </c>
      <c r="E48" s="1311">
        <v>1</v>
      </c>
      <c r="F48" s="1311">
        <v>23769</v>
      </c>
    </row>
    <row r="49" spans="1:6">
      <c r="A49" s="1310" t="s">
        <v>31</v>
      </c>
      <c r="B49" s="1310" t="s">
        <v>39</v>
      </c>
      <c r="C49" s="1311">
        <v>0</v>
      </c>
      <c r="D49" s="1311">
        <v>0</v>
      </c>
      <c r="E49" s="1311">
        <v>3</v>
      </c>
      <c r="F49" s="1311">
        <v>8101.3886475685003</v>
      </c>
    </row>
    <row r="50" spans="1:6">
      <c r="A50" s="1310" t="s">
        <v>31</v>
      </c>
      <c r="B50" s="1310" t="s">
        <v>40</v>
      </c>
      <c r="C50" s="1311">
        <v>3</v>
      </c>
      <c r="D50" s="1311">
        <v>5247359.0912364302</v>
      </c>
      <c r="E50" s="1311">
        <v>8</v>
      </c>
      <c r="F50" s="1311">
        <v>3157431.1048589302</v>
      </c>
    </row>
    <row r="51" spans="1:6">
      <c r="A51" s="1310" t="s">
        <v>41</v>
      </c>
      <c r="B51" s="1310" t="s">
        <v>42</v>
      </c>
      <c r="C51" s="1311">
        <v>7</v>
      </c>
      <c r="D51" s="1311">
        <v>26040233.529624298</v>
      </c>
      <c r="E51" s="1311">
        <v>55</v>
      </c>
      <c r="F51" s="1311">
        <v>1251957.77301146</v>
      </c>
    </row>
    <row r="52" spans="1:6">
      <c r="A52" s="1310" t="s">
        <v>41</v>
      </c>
      <c r="B52" s="1310" t="s">
        <v>28</v>
      </c>
      <c r="C52" s="1311">
        <v>0</v>
      </c>
      <c r="D52" s="1311">
        <v>0</v>
      </c>
      <c r="E52" s="1311">
        <v>0</v>
      </c>
      <c r="F52" s="1311">
        <v>0</v>
      </c>
    </row>
    <row r="53" spans="1:6">
      <c r="A53" s="1310" t="s">
        <v>43</v>
      </c>
      <c r="B53" s="1310" t="s">
        <v>44</v>
      </c>
      <c r="C53" s="1311">
        <v>37</v>
      </c>
      <c r="D53" s="1311">
        <v>1139341.7854323001</v>
      </c>
      <c r="E53" s="1311">
        <v>298</v>
      </c>
      <c r="F53" s="1311">
        <v>768785.29346784996</v>
      </c>
    </row>
    <row r="54" spans="1:6">
      <c r="A54" s="1310" t="s">
        <v>45</v>
      </c>
      <c r="B54" s="1310" t="s">
        <v>46</v>
      </c>
      <c r="C54" s="1311">
        <v>0</v>
      </c>
      <c r="D54" s="1311">
        <v>0</v>
      </c>
      <c r="E54" s="1311">
        <v>1</v>
      </c>
      <c r="F54" s="1311">
        <v>692178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28</v>
      </c>
      <c r="D57" s="1311">
        <v>2010093.6599582799</v>
      </c>
      <c r="E57" s="1311">
        <v>93</v>
      </c>
      <c r="F57" s="1311">
        <v>1119976.6907708701</v>
      </c>
    </row>
    <row r="58" spans="1:6">
      <c r="A58" s="1310" t="s">
        <v>48</v>
      </c>
      <c r="B58" s="1310" t="s">
        <v>50</v>
      </c>
      <c r="C58" s="1311">
        <v>14</v>
      </c>
      <c r="D58" s="1311">
        <v>3152496.48925068</v>
      </c>
      <c r="E58" s="1311">
        <v>29</v>
      </c>
      <c r="F58" s="1311">
        <v>810052.75835892803</v>
      </c>
    </row>
    <row r="59" spans="1:6">
      <c r="A59" s="1310" t="s">
        <v>48</v>
      </c>
      <c r="B59" s="1310" t="s">
        <v>51</v>
      </c>
      <c r="C59" s="1311">
        <v>54</v>
      </c>
      <c r="D59" s="1311">
        <v>1783756.8624805</v>
      </c>
      <c r="E59" s="1311">
        <v>177</v>
      </c>
      <c r="F59" s="1311">
        <v>3939808.67510504</v>
      </c>
    </row>
    <row r="60" spans="1:6">
      <c r="A60" s="1310" t="s">
        <v>48</v>
      </c>
      <c r="B60" s="1310" t="s">
        <v>52</v>
      </c>
      <c r="C60" s="1311">
        <v>25</v>
      </c>
      <c r="D60" s="1311">
        <v>1282301.1188801201</v>
      </c>
      <c r="E60" s="1311">
        <v>64</v>
      </c>
      <c r="F60" s="1311">
        <v>1535637.1591675701</v>
      </c>
    </row>
    <row r="61" spans="1:6">
      <c r="A61" s="1310" t="s">
        <v>48</v>
      </c>
      <c r="B61" s="1310" t="s">
        <v>53</v>
      </c>
      <c r="C61" s="1311">
        <v>73</v>
      </c>
      <c r="D61" s="1311">
        <v>2476146.8074923502</v>
      </c>
      <c r="E61" s="1311">
        <v>248</v>
      </c>
      <c r="F61" s="1311">
        <v>2177239.2872462198</v>
      </c>
    </row>
    <row r="62" spans="1:6">
      <c r="A62" s="1310" t="s">
        <v>48</v>
      </c>
      <c r="B62" s="1310" t="s">
        <v>54</v>
      </c>
      <c r="C62" s="1311">
        <v>9</v>
      </c>
      <c r="D62" s="1311">
        <v>201950.24426499801</v>
      </c>
      <c r="E62" s="1311">
        <v>18</v>
      </c>
      <c r="F62" s="1311">
        <v>96621.595806168101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29107.399239810798</v>
      </c>
      <c r="E65" s="1311">
        <v>0</v>
      </c>
      <c r="F65" s="1311">
        <v>0</v>
      </c>
    </row>
    <row r="66" spans="1:6">
      <c r="A66" s="1310" t="s">
        <v>55</v>
      </c>
      <c r="B66" s="1310" t="s">
        <v>57</v>
      </c>
      <c r="C66" s="1311">
        <v>0</v>
      </c>
      <c r="D66" s="1311">
        <v>0</v>
      </c>
      <c r="E66" s="1311">
        <v>8</v>
      </c>
      <c r="F66" s="1311">
        <v>63861.6837005946</v>
      </c>
    </row>
    <row r="67" spans="1:6">
      <c r="A67" s="1312" t="s">
        <v>55</v>
      </c>
      <c r="B67" s="1312" t="s">
        <v>58</v>
      </c>
      <c r="C67" s="1311">
        <v>0</v>
      </c>
      <c r="D67" s="1311">
        <v>0</v>
      </c>
      <c r="E67" s="1311">
        <v>0</v>
      </c>
      <c r="F67" s="1311">
        <v>0</v>
      </c>
    </row>
    <row r="68" spans="1:6">
      <c r="A68" s="1305" t="s">
        <v>55</v>
      </c>
      <c r="B68" s="1305" t="s">
        <v>59</v>
      </c>
      <c r="C68" s="1314">
        <v>0</v>
      </c>
      <c r="D68" s="1314">
        <v>0</v>
      </c>
      <c r="E68" s="1314">
        <v>6</v>
      </c>
      <c r="F68" s="1314">
        <v>25529.542736436499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103173669</v>
      </c>
      <c r="E73" s="453"/>
      <c r="F73" s="332"/>
    </row>
    <row r="74" spans="1:6">
      <c r="A74" s="1310" t="s">
        <v>63</v>
      </c>
      <c r="B74" s="1310" t="s">
        <v>648</v>
      </c>
      <c r="C74" s="1324" t="s">
        <v>650</v>
      </c>
      <c r="D74" s="1325">
        <v>5259026.6125127831</v>
      </c>
      <c r="E74" s="453"/>
      <c r="F74" s="332"/>
    </row>
    <row r="75" spans="1:6">
      <c r="A75" s="1310" t="s">
        <v>64</v>
      </c>
      <c r="B75" s="1310" t="s">
        <v>647</v>
      </c>
      <c r="C75" s="1324" t="s">
        <v>651</v>
      </c>
      <c r="D75" s="1325">
        <v>7610127</v>
      </c>
      <c r="E75" s="453"/>
      <c r="F75" s="332"/>
    </row>
    <row r="76" spans="1:6">
      <c r="A76" s="1310" t="s">
        <v>64</v>
      </c>
      <c r="B76" s="1310" t="s">
        <v>648</v>
      </c>
      <c r="C76" s="1324" t="s">
        <v>652</v>
      </c>
      <c r="D76" s="1325">
        <v>7089.1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316288.77497443301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5259.0751092690407</v>
      </c>
      <c r="C91" s="332"/>
      <c r="D91" s="332"/>
      <c r="E91" s="332"/>
      <c r="F91" s="332"/>
    </row>
    <row r="92" spans="1:6">
      <c r="A92" s="1305" t="s">
        <v>68</v>
      </c>
      <c r="B92" s="1306">
        <v>1532.2251770840985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965</v>
      </c>
      <c r="C97" s="332"/>
      <c r="D97" s="332"/>
      <c r="E97" s="332"/>
      <c r="F97" s="332"/>
    </row>
    <row r="98" spans="1:6">
      <c r="A98" s="1310" t="s">
        <v>71</v>
      </c>
      <c r="B98" s="1311">
        <v>9</v>
      </c>
      <c r="C98" s="332"/>
      <c r="D98" s="332"/>
      <c r="E98" s="332"/>
      <c r="F98" s="332"/>
    </row>
    <row r="99" spans="1:6">
      <c r="A99" s="1310" t="s">
        <v>72</v>
      </c>
      <c r="B99" s="1311">
        <v>171</v>
      </c>
      <c r="C99" s="332"/>
      <c r="D99" s="332"/>
      <c r="E99" s="332"/>
      <c r="F99" s="332"/>
    </row>
    <row r="100" spans="1:6">
      <c r="A100" s="1310" t="s">
        <v>73</v>
      </c>
      <c r="B100" s="1311">
        <v>225</v>
      </c>
      <c r="C100" s="332"/>
      <c r="D100" s="332"/>
      <c r="E100" s="332"/>
      <c r="F100" s="332"/>
    </row>
    <row r="101" spans="1:6">
      <c r="A101" s="1310" t="s">
        <v>74</v>
      </c>
      <c r="B101" s="1311">
        <v>147</v>
      </c>
      <c r="C101" s="332"/>
      <c r="D101" s="332"/>
      <c r="E101" s="332"/>
      <c r="F101" s="332"/>
    </row>
    <row r="102" spans="1:6">
      <c r="A102" s="1310" t="s">
        <v>75</v>
      </c>
      <c r="B102" s="1311">
        <v>58</v>
      </c>
      <c r="C102" s="332"/>
      <c r="D102" s="332"/>
      <c r="E102" s="332"/>
      <c r="F102" s="332"/>
    </row>
    <row r="103" spans="1:6">
      <c r="A103" s="1310" t="s">
        <v>76</v>
      </c>
      <c r="B103" s="1311">
        <v>167</v>
      </c>
      <c r="C103" s="332"/>
      <c r="D103" s="332"/>
      <c r="E103" s="332"/>
      <c r="F103" s="332"/>
    </row>
    <row r="104" spans="1:6">
      <c r="A104" s="1310" t="s">
        <v>77</v>
      </c>
      <c r="B104" s="1311">
        <v>3520</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48</v>
      </c>
      <c r="C123" s="1311">
        <v>40</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144</v>
      </c>
      <c r="C129" s="332"/>
      <c r="D129" s="332"/>
      <c r="E129" s="332"/>
      <c r="F129" s="332"/>
    </row>
    <row r="130" spans="1:6">
      <c r="A130" s="1310" t="s">
        <v>294</v>
      </c>
      <c r="B130" s="1311">
        <v>1</v>
      </c>
      <c r="C130" s="332"/>
      <c r="D130" s="332"/>
      <c r="E130" s="332"/>
      <c r="F130" s="332"/>
    </row>
    <row r="131" spans="1:6">
      <c r="A131" s="1310" t="s">
        <v>295</v>
      </c>
      <c r="B131" s="1311">
        <v>1</v>
      </c>
      <c r="C131" s="332"/>
      <c r="D131" s="332"/>
      <c r="E131" s="332"/>
      <c r="F131" s="332"/>
    </row>
    <row r="132" spans="1:6">
      <c r="A132" s="1305" t="s">
        <v>296</v>
      </c>
      <c r="B132" s="1306">
        <v>44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44502.476793302703</v>
      </c>
      <c r="C3" s="43" t="s">
        <v>169</v>
      </c>
      <c r="D3" s="43"/>
      <c r="E3" s="154"/>
      <c r="F3" s="43"/>
      <c r="G3" s="43"/>
      <c r="H3" s="43"/>
      <c r="I3" s="43"/>
      <c r="J3" s="43"/>
      <c r="K3" s="96"/>
    </row>
    <row r="4" spans="1:11">
      <c r="A4" s="360" t="s">
        <v>170</v>
      </c>
      <c r="B4" s="49">
        <f>IF(ISERROR('SEAP template'!B78+'SEAP template'!C78),0,'SEAP template'!B78+'SEAP template'!C78)</f>
        <v>32106.950286353142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1745.2800000000004</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0.10077397217385363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2493.2571428571437</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34249.5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7.2796891716875978E-2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692.178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692.178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0.10077397217385363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69.753526511353655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20660.908522084101</v>
      </c>
      <c r="C5" s="17">
        <f>IF(ISERROR('Eigen informatie GS &amp; warmtenet'!B59),0,'Eigen informatie GS &amp; warmtenet'!B59)</f>
        <v>0</v>
      </c>
      <c r="D5" s="30">
        <f>(SUM(HH_hh_gas_kWh,HH_rest_gas_kWh)/1000)*0.903</f>
        <v>32769.33570787809</v>
      </c>
      <c r="E5" s="17">
        <f>B46*B57</f>
        <v>15197.755132190039</v>
      </c>
      <c r="F5" s="17">
        <f>B51*B62</f>
        <v>46443.337129506312</v>
      </c>
      <c r="G5" s="18"/>
      <c r="H5" s="17"/>
      <c r="I5" s="17"/>
      <c r="J5" s="17">
        <f>B50*B61+C50*C61</f>
        <v>346.87650121048716</v>
      </c>
      <c r="K5" s="17"/>
      <c r="L5" s="17"/>
      <c r="M5" s="17"/>
      <c r="N5" s="17">
        <f>B48*B59+C48*C59</f>
        <v>24487.898084013766</v>
      </c>
      <c r="O5" s="17">
        <f>B69*B70*B71</f>
        <v>365.04831236721384</v>
      </c>
      <c r="P5" s="17">
        <f>B77*B78*B79/1000-B77*B78*B79/1000/B80</f>
        <v>979.65821561470705</v>
      </c>
    </row>
    <row r="6" spans="1:16">
      <c r="A6" s="16" t="s">
        <v>612</v>
      </c>
      <c r="B6" s="786">
        <f>kWh_PV_kleiner_dan_10kW</f>
        <v>5259.0751092690407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25919.983631353141</v>
      </c>
      <c r="C8" s="21">
        <f>C5</f>
        <v>0</v>
      </c>
      <c r="D8" s="21">
        <f>D5</f>
        <v>32769.33570787809</v>
      </c>
      <c r="E8" s="21">
        <f>E5</f>
        <v>15197.755132190039</v>
      </c>
      <c r="F8" s="21">
        <f>F5</f>
        <v>46443.337129506312</v>
      </c>
      <c r="G8" s="21"/>
      <c r="H8" s="21"/>
      <c r="I8" s="21"/>
      <c r="J8" s="21">
        <f>J5</f>
        <v>346.87650121048716</v>
      </c>
      <c r="K8" s="21"/>
      <c r="L8" s="21">
        <f>L5</f>
        <v>0</v>
      </c>
      <c r="M8" s="21">
        <f>M5</f>
        <v>0</v>
      </c>
      <c r="N8" s="21">
        <f>N5</f>
        <v>24487.898084013766</v>
      </c>
      <c r="O8" s="21">
        <f>O5</f>
        <v>365.04831236721384</v>
      </c>
      <c r="P8" s="21">
        <f>P5</f>
        <v>979.65821561470705</v>
      </c>
    </row>
    <row r="9" spans="1:16">
      <c r="B9" s="19"/>
      <c r="C9" s="19"/>
      <c r="D9" s="258"/>
      <c r="E9" s="19"/>
      <c r="F9" s="19"/>
      <c r="G9" s="19"/>
      <c r="H9" s="19"/>
      <c r="I9" s="19"/>
      <c r="J9" s="19"/>
      <c r="K9" s="19"/>
      <c r="L9" s="19"/>
      <c r="M9" s="19"/>
      <c r="N9" s="19"/>
      <c r="O9" s="19"/>
      <c r="P9" s="19"/>
    </row>
    <row r="10" spans="1:16">
      <c r="A10" s="24" t="s">
        <v>213</v>
      </c>
      <c r="B10" s="25">
        <f ca="1">'EF ele_warmte'!B12</f>
        <v>0.10077397217385363</v>
      </c>
      <c r="C10" s="25">
        <f ca="1">'EF ele_warmte'!B22</f>
        <v>7.2796891716875978E-2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2612.0597092127232</v>
      </c>
      <c r="C12" s="23">
        <f ca="1">C10*C8</f>
        <v>0</v>
      </c>
      <c r="D12" s="23">
        <f>D8*D10</f>
        <v>6619.4058129913747</v>
      </c>
      <c r="E12" s="23">
        <f>E10*E8</f>
        <v>3449.8904150071389</v>
      </c>
      <c r="F12" s="23">
        <f>F10*F8</f>
        <v>12400.371013578186</v>
      </c>
      <c r="G12" s="23"/>
      <c r="H12" s="23"/>
      <c r="I12" s="23"/>
      <c r="J12" s="23">
        <f>J10*J8</f>
        <v>122.79428142851245</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965</v>
      </c>
      <c r="C18" s="166" t="s">
        <v>110</v>
      </c>
      <c r="D18" s="228"/>
      <c r="E18" s="15"/>
    </row>
    <row r="19" spans="1:7">
      <c r="A19" s="171" t="s">
        <v>71</v>
      </c>
      <c r="B19" s="37">
        <f>aantalw2001_ander</f>
        <v>9</v>
      </c>
      <c r="C19" s="166" t="s">
        <v>110</v>
      </c>
      <c r="D19" s="229"/>
      <c r="E19" s="15"/>
    </row>
    <row r="20" spans="1:7">
      <c r="A20" s="171" t="s">
        <v>72</v>
      </c>
      <c r="B20" s="37">
        <f>aantalw2001_propaan</f>
        <v>171</v>
      </c>
      <c r="C20" s="167">
        <f>IF(ISERROR(B20/SUM($B$20,$B$21,$B$22)*100),0,B20/SUM($B$20,$B$21,$B$22)*100)</f>
        <v>31.491712707182316</v>
      </c>
      <c r="D20" s="229"/>
      <c r="E20" s="15"/>
    </row>
    <row r="21" spans="1:7">
      <c r="A21" s="171" t="s">
        <v>73</v>
      </c>
      <c r="B21" s="37">
        <f>aantalw2001_elektriciteit</f>
        <v>225</v>
      </c>
      <c r="C21" s="167">
        <f>IF(ISERROR(B21/SUM($B$20,$B$21,$B$22)*100),0,B21/SUM($B$20,$B$21,$B$22)*100)</f>
        <v>41.436464088397791</v>
      </c>
      <c r="D21" s="229"/>
      <c r="E21" s="15"/>
    </row>
    <row r="22" spans="1:7">
      <c r="A22" s="171" t="s">
        <v>74</v>
      </c>
      <c r="B22" s="37">
        <f>aantalw2001_hout</f>
        <v>147</v>
      </c>
      <c r="C22" s="167">
        <f>IF(ISERROR(B22/SUM($B$20,$B$21,$B$22)*100),0,B22/SUM($B$20,$B$21,$B$22)*100)</f>
        <v>27.071823204419886</v>
      </c>
      <c r="D22" s="229"/>
      <c r="E22" s="15"/>
    </row>
    <row r="23" spans="1:7">
      <c r="A23" s="171" t="s">
        <v>75</v>
      </c>
      <c r="B23" s="37">
        <f>aantalw2001_niet_gespec</f>
        <v>58</v>
      </c>
      <c r="C23" s="166" t="s">
        <v>110</v>
      </c>
      <c r="D23" s="228"/>
      <c r="E23" s="15"/>
    </row>
    <row r="24" spans="1:7">
      <c r="A24" s="171" t="s">
        <v>76</v>
      </c>
      <c r="B24" s="37">
        <f>aantalw2001_steenkool</f>
        <v>167</v>
      </c>
      <c r="C24" s="166" t="s">
        <v>110</v>
      </c>
      <c r="D24" s="229"/>
      <c r="E24" s="15"/>
    </row>
    <row r="25" spans="1:7">
      <c r="A25" s="171" t="s">
        <v>77</v>
      </c>
      <c r="B25" s="37">
        <f>aantalw2001_stookolie</f>
        <v>3520</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6087</v>
      </c>
      <c r="C28" s="36"/>
      <c r="D28" s="228"/>
    </row>
    <row r="29" spans="1:7" s="15" customFormat="1">
      <c r="A29" s="230" t="s">
        <v>839</v>
      </c>
      <c r="B29" s="37">
        <f>SUM(HH_hh_gas_aantal,HH_rest_gas_aantal)</f>
        <v>2388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2388</v>
      </c>
      <c r="C32" s="167">
        <f>IF(ISERROR(B32/SUM($B$32,$B$34,$B$35,$B$36,$B$38,$B$39)*100),0,B32/SUM($B$32,$B$34,$B$35,$B$36,$B$38,$B$39)*100)</f>
        <v>39.83983983983984</v>
      </c>
      <c r="D32" s="233"/>
      <c r="G32" s="15"/>
    </row>
    <row r="33" spans="1:7">
      <c r="A33" s="171" t="s">
        <v>71</v>
      </c>
      <c r="B33" s="34" t="s">
        <v>110</v>
      </c>
      <c r="C33" s="167"/>
      <c r="D33" s="233"/>
      <c r="G33" s="15"/>
    </row>
    <row r="34" spans="1:7">
      <c r="A34" s="171" t="s">
        <v>72</v>
      </c>
      <c r="B34" s="33">
        <f>IF((($B$28-$B$32-$B$39-$B$77-$B$38)*C20/100)&lt;0,0,($B$28-$B$32-$B$39-$B$77-$B$38)*C20/100)</f>
        <v>422.61878453038662</v>
      </c>
      <c r="C34" s="167">
        <f>IF(ISERROR(B34/SUM($B$32,$B$34,$B$35,$B$36,$B$38,$B$39)*100),0,B34/SUM($B$32,$B$34,$B$35,$B$36,$B$38,$B$39)*100)</f>
        <v>7.0506971059457229</v>
      </c>
      <c r="D34" s="233"/>
      <c r="G34" s="15"/>
    </row>
    <row r="35" spans="1:7">
      <c r="A35" s="171" t="s">
        <v>73</v>
      </c>
      <c r="B35" s="33">
        <f>IF((($B$28-$B$32-$B$39-$B$77-$B$38)*C21/100)&lt;0,0,($B$28-$B$32-$B$39-$B$77-$B$38)*C21/100)</f>
        <v>556.07734806629833</v>
      </c>
      <c r="C35" s="167">
        <f>IF(ISERROR(B35/SUM($B$32,$B$34,$B$35,$B$36,$B$38,$B$39)*100),0,B35/SUM($B$32,$B$34,$B$35,$B$36,$B$38,$B$39)*100)</f>
        <v>9.2772330341391118</v>
      </c>
      <c r="D35" s="233"/>
      <c r="G35" s="15"/>
    </row>
    <row r="36" spans="1:7">
      <c r="A36" s="171" t="s">
        <v>74</v>
      </c>
      <c r="B36" s="33">
        <f>IF((($B$28-$B$32-$B$39-$B$77-$B$38)*C22/100)&lt;0,0,($B$28-$B$32-$B$39-$B$77-$B$38)*C22/100)</f>
        <v>363.30386740331483</v>
      </c>
      <c r="C36" s="167">
        <f>IF(ISERROR(B36/SUM($B$32,$B$34,$B$35,$B$36,$B$38,$B$39)*100),0,B36/SUM($B$32,$B$34,$B$35,$B$36,$B$38,$B$39)*100)</f>
        <v>6.0611255823042178</v>
      </c>
      <c r="D36" s="233"/>
      <c r="G36" s="15"/>
    </row>
    <row r="37" spans="1:7">
      <c r="A37" s="171" t="s">
        <v>75</v>
      </c>
      <c r="B37" s="34" t="s">
        <v>110</v>
      </c>
      <c r="C37" s="167"/>
      <c r="D37" s="173"/>
      <c r="G37" s="15"/>
    </row>
    <row r="38" spans="1:7">
      <c r="A38" s="171" t="s">
        <v>76</v>
      </c>
      <c r="B38" s="33">
        <f>IF((B24-(B29-B18)*0.1)&lt;0,0,B24-(B29-B18)*0.1)</f>
        <v>24.699999999999989</v>
      </c>
      <c r="C38" s="167">
        <f>IF(ISERROR(B38/SUM($B$32,$B$34,$B$35,$B$36,$B$38,$B$39)*100),0,B38/SUM($B$32,$B$34,$B$35,$B$36,$B$38,$B$39)*100)</f>
        <v>0.41207874541207851</v>
      </c>
      <c r="D38" s="234"/>
      <c r="G38" s="15"/>
    </row>
    <row r="39" spans="1:7">
      <c r="A39" s="171" t="s">
        <v>77</v>
      </c>
      <c r="B39" s="33">
        <f>IF((B25-(B29-B18))&lt;0,0,B25-(B29-B18)*0.9)</f>
        <v>2239.3000000000002</v>
      </c>
      <c r="C39" s="167">
        <f>IF(ISERROR(B39/SUM($B$32,$B$34,$B$35,$B$36,$B$38,$B$39)*100),0,B39/SUM($B$32,$B$34,$B$35,$B$36,$B$38,$B$39)*100)</f>
        <v>37.359025692359026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2388</v>
      </c>
      <c r="C44" s="34" t="s">
        <v>110</v>
      </c>
      <c r="D44" s="174"/>
    </row>
    <row r="45" spans="1:7">
      <c r="A45" s="171" t="s">
        <v>71</v>
      </c>
      <c r="B45" s="33" t="str">
        <f t="shared" si="0"/>
        <v>-</v>
      </c>
      <c r="C45" s="34" t="s">
        <v>110</v>
      </c>
      <c r="D45" s="174"/>
    </row>
    <row r="46" spans="1:7">
      <c r="A46" s="171" t="s">
        <v>72</v>
      </c>
      <c r="B46" s="33">
        <f t="shared" si="0"/>
        <v>422.61878453038662</v>
      </c>
      <c r="C46" s="34" t="s">
        <v>110</v>
      </c>
      <c r="D46" s="174"/>
    </row>
    <row r="47" spans="1:7">
      <c r="A47" s="171" t="s">
        <v>73</v>
      </c>
      <c r="B47" s="33">
        <f t="shared" si="0"/>
        <v>556.07734806629833</v>
      </c>
      <c r="C47" s="34" t="s">
        <v>110</v>
      </c>
      <c r="D47" s="174"/>
    </row>
    <row r="48" spans="1:7">
      <c r="A48" s="171" t="s">
        <v>74</v>
      </c>
      <c r="B48" s="33">
        <f t="shared" si="0"/>
        <v>363.30386740331483</v>
      </c>
      <c r="C48" s="33">
        <f>B48*10</f>
        <v>3633.0386740331483</v>
      </c>
      <c r="D48" s="234"/>
    </row>
    <row r="49" spans="1:6">
      <c r="A49" s="171" t="s">
        <v>75</v>
      </c>
      <c r="B49" s="33" t="str">
        <f t="shared" si="0"/>
        <v>-</v>
      </c>
      <c r="C49" s="34" t="s">
        <v>110</v>
      </c>
      <c r="D49" s="234"/>
    </row>
    <row r="50" spans="1:6">
      <c r="A50" s="171" t="s">
        <v>76</v>
      </c>
      <c r="B50" s="33">
        <f t="shared" si="0"/>
        <v>24.699999999999989</v>
      </c>
      <c r="C50" s="33">
        <f>B50*2</f>
        <v>49.399999999999977</v>
      </c>
      <c r="D50" s="234"/>
    </row>
    <row r="51" spans="1:6">
      <c r="A51" s="171" t="s">
        <v>77</v>
      </c>
      <c r="B51" s="33">
        <f t="shared" si="0"/>
        <v>2239.3000000000002</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9679.3361664547956</v>
      </c>
      <c r="C5" s="17">
        <f>IF(ISERROR('Eigen informatie GS &amp; warmtenet'!B60),0,'Eigen informatie GS &amp; warmtenet'!B60)</f>
        <v>0</v>
      </c>
      <c r="D5" s="30">
        <f>SUM(D6:D12)</f>
        <v>9848.7908996412152</v>
      </c>
      <c r="E5" s="17">
        <f>SUM(E6:E12)</f>
        <v>30.40842727696889</v>
      </c>
      <c r="F5" s="17">
        <f>SUM(F6:F12)</f>
        <v>1470.2231136280679</v>
      </c>
      <c r="G5" s="18"/>
      <c r="H5" s="17"/>
      <c r="I5" s="17"/>
      <c r="J5" s="17">
        <f>SUM(J6:J12)</f>
        <v>1.1060688322208693E-2</v>
      </c>
      <c r="K5" s="17"/>
      <c r="L5" s="17"/>
      <c r="M5" s="17"/>
      <c r="N5" s="17">
        <f>SUM(N6:N12)</f>
        <v>408.9765978635034</v>
      </c>
      <c r="O5" s="17">
        <f>B38*B39*B40</f>
        <v>4.8972607658411542</v>
      </c>
      <c r="P5" s="17">
        <f>B46*B47*B48/1000-B46*B47*B48/1000/B49</f>
        <v>52.539138306495019</v>
      </c>
      <c r="R5" s="32"/>
    </row>
    <row r="6" spans="1:18">
      <c r="A6" s="32" t="s">
        <v>53</v>
      </c>
      <c r="B6" s="37">
        <f>B26</f>
        <v>2177.2392872462196</v>
      </c>
      <c r="C6" s="33"/>
      <c r="D6" s="37">
        <f>IF(ISERROR(TER_kantoor_gas_kWh/1000),0,TER_kantoor_gas_kWh/1000)*0.903</f>
        <v>2235.9605671655922</v>
      </c>
      <c r="E6" s="33">
        <f>$C$26*'E Balans VL '!I12/100/3.6*1000000</f>
        <v>0.52161478107578529</v>
      </c>
      <c r="F6" s="33">
        <f>$C$26*('E Balans VL '!L12+'E Balans VL '!N12)/100/3.6*1000000</f>
        <v>206.46504437370149</v>
      </c>
      <c r="G6" s="34"/>
      <c r="H6" s="33"/>
      <c r="I6" s="33"/>
      <c r="J6" s="33">
        <f>$C$26*('E Balans VL '!D12+'E Balans VL '!E12)/100/3.6*1000000</f>
        <v>0</v>
      </c>
      <c r="K6" s="33"/>
      <c r="L6" s="33"/>
      <c r="M6" s="33"/>
      <c r="N6" s="33">
        <f>$C$26*'E Balans VL '!Y12/100/3.6*1000000</f>
        <v>1.1059249430584468</v>
      </c>
      <c r="O6" s="33"/>
      <c r="P6" s="33"/>
      <c r="R6" s="32"/>
    </row>
    <row r="7" spans="1:18">
      <c r="A7" s="32" t="s">
        <v>52</v>
      </c>
      <c r="B7" s="37">
        <f t="shared" ref="B7:B12" si="0">B27</f>
        <v>1535.63715916757</v>
      </c>
      <c r="C7" s="33"/>
      <c r="D7" s="37">
        <f>IF(ISERROR(TER_horeca_gas_kWh/1000),0,TER_horeca_gas_kWh/1000)*0.903</f>
        <v>1157.9179103487486</v>
      </c>
      <c r="E7" s="33">
        <f>$C$27*'E Balans VL '!I9/100/3.6*1000000</f>
        <v>0</v>
      </c>
      <c r="F7" s="33">
        <f>$C$27*('E Balans VL '!L9+'E Balans VL '!N9)/100/3.6*1000000</f>
        <v>125.91863724590452</v>
      </c>
      <c r="G7" s="34"/>
      <c r="H7" s="33"/>
      <c r="I7" s="33"/>
      <c r="J7" s="33">
        <f>$C$27*('E Balans VL '!D9+'E Balans VL '!E9)/100/3.6*1000000</f>
        <v>0</v>
      </c>
      <c r="K7" s="33"/>
      <c r="L7" s="33"/>
      <c r="M7" s="33"/>
      <c r="N7" s="33">
        <f>$C$27*'E Balans VL '!Y9/100/3.6*1000000</f>
        <v>0.47073448666141982</v>
      </c>
      <c r="O7" s="33"/>
      <c r="P7" s="33"/>
      <c r="R7" s="32"/>
    </row>
    <row r="8" spans="1:18">
      <c r="A8" s="6" t="s">
        <v>51</v>
      </c>
      <c r="B8" s="37">
        <f t="shared" si="0"/>
        <v>3939.80867510504</v>
      </c>
      <c r="C8" s="33"/>
      <c r="D8" s="37">
        <f>IF(ISERROR(TER_handel_gas_kWh/1000),0,TER_handel_gas_kWh/1000)*0.903</f>
        <v>1610.7324468198917</v>
      </c>
      <c r="E8" s="33">
        <f>$C$28*'E Balans VL '!I13/100/3.6*1000000</f>
        <v>13.846274178340193</v>
      </c>
      <c r="F8" s="33">
        <f>$C$28*('E Balans VL '!L13+'E Balans VL '!N13)/100/3.6*1000000</f>
        <v>360.48541853603672</v>
      </c>
      <c r="G8" s="34"/>
      <c r="H8" s="33"/>
      <c r="I8" s="33"/>
      <c r="J8" s="33">
        <f>$C$28*('E Balans VL '!D13+'E Balans VL '!E13)/100/3.6*1000000</f>
        <v>0</v>
      </c>
      <c r="K8" s="33"/>
      <c r="L8" s="33"/>
      <c r="M8" s="33"/>
      <c r="N8" s="33">
        <f>$C$28*'E Balans VL '!Y13/100/3.6*1000000</f>
        <v>1.4268290870117986</v>
      </c>
      <c r="O8" s="33"/>
      <c r="P8" s="33"/>
      <c r="R8" s="32"/>
    </row>
    <row r="9" spans="1:18">
      <c r="A9" s="32" t="s">
        <v>50</v>
      </c>
      <c r="B9" s="37">
        <f t="shared" si="0"/>
        <v>810.05275835892803</v>
      </c>
      <c r="C9" s="33"/>
      <c r="D9" s="37">
        <f>IF(ISERROR(TER_gezond_gas_kWh/1000),0,TER_gezond_gas_kWh/1000)*0.903</f>
        <v>2846.7043297933642</v>
      </c>
      <c r="E9" s="33">
        <f>$C$29*'E Balans VL '!I10/100/3.6*1000000</f>
        <v>0</v>
      </c>
      <c r="F9" s="33">
        <f>$C$29*('E Balans VL '!L10+'E Balans VL '!N10)/100/3.6*1000000</f>
        <v>99.297593217898964</v>
      </c>
      <c r="G9" s="34"/>
      <c r="H9" s="33"/>
      <c r="I9" s="33"/>
      <c r="J9" s="33">
        <f>$C$29*('E Balans VL '!D10+'E Balans VL '!E10)/100/3.6*1000000</f>
        <v>0</v>
      </c>
      <c r="K9" s="33"/>
      <c r="L9" s="33"/>
      <c r="M9" s="33"/>
      <c r="N9" s="33">
        <f>$C$29*'E Balans VL '!Y10/100/3.6*1000000</f>
        <v>5.9735746037155621</v>
      </c>
      <c r="O9" s="33"/>
      <c r="P9" s="33"/>
      <c r="R9" s="32"/>
    </row>
    <row r="10" spans="1:18">
      <c r="A10" s="32" t="s">
        <v>49</v>
      </c>
      <c r="B10" s="37">
        <f t="shared" si="0"/>
        <v>1119.9766907708702</v>
      </c>
      <c r="C10" s="33"/>
      <c r="D10" s="37">
        <f>IF(ISERROR(TER_ander_gas_kWh/1000),0,TER_ander_gas_kWh/1000)*0.903</f>
        <v>1815.1145749423267</v>
      </c>
      <c r="E10" s="33">
        <f>$C$30*'E Balans VL '!I14/100/3.6*1000000</f>
        <v>16.040538317552912</v>
      </c>
      <c r="F10" s="33">
        <f>$C$30*('E Balans VL '!L14+'E Balans VL '!N14)/100/3.6*1000000</f>
        <v>666.7602050949381</v>
      </c>
      <c r="G10" s="34"/>
      <c r="H10" s="33"/>
      <c r="I10" s="33"/>
      <c r="J10" s="33">
        <f>$C$30*('E Balans VL '!D14+'E Balans VL '!E14)/100/3.6*1000000</f>
        <v>1.1060688322208693E-2</v>
      </c>
      <c r="K10" s="33"/>
      <c r="L10" s="33"/>
      <c r="M10" s="33"/>
      <c r="N10" s="33">
        <f>$C$30*'E Balans VL '!Y14/100/3.6*1000000</f>
        <v>399.72745942444146</v>
      </c>
      <c r="O10" s="33"/>
      <c r="P10" s="33"/>
      <c r="R10" s="32"/>
    </row>
    <row r="11" spans="1:18">
      <c r="A11" s="32" t="s">
        <v>54</v>
      </c>
      <c r="B11" s="37">
        <f t="shared" si="0"/>
        <v>96.621595806168102</v>
      </c>
      <c r="C11" s="33"/>
      <c r="D11" s="37">
        <f>IF(ISERROR(TER_onderwijs_gas_kWh/1000),0,TER_onderwijs_gas_kWh/1000)*0.903</f>
        <v>182.36107057129323</v>
      </c>
      <c r="E11" s="33">
        <f>$C$31*'E Balans VL '!I11/100/3.6*1000000</f>
        <v>0</v>
      </c>
      <c r="F11" s="33">
        <f>$C$31*('E Balans VL '!L11+'E Balans VL '!N11)/100/3.6*1000000</f>
        <v>11.296215159588181</v>
      </c>
      <c r="G11" s="34"/>
      <c r="H11" s="33"/>
      <c r="I11" s="33"/>
      <c r="J11" s="33">
        <f>$C$31*('E Balans VL '!D11+'E Balans VL '!E11)/100/3.6*1000000</f>
        <v>0</v>
      </c>
      <c r="K11" s="33"/>
      <c r="L11" s="33"/>
      <c r="M11" s="33"/>
      <c r="N11" s="33">
        <f>$C$31*'E Balans VL '!Y11/100/3.6*1000000</f>
        <v>0.27207531861470646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energieproductie'!N42+'lokale energieproductie'!N35</f>
        <v>1656</v>
      </c>
      <c r="C13" s="247">
        <f ca="1">'lokale energieproductie'!O42+'lokale energieproductie'!O35</f>
        <v>450.00000000000011</v>
      </c>
      <c r="D13" s="310">
        <f ca="1">('lokale energieproductie'!P35+'lokale energieproductie'!P42)*(-1)</f>
        <v>-900.00000000000023</v>
      </c>
      <c r="E13" s="248"/>
      <c r="F13" s="310">
        <f ca="1">('lokale energieproductie'!S35+'lokale energieproductie'!S42)*(-1)</f>
        <v>0</v>
      </c>
      <c r="G13" s="249"/>
      <c r="H13" s="248"/>
      <c r="I13" s="248"/>
      <c r="J13" s="248"/>
      <c r="K13" s="248"/>
      <c r="L13" s="310">
        <f ca="1">('lokale energieproductie'!U35+'lokale energieproductie'!T35+'lokale energieproductie'!U42+'lokale energieproductie'!T42)*(-1)</f>
        <v>0</v>
      </c>
      <c r="M13" s="248"/>
      <c r="N13" s="310">
        <f ca="1">('lokale energieproductie'!Q35+'lokale energieproductie'!R35+'lokale energieproductie'!V35+'lokale energieproductie'!Q42+'lokale energieproductie'!R42+'lokale energieproductie'!V42)*(-1)</f>
        <v>-3831.4285714285716</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11335.336166454796</v>
      </c>
      <c r="C16" s="21">
        <f t="shared" ca="1" si="1"/>
        <v>450.00000000000011</v>
      </c>
      <c r="D16" s="21">
        <f t="shared" ca="1" si="1"/>
        <v>8948.7908996412152</v>
      </c>
      <c r="E16" s="21">
        <f t="shared" si="1"/>
        <v>30.40842727696889</v>
      </c>
      <c r="F16" s="21">
        <f t="shared" ca="1" si="1"/>
        <v>1470.2231136280679</v>
      </c>
      <c r="G16" s="21">
        <f t="shared" si="1"/>
        <v>0</v>
      </c>
      <c r="H16" s="21">
        <f t="shared" si="1"/>
        <v>0</v>
      </c>
      <c r="I16" s="21">
        <f t="shared" si="1"/>
        <v>0</v>
      </c>
      <c r="J16" s="21">
        <f t="shared" si="1"/>
        <v>1.1060688322208693E-2</v>
      </c>
      <c r="K16" s="21">
        <f t="shared" si="1"/>
        <v>0</v>
      </c>
      <c r="L16" s="21">
        <f t="shared" ca="1" si="1"/>
        <v>0</v>
      </c>
      <c r="M16" s="21">
        <f t="shared" si="1"/>
        <v>0</v>
      </c>
      <c r="N16" s="21">
        <f t="shared" ca="1" si="1"/>
        <v>0</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0.10077397217385363</v>
      </c>
      <c r="C18" s="25">
        <f ca="1">'EF ele_warmte'!B22</f>
        <v>7.2796891716875978E-2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1142.3068514195922</v>
      </c>
      <c r="C20" s="23">
        <f t="shared" ref="C20:P20" ca="1" si="2">C16*C18</f>
        <v>32.758601272594198</v>
      </c>
      <c r="D20" s="23">
        <f t="shared" ca="1" si="2"/>
        <v>1807.6557617275255</v>
      </c>
      <c r="E20" s="23">
        <f t="shared" si="2"/>
        <v>6.9027129918719385</v>
      </c>
      <c r="F20" s="23">
        <f t="shared" ca="1" si="2"/>
        <v>392.54957133869419</v>
      </c>
      <c r="G20" s="23">
        <f t="shared" si="2"/>
        <v>0</v>
      </c>
      <c r="H20" s="23">
        <f t="shared" si="2"/>
        <v>0</v>
      </c>
      <c r="I20" s="23">
        <f t="shared" si="2"/>
        <v>0</v>
      </c>
      <c r="J20" s="23">
        <f t="shared" si="2"/>
        <v>3.9154836660618766E-3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2177.2392872462196</v>
      </c>
      <c r="C26" s="39">
        <f>IF(ISERROR(B26*3.6/1000000/'E Balans VL '!Z12*100),0,B26*3.6/1000000/'E Balans VL '!Z12*100)</f>
        <v>6.1403913521890466E-2</v>
      </c>
      <c r="D26" s="237" t="s">
        <v>702</v>
      </c>
      <c r="F26" s="6"/>
    </row>
    <row r="27" spans="1:18">
      <c r="A27" s="231" t="s">
        <v>52</v>
      </c>
      <c r="B27" s="33">
        <f>IF(ISERROR(TER_horeca_ele_kWh/1000),0,TER_horeca_ele_kWh/1000)</f>
        <v>1535.63715916757</v>
      </c>
      <c r="C27" s="39">
        <f>IF(ISERROR(B27*3.6/1000000/'E Balans VL '!Z9*100),0,B27*3.6/1000000/'E Balans VL '!Z9*100)</f>
        <v>0.11384863054543207</v>
      </c>
      <c r="D27" s="237" t="s">
        <v>702</v>
      </c>
      <c r="F27" s="6"/>
    </row>
    <row r="28" spans="1:18">
      <c r="A28" s="171" t="s">
        <v>51</v>
      </c>
      <c r="B28" s="33">
        <f>IF(ISERROR(TER_handel_ele_kWh/1000),0,TER_handel_ele_kWh/1000)</f>
        <v>3939.80867510504</v>
      </c>
      <c r="C28" s="39">
        <f>IF(ISERROR(B28*3.6/1000000/'E Balans VL '!Z13*100),0,B28*3.6/1000000/'E Balans VL '!Z13*100)</f>
        <v>0.11802730066128836</v>
      </c>
      <c r="D28" s="237" t="s">
        <v>702</v>
      </c>
      <c r="F28" s="6"/>
    </row>
    <row r="29" spans="1:18">
      <c r="A29" s="231" t="s">
        <v>50</v>
      </c>
      <c r="B29" s="33">
        <f>IF(ISERROR(TER_gezond_ele_kWh/1000),0,TER_gezond_ele_kWh/1000)</f>
        <v>810.05275835892803</v>
      </c>
      <c r="C29" s="39">
        <f>IF(ISERROR(B29*3.6/1000000/'E Balans VL '!Z10*100),0,B29*3.6/1000000/'E Balans VL '!Z10*100)</f>
        <v>8.0098334245179981E-2</v>
      </c>
      <c r="D29" s="237" t="s">
        <v>702</v>
      </c>
      <c r="F29" s="6"/>
    </row>
    <row r="30" spans="1:18">
      <c r="A30" s="231" t="s">
        <v>49</v>
      </c>
      <c r="B30" s="33">
        <f>IF(ISERROR(TER_ander_ele_kWh/1000),0,TER_ander_ele_kWh/1000)</f>
        <v>1119.9766907708702</v>
      </c>
      <c r="C30" s="39">
        <f>IF(ISERROR(B30*3.6/1000000/'E Balans VL '!Z14*100),0,B30*3.6/1000000/'E Balans VL '!Z14*100)</f>
        <v>4.5299747394711362E-2</v>
      </c>
      <c r="D30" s="237" t="s">
        <v>702</v>
      </c>
      <c r="F30" s="6"/>
    </row>
    <row r="31" spans="1:18">
      <c r="A31" s="231" t="s">
        <v>54</v>
      </c>
      <c r="B31" s="33">
        <f>IF(ISERROR(TER_onderwijs_ele_kWh/1000),0,TER_onderwijs_ele_kWh/1000)</f>
        <v>96.621595806168102</v>
      </c>
      <c r="C31" s="39">
        <f>IF(ISERROR(B31*3.6/1000000/'E Balans VL '!Z11*100),0,B31*3.6/1000000/'E Balans VL '!Z11*100)</f>
        <v>2.6546178078280417E-2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4459.4000146254721</v>
      </c>
      <c r="C5" s="17">
        <f>IF(ISERROR('Eigen informatie GS &amp; warmtenet'!B61),0,'Eigen informatie GS &amp; warmtenet'!B61)</f>
        <v>0</v>
      </c>
      <c r="D5" s="30">
        <f>SUM(D6:D15)</f>
        <v>5626.5094356321142</v>
      </c>
      <c r="E5" s="17">
        <f>SUM(E6:E15)</f>
        <v>9.9937463324314475</v>
      </c>
      <c r="F5" s="17">
        <f>SUM(F6:F15)</f>
        <v>700.10055435842935</v>
      </c>
      <c r="G5" s="18"/>
      <c r="H5" s="17"/>
      <c r="I5" s="17"/>
      <c r="J5" s="17">
        <f>SUM(J6:J15)</f>
        <v>0.24201331886460631</v>
      </c>
      <c r="K5" s="17"/>
      <c r="L5" s="17"/>
      <c r="M5" s="17"/>
      <c r="N5" s="17">
        <f>SUM(N6:N15)</f>
        <v>146.69553198553425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217.607040080545</v>
      </c>
      <c r="C8" s="33"/>
      <c r="D8" s="37">
        <f>IF( ISERROR(IND_metaal_Gas_kWH/1000),0,IND_metaal_Gas_kWH/1000)*0.903</f>
        <v>138.34430072016534</v>
      </c>
      <c r="E8" s="33">
        <f>C30*'E Balans VL '!I18/100/3.6*1000000</f>
        <v>1.0972126640157522</v>
      </c>
      <c r="F8" s="33">
        <f>C30*'E Balans VL '!L18/100/3.6*1000000+C30*'E Balans VL '!N18/100/3.6*1000000</f>
        <v>14.867357647632421</v>
      </c>
      <c r="G8" s="34"/>
      <c r="H8" s="33"/>
      <c r="I8" s="33"/>
      <c r="J8" s="40">
        <f>C30*'E Balans VL '!D18/100/3.6*1000000+C30*'E Balans VL '!E18/100/3.6*1000000</f>
        <v>0.19292720315104811</v>
      </c>
      <c r="K8" s="33"/>
      <c r="L8" s="33"/>
      <c r="M8" s="33"/>
      <c r="N8" s="33">
        <f>C30*'E Balans VL '!Y18/100/3.6*1000000</f>
        <v>2.8919988540653616</v>
      </c>
      <c r="O8" s="33"/>
      <c r="P8" s="33"/>
      <c r="R8" s="32"/>
    </row>
    <row r="9" spans="1:18">
      <c r="A9" s="6" t="s">
        <v>32</v>
      </c>
      <c r="B9" s="37">
        <f t="shared" si="0"/>
        <v>1032.1577811842999</v>
      </c>
      <c r="C9" s="33"/>
      <c r="D9" s="37">
        <f>IF( ISERROR(IND_andere_gas_kWh/1000),0,IND_andere_gas_kWh/1000)*0.903</f>
        <v>647.5220920861575</v>
      </c>
      <c r="E9" s="33">
        <f>C31*'E Balans VL '!I19/100/3.6*1000000</f>
        <v>3.2536052698747375</v>
      </c>
      <c r="F9" s="33">
        <f>C31*'E Balans VL '!L19/100/3.6*1000000+C31*'E Balans VL '!N19/100/3.6*1000000</f>
        <v>631.84358241478458</v>
      </c>
      <c r="G9" s="34"/>
      <c r="H9" s="33"/>
      <c r="I9" s="33"/>
      <c r="J9" s="40">
        <f>C31*'E Balans VL '!D19/100/3.6*1000000+C31*'E Balans VL '!E19/100/3.6*1000000</f>
        <v>0</v>
      </c>
      <c r="K9" s="33"/>
      <c r="L9" s="33"/>
      <c r="M9" s="33"/>
      <c r="N9" s="33">
        <f>C31*'E Balans VL '!Y19/100/3.6*1000000</f>
        <v>43.279777250427429</v>
      </c>
      <c r="O9" s="33"/>
      <c r="P9" s="33"/>
      <c r="R9" s="32"/>
    </row>
    <row r="10" spans="1:18">
      <c r="A10" s="6" t="s">
        <v>40</v>
      </c>
      <c r="B10" s="37">
        <f t="shared" si="0"/>
        <v>3157.4311048589302</v>
      </c>
      <c r="C10" s="33"/>
      <c r="D10" s="37">
        <f>IF( ISERROR(IND_voed_gas_kWh/1000),0,IND_voed_gas_kWh/1000)*0.903</f>
        <v>4738.3652593864963</v>
      </c>
      <c r="E10" s="33">
        <f>C32*'E Balans VL '!I20/100/3.6*1000000</f>
        <v>5.0320584380717976</v>
      </c>
      <c r="F10" s="33">
        <f>C32*'E Balans VL '!L20/100/3.6*1000000+C32*'E Balans VL '!N20/100/3.6*1000000</f>
        <v>51.300585184347248</v>
      </c>
      <c r="G10" s="34"/>
      <c r="H10" s="33"/>
      <c r="I10" s="33"/>
      <c r="J10" s="40">
        <f>C32*'E Balans VL '!D20/100/3.6*1000000+C32*'E Balans VL '!E20/100/3.6*1000000</f>
        <v>0</v>
      </c>
      <c r="K10" s="33"/>
      <c r="L10" s="33"/>
      <c r="M10" s="33"/>
      <c r="N10" s="33">
        <f>C32*'E Balans VL '!Y20/100/3.6*1000000</f>
        <v>99.727443676698812</v>
      </c>
      <c r="O10" s="33"/>
      <c r="P10" s="33"/>
      <c r="R10" s="32"/>
    </row>
    <row r="11" spans="1:18">
      <c r="A11" s="6" t="s">
        <v>39</v>
      </c>
      <c r="B11" s="37">
        <f t="shared" si="0"/>
        <v>8.1013886475685002</v>
      </c>
      <c r="C11" s="33"/>
      <c r="D11" s="37">
        <f>IF( ISERROR(IND_textiel_gas_kWh/1000),0,IND_textiel_gas_kWh/1000)*0.903</f>
        <v>0</v>
      </c>
      <c r="E11" s="33">
        <f>C33*'E Balans VL '!I21/100/3.6*1000000</f>
        <v>1.1753634571865918E-2</v>
      </c>
      <c r="F11" s="33">
        <f>C33*'E Balans VL '!L21/100/3.6*1000000+C33*'E Balans VL '!N21/100/3.6*1000000</f>
        <v>0.15854938111415509</v>
      </c>
      <c r="G11" s="34"/>
      <c r="H11" s="33"/>
      <c r="I11" s="33"/>
      <c r="J11" s="40">
        <f>C33*'E Balans VL '!D21/100/3.6*1000000+C33*'E Balans VL '!E21/100/3.6*1000000</f>
        <v>0</v>
      </c>
      <c r="K11" s="33"/>
      <c r="L11" s="33"/>
      <c r="M11" s="33"/>
      <c r="N11" s="33">
        <f>C33*'E Balans VL '!Y21/100/3.6*1000000</f>
        <v>0.39468126845922008</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20.333699854128401</v>
      </c>
      <c r="C13" s="33"/>
      <c r="D13" s="37">
        <f>IF( ISERROR(IND_papier_gas_kWh/1000),0,IND_papier_gas_kWh/1000)*0.903</f>
        <v>0</v>
      </c>
      <c r="E13" s="33">
        <f>C35*'E Balans VL '!I23/100/3.6*1000000</f>
        <v>0</v>
      </c>
      <c r="F13" s="33">
        <f>C35*'E Balans VL '!L23/100/3.6*1000000+C35*'E Balans VL '!N23/100/3.6*1000000</f>
        <v>8.8095042694227908E-4</v>
      </c>
      <c r="G13" s="34"/>
      <c r="H13" s="33"/>
      <c r="I13" s="33"/>
      <c r="J13" s="40">
        <f>C35*'E Balans VL '!D23/100/3.6*1000000+C35*'E Balans VL '!E23/100/3.6*1000000</f>
        <v>5.6029040772420733E-4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23.768999999999998</v>
      </c>
      <c r="C15" s="33"/>
      <c r="D15" s="37">
        <f>IF( ISERROR(IND_rest_gas_kWh/1000),0,IND_rest_gas_kWh/1000)*0.903</f>
        <v>102.27778343929558</v>
      </c>
      <c r="E15" s="33">
        <f>C37*'E Balans VL '!I15/100/3.6*1000000</f>
        <v>0.5991163258972948</v>
      </c>
      <c r="F15" s="33">
        <f>C37*'E Balans VL '!L15/100/3.6*1000000+C37*'E Balans VL '!N15/100/3.6*1000000</f>
        <v>1.9295987801240426</v>
      </c>
      <c r="G15" s="34"/>
      <c r="H15" s="33"/>
      <c r="I15" s="33"/>
      <c r="J15" s="40">
        <f>C37*'E Balans VL '!D15/100/3.6*1000000+C37*'E Balans VL '!E15/100/3.6*1000000</f>
        <v>4.8525825305833978E-2</v>
      </c>
      <c r="K15" s="33"/>
      <c r="L15" s="33"/>
      <c r="M15" s="33"/>
      <c r="N15" s="33">
        <f>C37*'E Balans VL '!Y15/100/3.6*1000000</f>
        <v>0.40163093588342325</v>
      </c>
      <c r="O15" s="33"/>
      <c r="P15" s="33"/>
      <c r="R15" s="32"/>
    </row>
    <row r="16" spans="1:18">
      <c r="A16" s="16" t="s">
        <v>479</v>
      </c>
      <c r="B16" s="247">
        <f>'lokale energieproductie'!N41+'lokale energieproductie'!N34</f>
        <v>0</v>
      </c>
      <c r="C16" s="247">
        <f>'lokale energieproductie'!O41+'lokale energieproductie'!O34</f>
        <v>0</v>
      </c>
      <c r="D16" s="310">
        <f>('lokale energieproductie'!P34+'lokale energieproductie'!P41)*(-1)</f>
        <v>0</v>
      </c>
      <c r="E16" s="248"/>
      <c r="F16" s="310">
        <f>('lokale energieproductie'!S34+'lokale energieproductie'!S41)*(-1)</f>
        <v>0</v>
      </c>
      <c r="G16" s="249"/>
      <c r="H16" s="248"/>
      <c r="I16" s="248"/>
      <c r="J16" s="248"/>
      <c r="K16" s="248"/>
      <c r="L16" s="310">
        <f>('lokale energieproductie'!T34+'lokale energieproductie'!U34+'lokale energieproductie'!T41+'lokale energieproductie'!U41)*(-1)</f>
        <v>0</v>
      </c>
      <c r="M16" s="248"/>
      <c r="N16" s="310">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4459.4000146254721</v>
      </c>
      <c r="C18" s="21">
        <f>C5+C16</f>
        <v>0</v>
      </c>
      <c r="D18" s="21">
        <f>MAX((D5+D16),0)</f>
        <v>5626.5094356321142</v>
      </c>
      <c r="E18" s="21">
        <f>MAX((E5+E16),0)</f>
        <v>9.9937463324314475</v>
      </c>
      <c r="F18" s="21">
        <f>MAX((F5+F16),0)</f>
        <v>700.10055435842935</v>
      </c>
      <c r="G18" s="21"/>
      <c r="H18" s="21"/>
      <c r="I18" s="21"/>
      <c r="J18" s="21">
        <f>MAX((J5+J16),0)</f>
        <v>0.24201331886460631</v>
      </c>
      <c r="K18" s="21"/>
      <c r="L18" s="21">
        <f>MAX((L5+L16),0)</f>
        <v>0</v>
      </c>
      <c r="M18" s="21"/>
      <c r="N18" s="21">
        <f>MAX((N5+N16),0)</f>
        <v>146.69553198553425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0.10077397217385363</v>
      </c>
      <c r="C20" s="25">
        <f ca="1">'EF ele_warmte'!B22</f>
        <v>7.2796891716875978E-2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449.3914529859498</v>
      </c>
      <c r="C22" s="23">
        <f ca="1">C18*C20</f>
        <v>0</v>
      </c>
      <c r="D22" s="23">
        <f>D18*D20</f>
        <v>1136.5549059976872</v>
      </c>
      <c r="E22" s="23">
        <f>E18*E20</f>
        <v>2.2685804174619388</v>
      </c>
      <c r="F22" s="23">
        <f>F18*F20</f>
        <v>186.92684801370063</v>
      </c>
      <c r="G22" s="23"/>
      <c r="H22" s="23"/>
      <c r="I22" s="23"/>
      <c r="J22" s="23">
        <f>J18*J20</f>
        <v>8.5672714878070627E-2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217.607040080545</v>
      </c>
      <c r="C30" s="39">
        <f>IF(ISERROR(B30*3.6/1000000/'E Balans VL '!Z18*100),0,B30*3.6/1000000/'E Balans VL '!Z18*100)</f>
        <v>1.0801523038005773E-2</v>
      </c>
      <c r="D30" s="237" t="s">
        <v>702</v>
      </c>
    </row>
    <row r="31" spans="1:18">
      <c r="A31" s="6" t="s">
        <v>32</v>
      </c>
      <c r="B31" s="37">
        <f>IF( ISERROR(IND_ander_ele_kWh/1000),0,IND_ander_ele_kWh/1000)</f>
        <v>1032.1577811842999</v>
      </c>
      <c r="C31" s="39">
        <f>IF(ISERROR(B31*3.6/1000000/'E Balans VL '!Z19*100),0,B31*3.6/1000000/'E Balans VL '!Z19*100)</f>
        <v>3.4830036011235931E-2</v>
      </c>
      <c r="D31" s="237" t="s">
        <v>702</v>
      </c>
    </row>
    <row r="32" spans="1:18">
      <c r="A32" s="171" t="s">
        <v>40</v>
      </c>
      <c r="B32" s="37">
        <f>IF( ISERROR(IND_voed_ele_kWh/1000),0,IND_voed_ele_kWh/1000)</f>
        <v>3157.4311048589302</v>
      </c>
      <c r="C32" s="39">
        <f>IF(ISERROR(B32*3.6/1000000/'E Balans VL '!Z20*100),0,B32*3.6/1000000/'E Balans VL '!Z20*100)</f>
        <v>7.4150100595941029E-2</v>
      </c>
      <c r="D32" s="237" t="s">
        <v>702</v>
      </c>
    </row>
    <row r="33" spans="1:5">
      <c r="A33" s="171" t="s">
        <v>39</v>
      </c>
      <c r="B33" s="37">
        <f>IF( ISERROR(IND_textiel_ele_kWh/1000),0,IND_textiel_ele_kWh/1000)</f>
        <v>8.1013886475685002</v>
      </c>
      <c r="C33" s="39">
        <f>IF(ISERROR(B33*3.6/1000000/'E Balans VL '!Z21*100),0,B33*3.6/1000000/'E Balans VL '!Z21*100)</f>
        <v>8.8911713508546542E-4</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20.333699854128401</v>
      </c>
      <c r="C35" s="39">
        <f>IF(ISERROR(B35*3.6/1000000/'E Balans VL '!Z22*100),0,B35*3.6/1000000/'E Balans VL '!Z22*100)</f>
        <v>2.8847574224122284E-3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23.768999999999998</v>
      </c>
      <c r="C37" s="39">
        <f>IF(ISERROR(B37*3.6/1000000/'E Balans VL '!Z15*100),0,B37*3.6/1000000/'E Balans VL '!Z15*100)</f>
        <v>8.9075021618721065E-5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1251.9577730114599</v>
      </c>
      <c r="C5" s="17">
        <f>'Eigen informatie GS &amp; warmtenet'!B62</f>
        <v>0</v>
      </c>
      <c r="D5" s="30">
        <f>IF(ISERROR(SUM(LB_lb_gas_kWh,LB_rest_gas_kWh)/1000),0,SUM(LB_lb_gas_kWh,LB_rest_gas_kWh)/1000)*0.903</f>
        <v>23514.330877250744</v>
      </c>
      <c r="E5" s="17">
        <f>B17*'E Balans VL '!I25/3.6*1000000/100</f>
        <v>46.689334821247073</v>
      </c>
      <c r="F5" s="17">
        <f>B17*('E Balans VL '!L25/3.6*1000000+'E Balans VL '!N25/3.6*1000000)/100</f>
        <v>4061.834791175555</v>
      </c>
      <c r="G5" s="18"/>
      <c r="H5" s="17"/>
      <c r="I5" s="17"/>
      <c r="J5" s="17">
        <f>('E Balans VL '!D25+'E Balans VL '!E25)/3.6*1000000*landbouw!B17/100</f>
        <v>328.64509621476878</v>
      </c>
      <c r="K5" s="17"/>
      <c r="L5" s="17">
        <f>L6*(-1)</f>
        <v>0</v>
      </c>
      <c r="M5" s="17"/>
      <c r="N5" s="17">
        <f>N6*(-1)</f>
        <v>47516.142857142862</v>
      </c>
      <c r="O5" s="17"/>
      <c r="P5" s="17"/>
      <c r="R5" s="32"/>
    </row>
    <row r="6" spans="1:18">
      <c r="A6" s="16" t="s">
        <v>479</v>
      </c>
      <c r="B6" s="17" t="s">
        <v>210</v>
      </c>
      <c r="C6" s="17">
        <f>'lokale energieproductie'!O43+'lokale energieproductie'!O36</f>
        <v>33799.5</v>
      </c>
      <c r="D6" s="310">
        <f>('lokale energieproductie'!P36+'lokale energieproductie'!P43)*(-1)</f>
        <v>-20082.857142857145</v>
      </c>
      <c r="E6" s="248"/>
      <c r="F6" s="310">
        <f>('lokale energieproductie'!S36+'lokale energieproductie'!S43)*(-1)</f>
        <v>0</v>
      </c>
      <c r="G6" s="249"/>
      <c r="H6" s="248"/>
      <c r="I6" s="248"/>
      <c r="J6" s="248"/>
      <c r="K6" s="248"/>
      <c r="L6" s="310">
        <f>('lokale energieproductie'!T36+'lokale energieproductie'!U36+'lokale energieproductie'!T43+'lokale energieproductie'!U43)*(-1)</f>
        <v>0</v>
      </c>
      <c r="M6" s="248"/>
      <c r="N6" s="310">
        <f>('lokale energieproductie'!V36+'lokale energieproductie'!R36+'lokale energieproductie'!Q36+'lokale energieproductie'!Q43+'lokale energieproductie'!R43+'lokale energieproductie'!V43)*(-1)</f>
        <v>-47516.142857142862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1251.9577730114599</v>
      </c>
      <c r="C8" s="21">
        <f>C5+C6</f>
        <v>33799.5</v>
      </c>
      <c r="D8" s="21">
        <f>MAX((D5+D6),0)</f>
        <v>3431.4737343935994</v>
      </c>
      <c r="E8" s="21">
        <f>MAX((E5+E6),0)</f>
        <v>46.689334821247073</v>
      </c>
      <c r="F8" s="21">
        <f>MAX((F5+F6),0)</f>
        <v>4061.834791175555</v>
      </c>
      <c r="G8" s="21"/>
      <c r="H8" s="21"/>
      <c r="I8" s="21"/>
      <c r="J8" s="21">
        <f>MAX((J5+J6),0)</f>
        <v>328.64509621476878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0.10077397217385363</v>
      </c>
      <c r="C10" s="31">
        <f ca="1">'EF ele_warmte'!B22</f>
        <v>7.2796891716875978E-2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126.16475778029663</v>
      </c>
      <c r="C12" s="23">
        <f ca="1">C8*C10</f>
        <v>2460.4985415845495</v>
      </c>
      <c r="D12" s="23">
        <f>D8*D10</f>
        <v>693.15769434750712</v>
      </c>
      <c r="E12" s="23">
        <f>E8*E10</f>
        <v>10.598479004423085</v>
      </c>
      <c r="F12" s="23">
        <f>F8*F10</f>
        <v>1084.5098892438732</v>
      </c>
      <c r="G12" s="23"/>
      <c r="H12" s="23"/>
      <c r="I12" s="23"/>
      <c r="J12" s="23">
        <f>J8*J10</f>
        <v>116.34036406002815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0.17195313311633684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241.56640209875738</v>
      </c>
      <c r="C26" s="247">
        <f>B26*'GWP N2O_CH4'!B5</f>
        <v>5072.8944440739051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71.994121542644976</v>
      </c>
      <c r="C27" s="247">
        <f>B27*'GWP N2O_CH4'!B5</f>
        <v>1511.8765523955444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5.2336732301047046</v>
      </c>
      <c r="C28" s="247">
        <f>B28*'GWP N2O_CH4'!B4</f>
        <v>1622.4387013324585</v>
      </c>
      <c r="D28" s="50"/>
    </row>
    <row r="29" spans="1:4">
      <c r="A29" s="41" t="s">
        <v>276</v>
      </c>
      <c r="B29" s="247">
        <f>B34*'ha_N2O bodem landbouw'!B4</f>
        <v>11.308264054494124</v>
      </c>
      <c r="C29" s="247">
        <f>B29*'GWP N2O_CH4'!B4</f>
        <v>3505.5618568931786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2.5771856722939966E-3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2.6940929180392024E-4</v>
      </c>
      <c r="C5" s="440" t="s">
        <v>210</v>
      </c>
      <c r="D5" s="425">
        <f>SUM(D6:D11)</f>
        <v>1.0194826073689778E-3</v>
      </c>
      <c r="E5" s="425">
        <f>SUM(E6:E11)</f>
        <v>5.510003286035342E-4</v>
      </c>
      <c r="F5" s="438" t="s">
        <v>210</v>
      </c>
      <c r="G5" s="425">
        <f>SUM(G6:G11)</f>
        <v>0.22052448982051082</v>
      </c>
      <c r="H5" s="425">
        <f>SUM(H6:H11)</f>
        <v>6.514450208181756E-2</v>
      </c>
      <c r="I5" s="440" t="s">
        <v>210</v>
      </c>
      <c r="J5" s="440" t="s">
        <v>210</v>
      </c>
      <c r="K5" s="440" t="s">
        <v>210</v>
      </c>
      <c r="L5" s="440" t="s">
        <v>210</v>
      </c>
      <c r="M5" s="425">
        <f>SUM(M6:M11)</f>
        <v>1.6944474976465673E-2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2.5090262386479408E-4</v>
      </c>
      <c r="C6" s="426"/>
      <c r="D6" s="893">
        <f>vkm_GW_PW*SUMIFS(TableVerdeelsleutelVkm[CNG],TableVerdeelsleutelVkm[Voertuigtype],"Lichte voertuigen")*SUMIFS(TableECFTransport[EnergieConsumptieFactor (PJ per km)],TableECFTransport[Index],CONCATENATE($A6,"_CNG_CNG"))</f>
        <v>9.0618370947751522E-4</v>
      </c>
      <c r="E6" s="893">
        <f>vkm_GW_PW*SUMIFS(TableVerdeelsleutelVkm[LPG],TableVerdeelsleutelVkm[Voertuigtype],"Lichte voertuigen")*SUMIFS(TableECFTransport[EnergieConsumptieFactor (PJ per km)],TableECFTransport[Index],CONCATENATE($A6,"_LPG_LPG"))</f>
        <v>4.9248758556303058E-4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0.15325910224261702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5.8002416543934253E-2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1.2660868904086423E-2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5.0238452454674051E-2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5.288874710835778E-7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2.828503563642561E-3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1.850666793912615E-5</v>
      </c>
      <c r="C8" s="426"/>
      <c r="D8" s="428">
        <f>vkm_NGW_PW*SUMIFS(TableVerdeelsleutelVkm[CNG],TableVerdeelsleutelVkm[Voertuigtype],"Lichte voertuigen")*SUMIFS(TableECFTransport[EnergieConsumptieFactor (PJ per km)],TableECFTransport[Index],CONCATENATE($A8,"_CNG_CNG"))</f>
        <v>1.1329889789146251E-4</v>
      </c>
      <c r="E8" s="428">
        <f>vkm_NGW_PW*SUMIFS(TableVerdeelsleutelVkm[LPG],TableVerdeelsleutelVkm[Voertuigtype],"Lichte voertuigen")*SUMIFS(TableECFTransport[EnergieConsumptieFactor (PJ per km)],TableECFTransport[Index],CONCATENATE($A8,"_LPG_LPG"))</f>
        <v>5.8512743040503622E-5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1.6945304826052495E-2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7.1415554022204531E-3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1.4505065681148259E-3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8.1630297167242571E-5</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1.2481917695864335E-9</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4.5959406218649242E-6</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74.835914389977845</v>
      </c>
      <c r="C14" s="21"/>
      <c r="D14" s="21">
        <f t="shared" ref="D14:M14" si="0">((D5)*10^9/3600)+D12</f>
        <v>283.18961315804938</v>
      </c>
      <c r="E14" s="21">
        <f t="shared" si="0"/>
        <v>153.05564683431504</v>
      </c>
      <c r="F14" s="21"/>
      <c r="G14" s="21">
        <f t="shared" si="0"/>
        <v>61256.802727919669</v>
      </c>
      <c r="H14" s="21">
        <f t="shared" si="0"/>
        <v>18095.695022727101</v>
      </c>
      <c r="I14" s="21"/>
      <c r="J14" s="21"/>
      <c r="K14" s="21"/>
      <c r="L14" s="21"/>
      <c r="M14" s="21">
        <f t="shared" si="0"/>
        <v>4706.798604573798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0.10077397217385363</v>
      </c>
      <c r="C16" s="56">
        <f ca="1">'EF ele_warmte'!B22</f>
        <v>7.2796891716875978E-2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7.5415123543405196</v>
      </c>
      <c r="C18" s="23"/>
      <c r="D18" s="23">
        <f t="shared" ref="D18:M18" si="1">D14*D16</f>
        <v>57.204301857925977</v>
      </c>
      <c r="E18" s="23">
        <f t="shared" si="1"/>
        <v>34.743631831389514</v>
      </c>
      <c r="F18" s="23"/>
      <c r="G18" s="23">
        <f t="shared" si="1"/>
        <v>16355.566328354553</v>
      </c>
      <c r="H18" s="23">
        <f t="shared" si="1"/>
        <v>4505.8280606590479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3.8937473959275949E-3</v>
      </c>
      <c r="H50" s="321">
        <f t="shared" si="2"/>
        <v>0</v>
      </c>
      <c r="I50" s="321">
        <f t="shared" si="2"/>
        <v>0</v>
      </c>
      <c r="J50" s="321">
        <f t="shared" si="2"/>
        <v>0</v>
      </c>
      <c r="K50" s="321">
        <f t="shared" si="2"/>
        <v>0</v>
      </c>
      <c r="L50" s="321">
        <f t="shared" si="2"/>
        <v>0</v>
      </c>
      <c r="M50" s="321">
        <f t="shared" si="2"/>
        <v>2.1129691088533922E-4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3.8937473959275949E-3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2.1129691088533922E-4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1081.5964988687763</v>
      </c>
      <c r="H54" s="21">
        <f t="shared" si="3"/>
        <v>0</v>
      </c>
      <c r="I54" s="21">
        <f t="shared" si="3"/>
        <v>0</v>
      </c>
      <c r="J54" s="21">
        <f t="shared" si="3"/>
        <v>0</v>
      </c>
      <c r="K54" s="21">
        <f t="shared" si="3"/>
        <v>0</v>
      </c>
      <c r="L54" s="21">
        <f t="shared" si="3"/>
        <v>0</v>
      </c>
      <c r="M54" s="21">
        <f t="shared" si="3"/>
        <v>58.693586357038676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0.10077397217385363</v>
      </c>
      <c r="C56" s="56">
        <f ca="1">'EF ele_warmte'!B22</f>
        <v>7.2796891716875978E-2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288.7862651979633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12027.514166454795</v>
      </c>
      <c r="D10" s="689">
        <f ca="1">tertiair!C16</f>
        <v>450.00000000000011</v>
      </c>
      <c r="E10" s="689">
        <f ca="1">tertiair!D16</f>
        <v>8948.7908996412152</v>
      </c>
      <c r="F10" s="689">
        <f>tertiair!E16</f>
        <v>30.40842727696889</v>
      </c>
      <c r="G10" s="689">
        <f ca="1">tertiair!F16</f>
        <v>1470.2231136280679</v>
      </c>
      <c r="H10" s="689">
        <f>tertiair!G16</f>
        <v>0</v>
      </c>
      <c r="I10" s="689">
        <f>tertiair!H16</f>
        <v>0</v>
      </c>
      <c r="J10" s="689">
        <f>tertiair!I16</f>
        <v>0</v>
      </c>
      <c r="K10" s="689">
        <f>tertiair!J16</f>
        <v>1.1060688322208693E-2</v>
      </c>
      <c r="L10" s="689">
        <f>tertiair!K16</f>
        <v>0</v>
      </c>
      <c r="M10" s="689">
        <f ca="1">tertiair!L16</f>
        <v>0</v>
      </c>
      <c r="N10" s="689">
        <f>tertiair!M16</f>
        <v>0</v>
      </c>
      <c r="O10" s="689">
        <f ca="1">tertiair!N16</f>
        <v>0</v>
      </c>
      <c r="P10" s="689">
        <f>tertiair!O16</f>
        <v>4.8972607658411542</v>
      </c>
      <c r="Q10" s="690">
        <f>tertiair!P16</f>
        <v>52.539138306495019</v>
      </c>
      <c r="R10" s="692">
        <f ca="1">SUM(C10:Q10)</f>
        <v>22984.384066761704</v>
      </c>
      <c r="S10" s="67"/>
    </row>
    <row r="11" spans="1:19" s="451" customFormat="1">
      <c r="A11" s="811" t="s">
        <v>224</v>
      </c>
      <c r="B11" s="816"/>
      <c r="C11" s="689">
        <f>huishoudens!B8</f>
        <v>25919.983631353141</v>
      </c>
      <c r="D11" s="689">
        <f>huishoudens!C8</f>
        <v>0</v>
      </c>
      <c r="E11" s="689">
        <f>huishoudens!D8</f>
        <v>32769.33570787809</v>
      </c>
      <c r="F11" s="689">
        <f>huishoudens!E8</f>
        <v>15197.755132190039</v>
      </c>
      <c r="G11" s="689">
        <f>huishoudens!F8</f>
        <v>46443.337129506312</v>
      </c>
      <c r="H11" s="689">
        <f>huishoudens!G8</f>
        <v>0</v>
      </c>
      <c r="I11" s="689">
        <f>huishoudens!H8</f>
        <v>0</v>
      </c>
      <c r="J11" s="689">
        <f>huishoudens!I8</f>
        <v>0</v>
      </c>
      <c r="K11" s="689">
        <f>huishoudens!J8</f>
        <v>346.87650121048716</v>
      </c>
      <c r="L11" s="689">
        <f>huishoudens!K8</f>
        <v>0</v>
      </c>
      <c r="M11" s="689">
        <f>huishoudens!L8</f>
        <v>0</v>
      </c>
      <c r="N11" s="689">
        <f>huishoudens!M8</f>
        <v>0</v>
      </c>
      <c r="O11" s="689">
        <f>huishoudens!N8</f>
        <v>24487.898084013766</v>
      </c>
      <c r="P11" s="689">
        <f>huishoudens!O8</f>
        <v>365.04831236721384</v>
      </c>
      <c r="Q11" s="690">
        <f>huishoudens!P8</f>
        <v>979.65821561470705</v>
      </c>
      <c r="R11" s="692">
        <f>SUM(C11:Q11)</f>
        <v>146509.89271413375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4459.4000146254721</v>
      </c>
      <c r="D13" s="689">
        <f>industrie!C18</f>
        <v>0</v>
      </c>
      <c r="E13" s="689">
        <f>industrie!D18</f>
        <v>5626.5094356321142</v>
      </c>
      <c r="F13" s="689">
        <f>industrie!E18</f>
        <v>9.9937463324314475</v>
      </c>
      <c r="G13" s="689">
        <f>industrie!F18</f>
        <v>700.10055435842935</v>
      </c>
      <c r="H13" s="689">
        <f>industrie!G18</f>
        <v>0</v>
      </c>
      <c r="I13" s="689">
        <f>industrie!H18</f>
        <v>0</v>
      </c>
      <c r="J13" s="689">
        <f>industrie!I18</f>
        <v>0</v>
      </c>
      <c r="K13" s="689">
        <f>industrie!J18</f>
        <v>0.24201331886460631</v>
      </c>
      <c r="L13" s="689">
        <f>industrie!K18</f>
        <v>0</v>
      </c>
      <c r="M13" s="689">
        <f>industrie!L18</f>
        <v>0</v>
      </c>
      <c r="N13" s="689">
        <f>industrie!M18</f>
        <v>0</v>
      </c>
      <c r="O13" s="689">
        <f>industrie!N18</f>
        <v>146.69553198553425</v>
      </c>
      <c r="P13" s="689">
        <f>industrie!O18</f>
        <v>0</v>
      </c>
      <c r="Q13" s="690">
        <f>industrie!P18</f>
        <v>0</v>
      </c>
      <c r="R13" s="692">
        <f>SUM(C13:Q13)</f>
        <v>10942.941296252846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42406.89781243341</v>
      </c>
      <c r="D16" s="725">
        <f t="shared" ref="D16:R16" ca="1" si="0">SUM(D9:D15)</f>
        <v>450.00000000000011</v>
      </c>
      <c r="E16" s="725">
        <f t="shared" ca="1" si="0"/>
        <v>47344.636043151419</v>
      </c>
      <c r="F16" s="725">
        <f t="shared" si="0"/>
        <v>15238.157305799439</v>
      </c>
      <c r="G16" s="725">
        <f t="shared" ca="1" si="0"/>
        <v>48613.660797492812</v>
      </c>
      <c r="H16" s="725">
        <f t="shared" si="0"/>
        <v>0</v>
      </c>
      <c r="I16" s="725">
        <f t="shared" si="0"/>
        <v>0</v>
      </c>
      <c r="J16" s="725">
        <f t="shared" si="0"/>
        <v>0</v>
      </c>
      <c r="K16" s="725">
        <f t="shared" si="0"/>
        <v>347.12957521767402</v>
      </c>
      <c r="L16" s="725">
        <f t="shared" si="0"/>
        <v>0</v>
      </c>
      <c r="M16" s="725">
        <f t="shared" ca="1" si="0"/>
        <v>0</v>
      </c>
      <c r="N16" s="725">
        <f t="shared" si="0"/>
        <v>0</v>
      </c>
      <c r="O16" s="725">
        <f t="shared" ca="1" si="0"/>
        <v>24634.5936159993</v>
      </c>
      <c r="P16" s="725">
        <f t="shared" si="0"/>
        <v>369.94557313305501</v>
      </c>
      <c r="Q16" s="725">
        <f t="shared" si="0"/>
        <v>1032.197353921202</v>
      </c>
      <c r="R16" s="725">
        <f t="shared" ca="1" si="0"/>
        <v>180437.21807714831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1081.5964988687763</v>
      </c>
      <c r="I19" s="689">
        <f>transport!H54</f>
        <v>0</v>
      </c>
      <c r="J19" s="689">
        <f>transport!I54</f>
        <v>0</v>
      </c>
      <c r="K19" s="689">
        <f>transport!J54</f>
        <v>0</v>
      </c>
      <c r="L19" s="689">
        <f>transport!K54</f>
        <v>0</v>
      </c>
      <c r="M19" s="689">
        <f>transport!L54</f>
        <v>0</v>
      </c>
      <c r="N19" s="689">
        <f>transport!M54</f>
        <v>58.693586357038676</v>
      </c>
      <c r="O19" s="689">
        <f>transport!N54</f>
        <v>0</v>
      </c>
      <c r="P19" s="689">
        <f>transport!O54</f>
        <v>0</v>
      </c>
      <c r="Q19" s="690">
        <f>transport!P54</f>
        <v>0</v>
      </c>
      <c r="R19" s="692">
        <f>SUM(C19:Q19)</f>
        <v>1140.2900852258149</v>
      </c>
      <c r="S19" s="67"/>
    </row>
    <row r="20" spans="1:19" s="451" customFormat="1">
      <c r="A20" s="811" t="s">
        <v>306</v>
      </c>
      <c r="B20" s="816"/>
      <c r="C20" s="689">
        <f>transport!B14</f>
        <v>74.835914389977845</v>
      </c>
      <c r="D20" s="689">
        <f>transport!C14</f>
        <v>0</v>
      </c>
      <c r="E20" s="689">
        <f>transport!D14</f>
        <v>283.18961315804938</v>
      </c>
      <c r="F20" s="689">
        <f>transport!E14</f>
        <v>153.05564683431504</v>
      </c>
      <c r="G20" s="689">
        <f>transport!F14</f>
        <v>0</v>
      </c>
      <c r="H20" s="689">
        <f>transport!G14</f>
        <v>61256.802727919669</v>
      </c>
      <c r="I20" s="689">
        <f>transport!H14</f>
        <v>18095.695022727101</v>
      </c>
      <c r="J20" s="689">
        <f>transport!I14</f>
        <v>0</v>
      </c>
      <c r="K20" s="689">
        <f>transport!J14</f>
        <v>0</v>
      </c>
      <c r="L20" s="689">
        <f>transport!K14</f>
        <v>0</v>
      </c>
      <c r="M20" s="689">
        <f>transport!L14</f>
        <v>0</v>
      </c>
      <c r="N20" s="689">
        <f>transport!M14</f>
        <v>4706.798604573798</v>
      </c>
      <c r="O20" s="689">
        <f>transport!N14</f>
        <v>0</v>
      </c>
      <c r="P20" s="689">
        <f>transport!O14</f>
        <v>0</v>
      </c>
      <c r="Q20" s="690">
        <f>transport!P14</f>
        <v>0</v>
      </c>
      <c r="R20" s="692">
        <f>SUM(C20:Q20)</f>
        <v>84570.377529602905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74.835914389977845</v>
      </c>
      <c r="D22" s="814">
        <f t="shared" ref="D22:R22" si="1">SUM(D18:D21)</f>
        <v>0</v>
      </c>
      <c r="E22" s="814">
        <f t="shared" si="1"/>
        <v>283.18961315804938</v>
      </c>
      <c r="F22" s="814">
        <f t="shared" si="1"/>
        <v>153.05564683431504</v>
      </c>
      <c r="G22" s="814">
        <f t="shared" si="1"/>
        <v>0</v>
      </c>
      <c r="H22" s="814">
        <f t="shared" si="1"/>
        <v>62338.399226788446</v>
      </c>
      <c r="I22" s="814">
        <f t="shared" si="1"/>
        <v>18095.695022727101</v>
      </c>
      <c r="J22" s="814">
        <f t="shared" si="1"/>
        <v>0</v>
      </c>
      <c r="K22" s="814">
        <f t="shared" si="1"/>
        <v>0</v>
      </c>
      <c r="L22" s="814">
        <f t="shared" si="1"/>
        <v>0</v>
      </c>
      <c r="M22" s="814">
        <f t="shared" si="1"/>
        <v>0</v>
      </c>
      <c r="N22" s="814">
        <f t="shared" si="1"/>
        <v>4765.4921909308368</v>
      </c>
      <c r="O22" s="814">
        <f t="shared" si="1"/>
        <v>0</v>
      </c>
      <c r="P22" s="814">
        <f t="shared" si="1"/>
        <v>0</v>
      </c>
      <c r="Q22" s="814">
        <f t="shared" si="1"/>
        <v>0</v>
      </c>
      <c r="R22" s="814">
        <f t="shared" si="1"/>
        <v>85710.667614828722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1251.9577730114599</v>
      </c>
      <c r="D24" s="689">
        <f>+landbouw!C8</f>
        <v>33799.5</v>
      </c>
      <c r="E24" s="689">
        <f>+landbouw!D8</f>
        <v>3431.4737343935994</v>
      </c>
      <c r="F24" s="689">
        <f>+landbouw!E8</f>
        <v>46.689334821247073</v>
      </c>
      <c r="G24" s="689">
        <f>+landbouw!F8</f>
        <v>4061.834791175555</v>
      </c>
      <c r="H24" s="689">
        <f>+landbouw!G8</f>
        <v>0</v>
      </c>
      <c r="I24" s="689">
        <f>+landbouw!H8</f>
        <v>0</v>
      </c>
      <c r="J24" s="689">
        <f>+landbouw!I8</f>
        <v>0</v>
      </c>
      <c r="K24" s="689">
        <f>+landbouw!J8</f>
        <v>328.64509621476878</v>
      </c>
      <c r="L24" s="689">
        <f>+landbouw!K8</f>
        <v>0</v>
      </c>
      <c r="M24" s="689">
        <f>+landbouw!L8</f>
        <v>0</v>
      </c>
      <c r="N24" s="689">
        <f>+landbouw!M8</f>
        <v>0</v>
      </c>
      <c r="O24" s="689">
        <f>+landbouw!N8</f>
        <v>0</v>
      </c>
      <c r="P24" s="689">
        <f>+landbouw!O8</f>
        <v>0</v>
      </c>
      <c r="Q24" s="690">
        <f>+landbouw!P8</f>
        <v>0</v>
      </c>
      <c r="R24" s="692">
        <f>SUM(C24:Q24)</f>
        <v>42920.100729616635</v>
      </c>
      <c r="S24" s="67"/>
    </row>
    <row r="25" spans="1:19" s="451" customFormat="1" ht="15" thickBot="1">
      <c r="A25" s="833" t="s">
        <v>714</v>
      </c>
      <c r="B25" s="947"/>
      <c r="C25" s="948">
        <f>IF(Onbekend_ele_kWh="---",0,Onbekend_ele_kWh)/1000+IF(REST_rest_ele_kWh="---",0,REST_rest_ele_kWh)/1000</f>
        <v>768.78529346785001</v>
      </c>
      <c r="D25" s="948"/>
      <c r="E25" s="948">
        <f>IF(onbekend_gas_kWh="---",0,onbekend_gas_kWh)/1000+IF(REST_rest_gas_kWh="---",0,REST_rest_gas_kWh)/1000</f>
        <v>1139.3417854323</v>
      </c>
      <c r="F25" s="948"/>
      <c r="G25" s="948"/>
      <c r="H25" s="948"/>
      <c r="I25" s="948"/>
      <c r="J25" s="948"/>
      <c r="K25" s="948"/>
      <c r="L25" s="948"/>
      <c r="M25" s="948"/>
      <c r="N25" s="948"/>
      <c r="O25" s="948"/>
      <c r="P25" s="948"/>
      <c r="Q25" s="949"/>
      <c r="R25" s="692">
        <f>SUM(C25:Q25)</f>
        <v>1908.1270789001501</v>
      </c>
      <c r="S25" s="67"/>
    </row>
    <row r="26" spans="1:19" s="451" customFormat="1" ht="15.75" thickBot="1">
      <c r="A26" s="697" t="s">
        <v>715</v>
      </c>
      <c r="B26" s="819"/>
      <c r="C26" s="814">
        <f>SUM(C24:C25)</f>
        <v>2020.7430664793101</v>
      </c>
      <c r="D26" s="814">
        <f t="shared" ref="D26:R26" si="2">SUM(D24:D25)</f>
        <v>33799.5</v>
      </c>
      <c r="E26" s="814">
        <f t="shared" si="2"/>
        <v>4570.8155198258992</v>
      </c>
      <c r="F26" s="814">
        <f t="shared" si="2"/>
        <v>46.689334821247073</v>
      </c>
      <c r="G26" s="814">
        <f t="shared" si="2"/>
        <v>4061.834791175555</v>
      </c>
      <c r="H26" s="814">
        <f t="shared" si="2"/>
        <v>0</v>
      </c>
      <c r="I26" s="814">
        <f t="shared" si="2"/>
        <v>0</v>
      </c>
      <c r="J26" s="814">
        <f t="shared" si="2"/>
        <v>0</v>
      </c>
      <c r="K26" s="814">
        <f t="shared" si="2"/>
        <v>328.64509621476878</v>
      </c>
      <c r="L26" s="814">
        <f t="shared" si="2"/>
        <v>0</v>
      </c>
      <c r="M26" s="814">
        <f t="shared" si="2"/>
        <v>0</v>
      </c>
      <c r="N26" s="814">
        <f t="shared" si="2"/>
        <v>0</v>
      </c>
      <c r="O26" s="814">
        <f t="shared" si="2"/>
        <v>0</v>
      </c>
      <c r="P26" s="814">
        <f t="shared" si="2"/>
        <v>0</v>
      </c>
      <c r="Q26" s="814">
        <f t="shared" si="2"/>
        <v>0</v>
      </c>
      <c r="R26" s="814">
        <f t="shared" si="2"/>
        <v>44828.227808516785</v>
      </c>
      <c r="S26" s="67"/>
    </row>
    <row r="27" spans="1:19" s="451" customFormat="1" ht="17.25" thickTop="1" thickBot="1">
      <c r="A27" s="698" t="s">
        <v>115</v>
      </c>
      <c r="B27" s="806"/>
      <c r="C27" s="699">
        <f ca="1">C22+C16+C26</f>
        <v>44502.476793302703</v>
      </c>
      <c r="D27" s="699">
        <f t="shared" ref="D27:R27" ca="1" si="3">D22+D16+D26</f>
        <v>34249.5</v>
      </c>
      <c r="E27" s="699">
        <f t="shared" ca="1" si="3"/>
        <v>52198.641176135367</v>
      </c>
      <c r="F27" s="699">
        <f t="shared" si="3"/>
        <v>15437.902287455001</v>
      </c>
      <c r="G27" s="699">
        <f t="shared" ca="1" si="3"/>
        <v>52675.495588668367</v>
      </c>
      <c r="H27" s="699">
        <f t="shared" si="3"/>
        <v>62338.399226788446</v>
      </c>
      <c r="I27" s="699">
        <f t="shared" si="3"/>
        <v>18095.695022727101</v>
      </c>
      <c r="J27" s="699">
        <f t="shared" si="3"/>
        <v>0</v>
      </c>
      <c r="K27" s="699">
        <f t="shared" si="3"/>
        <v>675.7746714324428</v>
      </c>
      <c r="L27" s="699">
        <f t="shared" si="3"/>
        <v>0</v>
      </c>
      <c r="M27" s="699">
        <f t="shared" ca="1" si="3"/>
        <v>0</v>
      </c>
      <c r="N27" s="699">
        <f t="shared" si="3"/>
        <v>4765.4921909308368</v>
      </c>
      <c r="O27" s="699">
        <f t="shared" ca="1" si="3"/>
        <v>24634.5936159993</v>
      </c>
      <c r="P27" s="699">
        <f t="shared" si="3"/>
        <v>369.94557313305501</v>
      </c>
      <c r="Q27" s="699">
        <f t="shared" si="3"/>
        <v>1032.197353921202</v>
      </c>
      <c r="R27" s="699">
        <f t="shared" ca="1" si="3"/>
        <v>310976.11350049381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1212.0603779309458</v>
      </c>
      <c r="D40" s="689">
        <f ca="1">tertiair!C20</f>
        <v>32.758601272594198</v>
      </c>
      <c r="E40" s="689">
        <f ca="1">tertiair!D20</f>
        <v>1807.6557617275255</v>
      </c>
      <c r="F40" s="689">
        <f>tertiair!E20</f>
        <v>6.9027129918719385</v>
      </c>
      <c r="G40" s="689">
        <f ca="1">tertiair!F20</f>
        <v>392.54957133869419</v>
      </c>
      <c r="H40" s="689">
        <f>tertiair!G20</f>
        <v>0</v>
      </c>
      <c r="I40" s="689">
        <f>tertiair!H20</f>
        <v>0</v>
      </c>
      <c r="J40" s="689">
        <f>tertiair!I20</f>
        <v>0</v>
      </c>
      <c r="K40" s="689">
        <f>tertiair!J20</f>
        <v>3.9154836660618766E-3</v>
      </c>
      <c r="L40" s="689">
        <f>tertiair!K20</f>
        <v>0</v>
      </c>
      <c r="M40" s="689">
        <f ca="1">tertiair!L20</f>
        <v>0</v>
      </c>
      <c r="N40" s="689">
        <f>tertiair!M20</f>
        <v>0</v>
      </c>
      <c r="O40" s="689">
        <f ca="1">tertiair!N20</f>
        <v>0</v>
      </c>
      <c r="P40" s="689">
        <f>tertiair!O20</f>
        <v>0</v>
      </c>
      <c r="Q40" s="772">
        <f>tertiair!P20</f>
        <v>0</v>
      </c>
      <c r="R40" s="852">
        <f t="shared" ca="1" si="4"/>
        <v>3451.9309407452974</v>
      </c>
    </row>
    <row r="41" spans="1:18">
      <c r="A41" s="824" t="s">
        <v>224</v>
      </c>
      <c r="B41" s="831"/>
      <c r="C41" s="689">
        <f ca="1">huishoudens!B12</f>
        <v>2612.0597092127232</v>
      </c>
      <c r="D41" s="689">
        <f ca="1">huishoudens!C12</f>
        <v>0</v>
      </c>
      <c r="E41" s="689">
        <f>huishoudens!D12</f>
        <v>6619.4058129913747</v>
      </c>
      <c r="F41" s="689">
        <f>huishoudens!E12</f>
        <v>3449.8904150071389</v>
      </c>
      <c r="G41" s="689">
        <f>huishoudens!F12</f>
        <v>12400.371013578186</v>
      </c>
      <c r="H41" s="689">
        <f>huishoudens!G12</f>
        <v>0</v>
      </c>
      <c r="I41" s="689">
        <f>huishoudens!H12</f>
        <v>0</v>
      </c>
      <c r="J41" s="689">
        <f>huishoudens!I12</f>
        <v>0</v>
      </c>
      <c r="K41" s="689">
        <f>huishoudens!J12</f>
        <v>122.79428142851245</v>
      </c>
      <c r="L41" s="689">
        <f>huishoudens!K12</f>
        <v>0</v>
      </c>
      <c r="M41" s="689">
        <f>huishoudens!L12</f>
        <v>0</v>
      </c>
      <c r="N41" s="689">
        <f>huishoudens!M12</f>
        <v>0</v>
      </c>
      <c r="O41" s="689">
        <f>huishoudens!N12</f>
        <v>0</v>
      </c>
      <c r="P41" s="689">
        <f>huishoudens!O12</f>
        <v>0</v>
      </c>
      <c r="Q41" s="772">
        <f>huishoudens!P12</f>
        <v>0</v>
      </c>
      <c r="R41" s="852">
        <f t="shared" ca="1" si="4"/>
        <v>25204.521232217936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449.3914529859498</v>
      </c>
      <c r="D43" s="689">
        <f ca="1">industrie!C22</f>
        <v>0</v>
      </c>
      <c r="E43" s="689">
        <f>industrie!D22</f>
        <v>1136.5549059976872</v>
      </c>
      <c r="F43" s="689">
        <f>industrie!E22</f>
        <v>2.2685804174619388</v>
      </c>
      <c r="G43" s="689">
        <f>industrie!F22</f>
        <v>186.92684801370063</v>
      </c>
      <c r="H43" s="689">
        <f>industrie!G22</f>
        <v>0</v>
      </c>
      <c r="I43" s="689">
        <f>industrie!H22</f>
        <v>0</v>
      </c>
      <c r="J43" s="689">
        <f>industrie!I22</f>
        <v>0</v>
      </c>
      <c r="K43" s="689">
        <f>industrie!J22</f>
        <v>8.5672714878070627E-2</v>
      </c>
      <c r="L43" s="689">
        <f>industrie!K22</f>
        <v>0</v>
      </c>
      <c r="M43" s="689">
        <f>industrie!L22</f>
        <v>0</v>
      </c>
      <c r="N43" s="689">
        <f>industrie!M22</f>
        <v>0</v>
      </c>
      <c r="O43" s="689">
        <f>industrie!N22</f>
        <v>0</v>
      </c>
      <c r="P43" s="689">
        <f>industrie!O22</f>
        <v>0</v>
      </c>
      <c r="Q43" s="772">
        <f>industrie!P22</f>
        <v>0</v>
      </c>
      <c r="R43" s="851">
        <f t="shared" ca="1" si="4"/>
        <v>1775.2274601296776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4273.5115401296189</v>
      </c>
      <c r="D46" s="725">
        <f t="shared" ref="D46:Q46" ca="1" si="5">SUM(D39:D45)</f>
        <v>32.758601272594198</v>
      </c>
      <c r="E46" s="725">
        <f t="shared" ca="1" si="5"/>
        <v>9563.6164807165878</v>
      </c>
      <c r="F46" s="725">
        <f t="shared" si="5"/>
        <v>3459.0617084164728</v>
      </c>
      <c r="G46" s="725">
        <f t="shared" ca="1" si="5"/>
        <v>12979.847432930579</v>
      </c>
      <c r="H46" s="725">
        <f t="shared" si="5"/>
        <v>0</v>
      </c>
      <c r="I46" s="725">
        <f t="shared" si="5"/>
        <v>0</v>
      </c>
      <c r="J46" s="725">
        <f t="shared" si="5"/>
        <v>0</v>
      </c>
      <c r="K46" s="725">
        <f t="shared" si="5"/>
        <v>122.88386962705658</v>
      </c>
      <c r="L46" s="725">
        <f t="shared" si="5"/>
        <v>0</v>
      </c>
      <c r="M46" s="725">
        <f t="shared" ca="1" si="5"/>
        <v>0</v>
      </c>
      <c r="N46" s="725">
        <f t="shared" si="5"/>
        <v>0</v>
      </c>
      <c r="O46" s="725">
        <f t="shared" ca="1" si="5"/>
        <v>0</v>
      </c>
      <c r="P46" s="725">
        <f t="shared" si="5"/>
        <v>0</v>
      </c>
      <c r="Q46" s="725">
        <f t="shared" si="5"/>
        <v>0</v>
      </c>
      <c r="R46" s="725">
        <f ca="1">SUM(R39:R45)</f>
        <v>30431.67963309291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288.7862651979633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288.7862651979633</v>
      </c>
    </row>
    <row r="50" spans="1:18">
      <c r="A50" s="827" t="s">
        <v>306</v>
      </c>
      <c r="B50" s="837"/>
      <c r="C50" s="695">
        <f ca="1">transport!B18</f>
        <v>7.5415123543405196</v>
      </c>
      <c r="D50" s="695">
        <f>transport!C18</f>
        <v>0</v>
      </c>
      <c r="E50" s="695">
        <f>transport!D18</f>
        <v>57.204301857925977</v>
      </c>
      <c r="F50" s="695">
        <f>transport!E18</f>
        <v>34.743631831389514</v>
      </c>
      <c r="G50" s="695">
        <f>transport!F18</f>
        <v>0</v>
      </c>
      <c r="H50" s="695">
        <f>transport!G18</f>
        <v>16355.566328354553</v>
      </c>
      <c r="I50" s="695">
        <f>transport!H18</f>
        <v>4505.8280606590479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20960.883835057259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7.5415123543405196</v>
      </c>
      <c r="D52" s="725">
        <f t="shared" ref="D52:Q52" ca="1" si="6">SUM(D48:D51)</f>
        <v>0</v>
      </c>
      <c r="E52" s="725">
        <f t="shared" si="6"/>
        <v>57.204301857925977</v>
      </c>
      <c r="F52" s="725">
        <f t="shared" si="6"/>
        <v>34.743631831389514</v>
      </c>
      <c r="G52" s="725">
        <f t="shared" si="6"/>
        <v>0</v>
      </c>
      <c r="H52" s="725">
        <f t="shared" si="6"/>
        <v>16644.352593552518</v>
      </c>
      <c r="I52" s="725">
        <f t="shared" si="6"/>
        <v>4505.8280606590479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21249.670100255222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126.16475778029663</v>
      </c>
      <c r="D54" s="695">
        <f ca="1">+landbouw!C12</f>
        <v>2460.4985415845495</v>
      </c>
      <c r="E54" s="695">
        <f>+landbouw!D12</f>
        <v>693.15769434750712</v>
      </c>
      <c r="F54" s="695">
        <f>+landbouw!E12</f>
        <v>10.598479004423085</v>
      </c>
      <c r="G54" s="695">
        <f>+landbouw!F12</f>
        <v>1084.5098892438732</v>
      </c>
      <c r="H54" s="695">
        <f>+landbouw!G12</f>
        <v>0</v>
      </c>
      <c r="I54" s="695">
        <f>+landbouw!H12</f>
        <v>0</v>
      </c>
      <c r="J54" s="695">
        <f>+landbouw!I12</f>
        <v>0</v>
      </c>
      <c r="K54" s="695">
        <f>+landbouw!J12</f>
        <v>116.34036406002815</v>
      </c>
      <c r="L54" s="695">
        <f>+landbouw!K12</f>
        <v>0</v>
      </c>
      <c r="M54" s="695">
        <f>+landbouw!L12</f>
        <v>0</v>
      </c>
      <c r="N54" s="695">
        <f>+landbouw!M12</f>
        <v>0</v>
      </c>
      <c r="O54" s="695">
        <f>+landbouw!N12</f>
        <v>0</v>
      </c>
      <c r="P54" s="695">
        <f>+landbouw!O12</f>
        <v>0</v>
      </c>
      <c r="Q54" s="696">
        <f>+landbouw!P12</f>
        <v>0</v>
      </c>
      <c r="R54" s="724">
        <f ca="1">SUM(C54:Q54)</f>
        <v>4491.2697260206769</v>
      </c>
    </row>
    <row r="55" spans="1:18" ht="15" thickBot="1">
      <c r="A55" s="827" t="s">
        <v>714</v>
      </c>
      <c r="B55" s="837"/>
      <c r="C55" s="695">
        <f ca="1">C25*'EF ele_warmte'!B12</f>
        <v>77.473547771597012</v>
      </c>
      <c r="D55" s="695"/>
      <c r="E55" s="695">
        <f>E25*EF_CO2_aardgas</f>
        <v>230.1470406573246</v>
      </c>
      <c r="F55" s="695"/>
      <c r="G55" s="695"/>
      <c r="H55" s="695"/>
      <c r="I55" s="695"/>
      <c r="J55" s="695"/>
      <c r="K55" s="695"/>
      <c r="L55" s="695"/>
      <c r="M55" s="695"/>
      <c r="N55" s="695"/>
      <c r="O55" s="695"/>
      <c r="P55" s="695"/>
      <c r="Q55" s="696"/>
      <c r="R55" s="724">
        <f ca="1">SUM(C55:Q55)</f>
        <v>307.62058842892162</v>
      </c>
    </row>
    <row r="56" spans="1:18" ht="15.75" thickBot="1">
      <c r="A56" s="825" t="s">
        <v>715</v>
      </c>
      <c r="B56" s="838"/>
      <c r="C56" s="725">
        <f ca="1">SUM(C54:C55)</f>
        <v>203.63830555189364</v>
      </c>
      <c r="D56" s="725">
        <f t="shared" ref="D56:Q56" ca="1" si="7">SUM(D54:D55)</f>
        <v>2460.4985415845495</v>
      </c>
      <c r="E56" s="725">
        <f t="shared" si="7"/>
        <v>923.30473500483174</v>
      </c>
      <c r="F56" s="725">
        <f t="shared" si="7"/>
        <v>10.598479004423085</v>
      </c>
      <c r="G56" s="725">
        <f t="shared" si="7"/>
        <v>1084.5098892438732</v>
      </c>
      <c r="H56" s="725">
        <f t="shared" si="7"/>
        <v>0</v>
      </c>
      <c r="I56" s="725">
        <f t="shared" si="7"/>
        <v>0</v>
      </c>
      <c r="J56" s="725">
        <f t="shared" si="7"/>
        <v>0</v>
      </c>
      <c r="K56" s="725">
        <f t="shared" si="7"/>
        <v>116.34036406002815</v>
      </c>
      <c r="L56" s="725">
        <f t="shared" si="7"/>
        <v>0</v>
      </c>
      <c r="M56" s="725">
        <f t="shared" si="7"/>
        <v>0</v>
      </c>
      <c r="N56" s="725">
        <f t="shared" si="7"/>
        <v>0</v>
      </c>
      <c r="O56" s="725">
        <f t="shared" si="7"/>
        <v>0</v>
      </c>
      <c r="P56" s="725">
        <f t="shared" si="7"/>
        <v>0</v>
      </c>
      <c r="Q56" s="726">
        <f t="shared" si="7"/>
        <v>0</v>
      </c>
      <c r="R56" s="727">
        <f ca="1">SUM(R54:R55)</f>
        <v>4798.8903144495989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4484.6913580358532</v>
      </c>
      <c r="D61" s="733">
        <f t="shared" ref="D61:Q61" ca="1" si="8">D46+D52+D56</f>
        <v>2493.2571428571437</v>
      </c>
      <c r="E61" s="733">
        <f t="shared" ca="1" si="8"/>
        <v>10544.125517579345</v>
      </c>
      <c r="F61" s="733">
        <f t="shared" si="8"/>
        <v>3504.4038192522853</v>
      </c>
      <c r="G61" s="733">
        <f t="shared" ca="1" si="8"/>
        <v>14064.357322174452</v>
      </c>
      <c r="H61" s="733">
        <f t="shared" si="8"/>
        <v>16644.352593552518</v>
      </c>
      <c r="I61" s="733">
        <f t="shared" si="8"/>
        <v>4505.8280606590479</v>
      </c>
      <c r="J61" s="733">
        <f t="shared" si="8"/>
        <v>0</v>
      </c>
      <c r="K61" s="733">
        <f t="shared" si="8"/>
        <v>239.22423368708473</v>
      </c>
      <c r="L61" s="733">
        <f t="shared" si="8"/>
        <v>0</v>
      </c>
      <c r="M61" s="733">
        <f t="shared" ca="1" si="8"/>
        <v>0</v>
      </c>
      <c r="N61" s="733">
        <f t="shared" si="8"/>
        <v>0</v>
      </c>
      <c r="O61" s="733">
        <f t="shared" ca="1" si="8"/>
        <v>0</v>
      </c>
      <c r="P61" s="733">
        <f t="shared" si="8"/>
        <v>0</v>
      </c>
      <c r="Q61" s="733">
        <f t="shared" si="8"/>
        <v>0</v>
      </c>
      <c r="R61" s="733">
        <f ca="1">R46+R52+R56</f>
        <v>56480.240047797735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0.10077397217385363</v>
      </c>
      <c r="D63" s="779">
        <f t="shared" ca="1" si="9"/>
        <v>7.2796891716875978E-2</v>
      </c>
      <c r="E63" s="973">
        <f t="shared" ca="1" si="9"/>
        <v>0.20200000000000001</v>
      </c>
      <c r="F63" s="779">
        <f t="shared" si="9"/>
        <v>0.22700000000000001</v>
      </c>
      <c r="G63" s="779">
        <f t="shared" ca="1" si="9"/>
        <v>0.26699999999999996</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6791.3002863531392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16630.650000000001</v>
      </c>
      <c r="C76" s="746">
        <f>'lokale energieproductie'!B8*IFERROR(SUM(D76:H76)/SUM(D76:O76),0)</f>
        <v>7344</v>
      </c>
      <c r="D76" s="956">
        <f>'lokale energieproductie'!C8</f>
        <v>8640.0000000000018</v>
      </c>
      <c r="E76" s="957">
        <f>'lokale energieproductie'!D8</f>
        <v>0</v>
      </c>
      <c r="F76" s="957">
        <f>'lokale energieproductie'!E8</f>
        <v>0</v>
      </c>
      <c r="G76" s="957">
        <f>'lokale energieproductie'!F8</f>
        <v>0</v>
      </c>
      <c r="H76" s="957">
        <f>'lokale energieproductie'!G8</f>
        <v>0</v>
      </c>
      <c r="I76" s="957">
        <f>'lokale energieproductie'!I8</f>
        <v>0</v>
      </c>
      <c r="J76" s="957">
        <f>'lokale energieproductie'!J8</f>
        <v>19565.470588235297</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1745.2800000000004</v>
      </c>
      <c r="R76" s="854">
        <v>0</v>
      </c>
    </row>
    <row r="77" spans="1:18" ht="15.75" thickBot="1">
      <c r="A77" s="749" t="s">
        <v>760</v>
      </c>
      <c r="B77" s="746">
        <f>'lokale energieproductie'!B9*IFERROR(SUM(I77:O77)/SUM(D77:O77),0)</f>
        <v>1341</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3831.4285714285716</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24762.950286353142</v>
      </c>
      <c r="C78" s="751">
        <f>SUM(C72:C77)</f>
        <v>7344</v>
      </c>
      <c r="D78" s="752">
        <f t="shared" ref="D78:H78" si="10">SUM(D76:D77)</f>
        <v>8640.0000000000018</v>
      </c>
      <c r="E78" s="752">
        <f t="shared" si="10"/>
        <v>0</v>
      </c>
      <c r="F78" s="752">
        <f t="shared" si="10"/>
        <v>0</v>
      </c>
      <c r="G78" s="752">
        <f t="shared" si="10"/>
        <v>0</v>
      </c>
      <c r="H78" s="752">
        <f t="shared" si="10"/>
        <v>0</v>
      </c>
      <c r="I78" s="752">
        <f>SUM(I76:I77)</f>
        <v>0</v>
      </c>
      <c r="J78" s="752">
        <f>SUM(J76:J77)</f>
        <v>23396.89915966387</v>
      </c>
      <c r="K78" s="752">
        <f t="shared" ref="K78:L78" si="11">SUM(K76:K77)</f>
        <v>0</v>
      </c>
      <c r="L78" s="752">
        <f t="shared" si="11"/>
        <v>0</v>
      </c>
      <c r="M78" s="752">
        <f>SUM(M76:M77)</f>
        <v>0</v>
      </c>
      <c r="N78" s="752">
        <f>SUM(N76:N77)</f>
        <v>0</v>
      </c>
      <c r="O78" s="862">
        <f>SUM(O76:O77)</f>
        <v>0</v>
      </c>
      <c r="P78" s="753">
        <v>0</v>
      </c>
      <c r="Q78" s="753">
        <f>SUM(Q76:Q77)</f>
        <v>1745.2800000000004</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23758.071428571428</v>
      </c>
      <c r="C87" s="764">
        <f>'lokale energieproductie'!B17*IFERROR(SUM(D87:H87)/SUM(D87:O87),0)</f>
        <v>10491.428571428571</v>
      </c>
      <c r="D87" s="775">
        <f>'lokale energieproductie'!C17</f>
        <v>12342.857142857145</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27950.672268907569</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2493.2571428571437</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23758.071428571428</v>
      </c>
      <c r="C90" s="751">
        <f>SUM(C87:C89)</f>
        <v>10491.428571428571</v>
      </c>
      <c r="D90" s="751">
        <f t="shared" ref="D90:H90" si="12">SUM(D87:D89)</f>
        <v>12342.857142857145</v>
      </c>
      <c r="E90" s="751">
        <f t="shared" si="12"/>
        <v>0</v>
      </c>
      <c r="F90" s="751">
        <f t="shared" si="12"/>
        <v>0</v>
      </c>
      <c r="G90" s="751">
        <f t="shared" si="12"/>
        <v>0</v>
      </c>
      <c r="H90" s="751">
        <f t="shared" si="12"/>
        <v>0</v>
      </c>
      <c r="I90" s="751">
        <f>SUM(I87:I89)</f>
        <v>0</v>
      </c>
      <c r="J90" s="751">
        <f>SUM(J87:J89)</f>
        <v>27950.672268907569</v>
      </c>
      <c r="K90" s="751">
        <f t="shared" ref="K90:L90" si="13">SUM(K87:K89)</f>
        <v>0</v>
      </c>
      <c r="L90" s="751">
        <f t="shared" si="13"/>
        <v>0</v>
      </c>
      <c r="M90" s="751">
        <f>SUM(M87:M89)</f>
        <v>0</v>
      </c>
      <c r="N90" s="751">
        <f>SUM(N87:N89)</f>
        <v>0</v>
      </c>
      <c r="O90" s="751">
        <f>SUM(O87:O89)</f>
        <v>0</v>
      </c>
      <c r="P90" s="751">
        <v>0</v>
      </c>
      <c r="Q90" s="751">
        <f>SUM(Q87:Q89)</f>
        <v>2493.2571428571437</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85" zoomScale="65" zoomScaleNormal="65" workbookViewId="0">
      <selection activeCell="M32" sqref="M32"/>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6791.3002863531392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N33</f>
        <v>23974.65</v>
      </c>
      <c r="C8" s="551">
        <f>B52</f>
        <v>8640.0000000000018</v>
      </c>
      <c r="D8" s="552"/>
      <c r="E8" s="552">
        <f>E52</f>
        <v>0</v>
      </c>
      <c r="F8" s="553"/>
      <c r="G8" s="554"/>
      <c r="H8" s="552">
        <f>I52</f>
        <v>0</v>
      </c>
      <c r="I8" s="552">
        <f>G52+F52</f>
        <v>0</v>
      </c>
      <c r="J8" s="552">
        <f>H52+D52+C52</f>
        <v>19565.470588235297</v>
      </c>
      <c r="K8" s="552"/>
      <c r="L8" s="552"/>
      <c r="M8" s="552"/>
      <c r="N8" s="555"/>
      <c r="O8" s="556">
        <f>C8*$C$12+D8*$D$12+E8*$E$12+F8*$F$12+G8*$G$12+H8*$H$12+I8*$I$12+J8*$J$12</f>
        <v>1745.2800000000004</v>
      </c>
      <c r="P8" s="1256"/>
      <c r="Q8" s="1257"/>
      <c r="S8" s="546"/>
      <c r="T8" s="1244"/>
      <c r="U8" s="1244"/>
    </row>
    <row r="9" spans="1:21" s="537" customFormat="1" ht="17.45" customHeight="1" thickBot="1">
      <c r="A9" s="557" t="s">
        <v>247</v>
      </c>
      <c r="B9" s="558">
        <f>N40+'Eigen informatie GS &amp; warmtenet'!B12</f>
        <v>1341</v>
      </c>
      <c r="C9" s="559">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32106.950286353142</v>
      </c>
      <c r="C10" s="566">
        <f t="shared" ref="C10:L10" si="0">SUM(C8:C9)</f>
        <v>8640.0000000000018</v>
      </c>
      <c r="D10" s="566">
        <f t="shared" si="0"/>
        <v>0</v>
      </c>
      <c r="E10" s="566">
        <f t="shared" si="0"/>
        <v>0</v>
      </c>
      <c r="F10" s="566">
        <f t="shared" si="0"/>
        <v>0</v>
      </c>
      <c r="G10" s="566">
        <f t="shared" si="0"/>
        <v>0</v>
      </c>
      <c r="H10" s="566">
        <f t="shared" si="0"/>
        <v>0</v>
      </c>
      <c r="I10" s="566">
        <f t="shared" si="0"/>
        <v>0</v>
      </c>
      <c r="J10" s="566">
        <f t="shared" si="0"/>
        <v>23396.89915966387</v>
      </c>
      <c r="K10" s="566">
        <f t="shared" si="0"/>
        <v>0</v>
      </c>
      <c r="L10" s="566">
        <f t="shared" si="0"/>
        <v>0</v>
      </c>
      <c r="M10" s="969"/>
      <c r="N10" s="969"/>
      <c r="O10" s="567">
        <f>SUM(O4:O9)</f>
        <v>1745.2800000000004</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O33</f>
        <v>34249.5</v>
      </c>
      <c r="C17" s="582">
        <f>B53</f>
        <v>12342.857142857145</v>
      </c>
      <c r="D17" s="583"/>
      <c r="E17" s="583">
        <f>E53</f>
        <v>0</v>
      </c>
      <c r="F17" s="584"/>
      <c r="G17" s="585"/>
      <c r="H17" s="582">
        <f>I53</f>
        <v>0</v>
      </c>
      <c r="I17" s="583">
        <f>G53+F53</f>
        <v>0</v>
      </c>
      <c r="J17" s="583">
        <f>H53+D53+C53</f>
        <v>27950.672268907569</v>
      </c>
      <c r="K17" s="583"/>
      <c r="L17" s="583"/>
      <c r="M17" s="583"/>
      <c r="N17" s="970"/>
      <c r="O17" s="586">
        <f>C17*$C$22+E17*$E$22+H17*$H$22+I17*$I$22+J17*$J$22+D17*$D$22+F17*$F$22+G17*$G$22+K17*$K$22+L17*$L$22</f>
        <v>2493.2571428571437</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34249.5</v>
      </c>
      <c r="C20" s="565">
        <f>SUM(C17:C19)</f>
        <v>12342.857142857145</v>
      </c>
      <c r="D20" s="565">
        <f t="shared" ref="D20:L20" si="1">SUM(D17:D19)</f>
        <v>0</v>
      </c>
      <c r="E20" s="565">
        <f t="shared" si="1"/>
        <v>0</v>
      </c>
      <c r="F20" s="565">
        <f t="shared" si="1"/>
        <v>0</v>
      </c>
      <c r="G20" s="565">
        <f t="shared" si="1"/>
        <v>0</v>
      </c>
      <c r="H20" s="565">
        <f t="shared" si="1"/>
        <v>0</v>
      </c>
      <c r="I20" s="565">
        <f t="shared" si="1"/>
        <v>0</v>
      </c>
      <c r="J20" s="565">
        <f t="shared" si="1"/>
        <v>27950.672268907569</v>
      </c>
      <c r="K20" s="565">
        <f t="shared" si="1"/>
        <v>0</v>
      </c>
      <c r="L20" s="565">
        <f t="shared" si="1"/>
        <v>0</v>
      </c>
      <c r="M20" s="565"/>
      <c r="N20" s="565"/>
      <c r="O20" s="591">
        <f>SUM(O17:O19)</f>
        <v>2493.2571428571437</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38.25">
      <c r="A28" s="595"/>
      <c r="B28" s="794">
        <v>13013</v>
      </c>
      <c r="C28" s="794">
        <v>2230</v>
      </c>
      <c r="D28" s="643" t="s">
        <v>865</v>
      </c>
      <c r="E28" s="642" t="s">
        <v>866</v>
      </c>
      <c r="F28" s="642" t="s">
        <v>867</v>
      </c>
      <c r="G28" s="642" t="s">
        <v>868</v>
      </c>
      <c r="H28" s="642" t="s">
        <v>869</v>
      </c>
      <c r="I28" s="642" t="s">
        <v>866</v>
      </c>
      <c r="J28" s="793">
        <v>39923</v>
      </c>
      <c r="K28" s="793">
        <v>39923</v>
      </c>
      <c r="L28" s="642" t="s">
        <v>870</v>
      </c>
      <c r="M28" s="642">
        <v>1562</v>
      </c>
      <c r="N28" s="642">
        <v>7029</v>
      </c>
      <c r="O28" s="642">
        <v>10041.428571428572</v>
      </c>
      <c r="P28" s="642">
        <v>20082.857142857145</v>
      </c>
      <c r="Q28" s="642">
        <v>0</v>
      </c>
      <c r="R28" s="642">
        <v>0</v>
      </c>
      <c r="S28" s="642">
        <v>0</v>
      </c>
      <c r="T28" s="642">
        <v>0</v>
      </c>
      <c r="U28" s="642">
        <v>0</v>
      </c>
      <c r="V28" s="642">
        <v>0</v>
      </c>
      <c r="W28" s="642">
        <v>0</v>
      </c>
      <c r="X28" s="642">
        <v>10</v>
      </c>
      <c r="Y28" s="642" t="s">
        <v>111</v>
      </c>
      <c r="Z28" s="644" t="s">
        <v>111</v>
      </c>
    </row>
    <row r="29" spans="1:26" s="596" customFormat="1" ht="25.5">
      <c r="A29" s="595"/>
      <c r="B29" s="794">
        <v>13013</v>
      </c>
      <c r="C29" s="794">
        <v>2230</v>
      </c>
      <c r="D29" s="643" t="s">
        <v>871</v>
      </c>
      <c r="E29" s="642" t="s">
        <v>872</v>
      </c>
      <c r="F29" s="642" t="s">
        <v>873</v>
      </c>
      <c r="G29" s="642" t="s">
        <v>868</v>
      </c>
      <c r="H29" s="642" t="s">
        <v>869</v>
      </c>
      <c r="I29" s="642" t="s">
        <v>872</v>
      </c>
      <c r="J29" s="793">
        <v>40168</v>
      </c>
      <c r="K29" s="793">
        <v>39933</v>
      </c>
      <c r="L29" s="642" t="s">
        <v>870</v>
      </c>
      <c r="M29" s="642">
        <v>2486</v>
      </c>
      <c r="N29" s="642">
        <v>11187.000000000002</v>
      </c>
      <c r="O29" s="642">
        <v>15981.428571428574</v>
      </c>
      <c r="P29" s="642">
        <v>0</v>
      </c>
      <c r="Q29" s="642">
        <v>31962.857142857149</v>
      </c>
      <c r="R29" s="642">
        <v>0</v>
      </c>
      <c r="S29" s="642">
        <v>0</v>
      </c>
      <c r="T29" s="642">
        <v>0</v>
      </c>
      <c r="U29" s="642">
        <v>0</v>
      </c>
      <c r="V29" s="642">
        <v>0</v>
      </c>
      <c r="W29" s="642">
        <v>0</v>
      </c>
      <c r="X29" s="642">
        <v>10</v>
      </c>
      <c r="Y29" s="642" t="s">
        <v>111</v>
      </c>
      <c r="Z29" s="644" t="s">
        <v>111</v>
      </c>
    </row>
    <row r="30" spans="1:26" s="596" customFormat="1" ht="51">
      <c r="A30" s="595"/>
      <c r="B30" s="794">
        <v>13013</v>
      </c>
      <c r="C30" s="794">
        <v>2230</v>
      </c>
      <c r="D30" s="643" t="s">
        <v>874</v>
      </c>
      <c r="E30" s="642" t="s">
        <v>875</v>
      </c>
      <c r="F30" s="642" t="s">
        <v>876</v>
      </c>
      <c r="G30" s="642" t="s">
        <v>868</v>
      </c>
      <c r="H30" s="642" t="s">
        <v>869</v>
      </c>
      <c r="I30" s="642" t="s">
        <v>875</v>
      </c>
      <c r="J30" s="793">
        <v>41995</v>
      </c>
      <c r="K30" s="793">
        <v>41992</v>
      </c>
      <c r="L30" s="642" t="s">
        <v>870</v>
      </c>
      <c r="M30" s="642">
        <v>70</v>
      </c>
      <c r="N30" s="642">
        <v>315.00000000000006</v>
      </c>
      <c r="O30" s="642">
        <v>450.00000000000011</v>
      </c>
      <c r="P30" s="642">
        <v>900.00000000000023</v>
      </c>
      <c r="Q30" s="642">
        <v>0</v>
      </c>
      <c r="R30" s="642">
        <v>0</v>
      </c>
      <c r="S30" s="642">
        <v>0</v>
      </c>
      <c r="T30" s="642">
        <v>0</v>
      </c>
      <c r="U30" s="642">
        <v>0</v>
      </c>
      <c r="V30" s="642">
        <v>0</v>
      </c>
      <c r="W30" s="642">
        <v>0</v>
      </c>
      <c r="X30" s="642">
        <v>1500</v>
      </c>
      <c r="Y30" s="642" t="s">
        <v>50</v>
      </c>
      <c r="Z30" s="644" t="s">
        <v>155</v>
      </c>
    </row>
    <row r="31" spans="1:26" s="596" customFormat="1" ht="25.5">
      <c r="A31" s="595"/>
      <c r="B31" s="794">
        <v>13013</v>
      </c>
      <c r="C31" s="794">
        <v>2230</v>
      </c>
      <c r="D31" s="643"/>
      <c r="E31" s="642"/>
      <c r="F31" s="642" t="s">
        <v>877</v>
      </c>
      <c r="G31" s="642" t="s">
        <v>868</v>
      </c>
      <c r="H31" s="642" t="s">
        <v>869</v>
      </c>
      <c r="I31" s="642" t="s">
        <v>878</v>
      </c>
      <c r="J31" s="793">
        <v>41716</v>
      </c>
      <c r="K31" s="793">
        <v>42123</v>
      </c>
      <c r="L31" s="642" t="s">
        <v>870</v>
      </c>
      <c r="M31" s="642">
        <v>9.6999999999999993</v>
      </c>
      <c r="N31" s="642">
        <v>43.649999999999991</v>
      </c>
      <c r="O31" s="642">
        <v>62.357142857142847</v>
      </c>
      <c r="P31" s="642">
        <v>0</v>
      </c>
      <c r="Q31" s="642">
        <v>124.71428571428569</v>
      </c>
      <c r="R31" s="642">
        <v>0</v>
      </c>
      <c r="S31" s="642">
        <v>0</v>
      </c>
      <c r="T31" s="642">
        <v>0</v>
      </c>
      <c r="U31" s="642">
        <v>0</v>
      </c>
      <c r="V31" s="642">
        <v>0</v>
      </c>
      <c r="W31" s="642">
        <v>0</v>
      </c>
      <c r="X31" s="642">
        <v>10</v>
      </c>
      <c r="Y31" s="642" t="s">
        <v>111</v>
      </c>
      <c r="Z31" s="644" t="s">
        <v>111</v>
      </c>
    </row>
    <row r="32" spans="1:26" s="596" customFormat="1" ht="38.25">
      <c r="A32" s="595"/>
      <c r="B32" s="794">
        <v>13013</v>
      </c>
      <c r="C32" s="794">
        <v>2230</v>
      </c>
      <c r="D32" s="643" t="s">
        <v>879</v>
      </c>
      <c r="E32" s="642"/>
      <c r="F32" s="642" t="s">
        <v>880</v>
      </c>
      <c r="G32" s="642" t="s">
        <v>881</v>
      </c>
      <c r="H32" s="642" t="s">
        <v>869</v>
      </c>
      <c r="I32" s="642" t="s">
        <v>882</v>
      </c>
      <c r="J32" s="793">
        <v>42607</v>
      </c>
      <c r="K32" s="793">
        <v>42607</v>
      </c>
      <c r="L32" s="642" t="s">
        <v>883</v>
      </c>
      <c r="M32" s="642">
        <v>1200</v>
      </c>
      <c r="N32" s="642">
        <v>5400</v>
      </c>
      <c r="O32" s="642">
        <v>7714.2857142857147</v>
      </c>
      <c r="P32" s="642">
        <v>0</v>
      </c>
      <c r="Q32" s="642">
        <v>15428.571428571429</v>
      </c>
      <c r="R32" s="642">
        <v>0</v>
      </c>
      <c r="S32" s="642">
        <v>0</v>
      </c>
      <c r="T32" s="642">
        <v>0</v>
      </c>
      <c r="U32" s="642">
        <v>0</v>
      </c>
      <c r="V32" s="642">
        <v>0</v>
      </c>
      <c r="W32" s="642">
        <v>0</v>
      </c>
      <c r="X32" s="642">
        <v>10</v>
      </c>
      <c r="Y32" s="642" t="s">
        <v>111</v>
      </c>
      <c r="Z32" s="644" t="s">
        <v>111</v>
      </c>
    </row>
    <row r="33" spans="1:27" s="576" customFormat="1">
      <c r="A33" s="598" t="s">
        <v>279</v>
      </c>
      <c r="B33" s="599"/>
      <c r="C33" s="599"/>
      <c r="D33" s="599"/>
      <c r="E33" s="599"/>
      <c r="F33" s="599"/>
      <c r="G33" s="599"/>
      <c r="H33" s="599"/>
      <c r="I33" s="599"/>
      <c r="J33" s="599"/>
      <c r="K33" s="599"/>
      <c r="L33" s="600"/>
      <c r="M33" s="600">
        <f>SUM(M28:M32)</f>
        <v>5327.7</v>
      </c>
      <c r="N33" s="600">
        <f>SUM(N28:N32)</f>
        <v>23974.65</v>
      </c>
      <c r="O33" s="600">
        <f>SUM(O28:O32)</f>
        <v>34249.5</v>
      </c>
      <c r="P33" s="600">
        <f>SUM(P28:P32)</f>
        <v>20982.857142857145</v>
      </c>
      <c r="Q33" s="600">
        <f>SUM(Q28:Q32)</f>
        <v>47516.142857142862</v>
      </c>
      <c r="R33" s="600">
        <f>SUM(R28:R32)</f>
        <v>0</v>
      </c>
      <c r="S33" s="600">
        <f>SUM(S28:S32)</f>
        <v>0</v>
      </c>
      <c r="T33" s="600">
        <f>SUM(T28:T32)</f>
        <v>0</v>
      </c>
      <c r="U33" s="600">
        <f>SUM(U28:U32)</f>
        <v>0</v>
      </c>
      <c r="V33" s="600">
        <f>SUM(V28:V32)</f>
        <v>0</v>
      </c>
      <c r="W33" s="600">
        <f>SUM(W28:W32)</f>
        <v>0</v>
      </c>
      <c r="X33" s="601"/>
      <c r="Y33" s="601"/>
      <c r="Z33" s="602"/>
    </row>
    <row r="34" spans="1:27" s="576" customFormat="1">
      <c r="A34" s="598" t="s">
        <v>286</v>
      </c>
      <c r="B34" s="599"/>
      <c r="C34" s="599"/>
      <c r="D34" s="599"/>
      <c r="E34" s="599"/>
      <c r="F34" s="599"/>
      <c r="G34" s="599"/>
      <c r="H34" s="599"/>
      <c r="I34" s="599"/>
      <c r="J34" s="599"/>
      <c r="K34" s="599"/>
      <c r="L34" s="600"/>
      <c r="M34" s="600">
        <f>SUMIF($Z$28:$Z$32,"industrie",M28:M32)</f>
        <v>0</v>
      </c>
      <c r="N34" s="600">
        <f>SUMIF($Z$28:$Z$32,"industrie",N28:N32)</f>
        <v>0</v>
      </c>
      <c r="O34" s="600">
        <f>SUMIF($Z$28:$Z$32,"industrie",O28:O32)</f>
        <v>0</v>
      </c>
      <c r="P34" s="600">
        <f>SUMIF($Z$28:$Z$32,"industrie",P28:P32)</f>
        <v>0</v>
      </c>
      <c r="Q34" s="600">
        <f>SUMIF($Z$28:$Z$32,"industrie",Q28:Q32)</f>
        <v>0</v>
      </c>
      <c r="R34" s="600">
        <f>SUMIF($Z$28:$Z$32,"industrie",R28:R32)</f>
        <v>0</v>
      </c>
      <c r="S34" s="600">
        <f>SUMIF($Z$28:$Z$32,"industrie",S28:S32)</f>
        <v>0</v>
      </c>
      <c r="T34" s="600">
        <f>SUMIF($Z$28:$Z$32,"industrie",T28:T32)</f>
        <v>0</v>
      </c>
      <c r="U34" s="600">
        <f>SUMIF($Z$28:$Z$32,"industrie",U28:U32)</f>
        <v>0</v>
      </c>
      <c r="V34" s="600">
        <f>SUMIF($Z$28:$Z$32,"industrie",V28:V32)</f>
        <v>0</v>
      </c>
      <c r="W34" s="600">
        <f>SUMIF($Z$28:$Z$32,"industrie",W28:W32)</f>
        <v>0</v>
      </c>
      <c r="X34" s="601"/>
      <c r="Y34" s="601"/>
      <c r="Z34" s="602"/>
    </row>
    <row r="35" spans="1:27" s="576" customFormat="1">
      <c r="A35" s="598" t="s">
        <v>287</v>
      </c>
      <c r="B35" s="599"/>
      <c r="C35" s="599"/>
      <c r="D35" s="599"/>
      <c r="E35" s="599"/>
      <c r="F35" s="599"/>
      <c r="G35" s="599"/>
      <c r="H35" s="599"/>
      <c r="I35" s="599"/>
      <c r="J35" s="599"/>
      <c r="K35" s="599"/>
      <c r="L35" s="600"/>
      <c r="M35" s="600">
        <f ca="1">SUMIF($Z$28:AC32,"tertiair",M28:M32)</f>
        <v>70</v>
      </c>
      <c r="N35" s="600">
        <f ca="1">SUMIF($Z$28:AD32,"tertiair",N28:N32)</f>
        <v>315.00000000000006</v>
      </c>
      <c r="O35" s="600">
        <f ca="1">SUMIF($Z$28:AE32,"tertiair",O28:O32)</f>
        <v>450.00000000000011</v>
      </c>
      <c r="P35" s="600">
        <f ca="1">SUMIF($Z$28:AF32,"tertiair",P28:P32)</f>
        <v>900.00000000000023</v>
      </c>
      <c r="Q35" s="600">
        <f ca="1">SUMIF($Z$28:AG32,"tertiair",Q28:Q32)</f>
        <v>0</v>
      </c>
      <c r="R35" s="600">
        <f ca="1">SUMIF($Z$28:AH32,"tertiair",R28:R32)</f>
        <v>0</v>
      </c>
      <c r="S35" s="600">
        <f ca="1">SUMIF($Z$28:AI32,"tertiair",S28:S32)</f>
        <v>0</v>
      </c>
      <c r="T35" s="600">
        <f ca="1">SUMIF($Z$28:AJ32,"tertiair",T28:T32)</f>
        <v>0</v>
      </c>
      <c r="U35" s="600">
        <f ca="1">SUMIF($Z$28:AK32,"tertiair",U28:U32)</f>
        <v>0</v>
      </c>
      <c r="V35" s="600">
        <f ca="1">SUMIF($Z$28:AL32,"tertiair",V28:V32)</f>
        <v>0</v>
      </c>
      <c r="W35" s="600">
        <f ca="1">SUMIF($Z$28:AM32,"tertiair",W28:W32)</f>
        <v>0</v>
      </c>
      <c r="X35" s="601"/>
      <c r="Y35" s="601"/>
      <c r="Z35" s="602"/>
    </row>
    <row r="36" spans="1:27" s="576" customFormat="1" ht="15.75" thickBot="1">
      <c r="A36" s="603" t="s">
        <v>288</v>
      </c>
      <c r="B36" s="604"/>
      <c r="C36" s="604"/>
      <c r="D36" s="604"/>
      <c r="E36" s="604"/>
      <c r="F36" s="604"/>
      <c r="G36" s="604"/>
      <c r="H36" s="604"/>
      <c r="I36" s="604"/>
      <c r="J36" s="604"/>
      <c r="K36" s="604"/>
      <c r="L36" s="605"/>
      <c r="M36" s="605">
        <f>SUMIF($Z$28:$Z$32,"landbouw",M28:M32)</f>
        <v>5257.7</v>
      </c>
      <c r="N36" s="605">
        <f>SUMIF($Z$28:$Z$32,"landbouw",N28:N32)</f>
        <v>23659.65</v>
      </c>
      <c r="O36" s="605">
        <f>SUMIF($Z$28:$Z$32,"landbouw",O28:O32)</f>
        <v>33799.5</v>
      </c>
      <c r="P36" s="605">
        <f>SUMIF($Z$28:$Z$32,"landbouw",P28:P32)</f>
        <v>20082.857142857145</v>
      </c>
      <c r="Q36" s="605">
        <f>SUMIF($Z$28:$Z$32,"landbouw",Q28:Q32)</f>
        <v>47516.142857142862</v>
      </c>
      <c r="R36" s="605">
        <f>SUMIF($Z$28:$Z$32,"landbouw",R28:R32)</f>
        <v>0</v>
      </c>
      <c r="S36" s="605">
        <f>SUMIF($Z$28:$Z$32,"landbouw",S28:S32)</f>
        <v>0</v>
      </c>
      <c r="T36" s="605">
        <f>SUMIF($Z$28:$Z$32,"landbouw",T28:T32)</f>
        <v>0</v>
      </c>
      <c r="U36" s="605">
        <f>SUMIF($Z$28:$Z$32,"landbouw",U28:U32)</f>
        <v>0</v>
      </c>
      <c r="V36" s="605">
        <f>SUMIF($Z$28:$Z$32,"landbouw",V28:V32)</f>
        <v>0</v>
      </c>
      <c r="W36" s="605">
        <f>SUMIF($Z$28:$Z$32,"landbouw",W28:W32)</f>
        <v>0</v>
      </c>
      <c r="X36" s="606"/>
      <c r="Y36" s="606"/>
      <c r="Z36" s="607"/>
    </row>
    <row r="37" spans="1:27" s="537" customFormat="1" ht="15.75" thickBot="1">
      <c r="A37" s="608"/>
      <c r="B37" s="609"/>
      <c r="C37" s="609"/>
      <c r="D37" s="609"/>
      <c r="E37" s="609"/>
      <c r="F37" s="609"/>
      <c r="G37" s="609"/>
      <c r="H37" s="609"/>
      <c r="I37" s="609"/>
      <c r="J37" s="609"/>
      <c r="K37" s="609"/>
      <c r="L37" s="592"/>
      <c r="M37" s="592"/>
      <c r="N37" s="592"/>
      <c r="O37" s="593"/>
      <c r="P37" s="593"/>
    </row>
    <row r="38" spans="1:27" s="537" customFormat="1" ht="45">
      <c r="A38" s="610" t="s">
        <v>280</v>
      </c>
      <c r="B38" s="639" t="s">
        <v>89</v>
      </c>
      <c r="C38" s="639" t="s">
        <v>90</v>
      </c>
      <c r="D38" s="639" t="s">
        <v>91</v>
      </c>
      <c r="E38" s="639" t="s">
        <v>92</v>
      </c>
      <c r="F38" s="639" t="s">
        <v>93</v>
      </c>
      <c r="G38" s="639" t="s">
        <v>94</v>
      </c>
      <c r="H38" s="639" t="s">
        <v>95</v>
      </c>
      <c r="I38" s="639" t="s">
        <v>96</v>
      </c>
      <c r="J38" s="639" t="s">
        <v>97</v>
      </c>
      <c r="K38" s="639" t="s">
        <v>98</v>
      </c>
      <c r="L38" s="639" t="s">
        <v>99</v>
      </c>
      <c r="M38" s="640" t="s">
        <v>297</v>
      </c>
      <c r="N38" s="640" t="s">
        <v>100</v>
      </c>
      <c r="O38" s="640" t="s">
        <v>101</v>
      </c>
      <c r="P38" s="640" t="s">
        <v>525</v>
      </c>
      <c r="Q38" s="640" t="s">
        <v>102</v>
      </c>
      <c r="R38" s="640" t="s">
        <v>103</v>
      </c>
      <c r="S38" s="640" t="s">
        <v>104</v>
      </c>
      <c r="T38" s="640" t="s">
        <v>105</v>
      </c>
      <c r="U38" s="640" t="s">
        <v>106</v>
      </c>
      <c r="V38" s="640" t="s">
        <v>107</v>
      </c>
      <c r="W38" s="639" t="s">
        <v>108</v>
      </c>
      <c r="X38" s="639" t="s">
        <v>298</v>
      </c>
      <c r="Y38" s="639" t="s">
        <v>109</v>
      </c>
      <c r="Z38" s="641" t="s">
        <v>299</v>
      </c>
    </row>
    <row r="39" spans="1:27" s="611" customFormat="1" ht="63.75">
      <c r="A39" s="597"/>
      <c r="B39" s="794">
        <v>13013</v>
      </c>
      <c r="C39" s="794">
        <v>2230</v>
      </c>
      <c r="D39" s="645" t="s">
        <v>884</v>
      </c>
      <c r="E39" s="645" t="s">
        <v>885</v>
      </c>
      <c r="F39" s="645" t="s">
        <v>886</v>
      </c>
      <c r="G39" s="645" t="s">
        <v>887</v>
      </c>
      <c r="H39" s="645" t="s">
        <v>888</v>
      </c>
      <c r="I39" s="645" t="s">
        <v>889</v>
      </c>
      <c r="J39" s="793">
        <v>38796</v>
      </c>
      <c r="K39" s="793">
        <v>39052</v>
      </c>
      <c r="L39" s="645" t="s">
        <v>890</v>
      </c>
      <c r="M39" s="645">
        <v>298</v>
      </c>
      <c r="N39" s="645">
        <v>1341</v>
      </c>
      <c r="O39" s="645">
        <v>0</v>
      </c>
      <c r="P39" s="645">
        <v>0</v>
      </c>
      <c r="Q39" s="645">
        <v>3831.4285714285716</v>
      </c>
      <c r="R39" s="645">
        <v>0</v>
      </c>
      <c r="S39" s="645">
        <v>0</v>
      </c>
      <c r="T39" s="645">
        <v>0</v>
      </c>
      <c r="U39" s="645">
        <v>0</v>
      </c>
      <c r="V39" s="645">
        <v>0</v>
      </c>
      <c r="W39" s="645">
        <v>0</v>
      </c>
      <c r="X39" s="645">
        <v>1600</v>
      </c>
      <c r="Y39" s="645" t="s">
        <v>49</v>
      </c>
      <c r="Z39" s="646" t="s">
        <v>155</v>
      </c>
    </row>
    <row r="40" spans="1:27" s="576" customFormat="1">
      <c r="A40" s="598" t="s">
        <v>279</v>
      </c>
      <c r="B40" s="599"/>
      <c r="C40" s="599"/>
      <c r="D40" s="599"/>
      <c r="E40" s="599"/>
      <c r="F40" s="599"/>
      <c r="G40" s="599"/>
      <c r="H40" s="599"/>
      <c r="I40" s="599"/>
      <c r="J40" s="599"/>
      <c r="K40" s="599"/>
      <c r="L40" s="600"/>
      <c r="M40" s="600">
        <f>SUM(M39:M39)</f>
        <v>298</v>
      </c>
      <c r="N40" s="600">
        <f>SUM(N39:N39)</f>
        <v>1341</v>
      </c>
      <c r="O40" s="600">
        <f>SUM(O39:O39)</f>
        <v>0</v>
      </c>
      <c r="P40" s="600">
        <f>SUM(P39:P39)</f>
        <v>0</v>
      </c>
      <c r="Q40" s="600">
        <f>SUM(Q39:Q39)</f>
        <v>3831.4285714285716</v>
      </c>
      <c r="R40" s="600">
        <f>SUM(R39:R39)</f>
        <v>0</v>
      </c>
      <c r="S40" s="600">
        <f>SUM(S39:S39)</f>
        <v>0</v>
      </c>
      <c r="T40" s="600">
        <f>SUM(T39:T39)</f>
        <v>0</v>
      </c>
      <c r="U40" s="600">
        <f>SUM(U39:U39)</f>
        <v>0</v>
      </c>
      <c r="V40" s="600">
        <f>SUM(V39:V39)</f>
        <v>0</v>
      </c>
      <c r="W40" s="600">
        <f>SUM(W39:W39)</f>
        <v>0</v>
      </c>
      <c r="X40" s="601"/>
      <c r="Y40" s="601"/>
      <c r="Z40" s="602"/>
    </row>
    <row r="41" spans="1:27" s="576" customFormat="1">
      <c r="A41" s="598" t="s">
        <v>286</v>
      </c>
      <c r="B41" s="599"/>
      <c r="C41" s="599"/>
      <c r="D41" s="599"/>
      <c r="E41" s="599"/>
      <c r="F41" s="599"/>
      <c r="G41" s="599"/>
      <c r="H41" s="599"/>
      <c r="I41" s="599"/>
      <c r="J41" s="599"/>
      <c r="K41" s="599"/>
      <c r="L41" s="600"/>
      <c r="M41" s="600">
        <f>SUMIF($Z$39:$Z$39,"industrie",M39:M39)</f>
        <v>0</v>
      </c>
      <c r="N41" s="600">
        <f>SUMIF($Z$39:$Z$39,"industrie",N39:N39)</f>
        <v>0</v>
      </c>
      <c r="O41" s="600">
        <f>SUMIF($Z$39:$Z$39,"industrie",O39:O39)</f>
        <v>0</v>
      </c>
      <c r="P41" s="600">
        <f>SUMIF($Z$39:$Z$39,"industrie",P39:P39)</f>
        <v>0</v>
      </c>
      <c r="Q41" s="600">
        <f>SUMIF($Z$39:$Z$39,"industrie",Q39:Q39)</f>
        <v>0</v>
      </c>
      <c r="R41" s="600">
        <f>SUMIF($Z$39:$Z$39,"industrie",R39:R39)</f>
        <v>0</v>
      </c>
      <c r="S41" s="600">
        <f>SUMIF($Z$39:$Z$39,"industrie",S39:S39)</f>
        <v>0</v>
      </c>
      <c r="T41" s="600">
        <f>SUMIF($Z$39:$Z$39,"industrie",T39:T39)</f>
        <v>0</v>
      </c>
      <c r="U41" s="600">
        <f>SUMIF($Z$39:$Z$39,"industrie",U39:U39)</f>
        <v>0</v>
      </c>
      <c r="V41" s="600">
        <f>SUMIF($Z$39:$Z$39,"industrie",V39:V39)</f>
        <v>0</v>
      </c>
      <c r="W41" s="600">
        <f>SUMIF($Z$39:$Z$39,"industrie",W39:W39)</f>
        <v>0</v>
      </c>
      <c r="X41" s="601"/>
      <c r="Y41" s="601"/>
      <c r="Z41" s="602"/>
    </row>
    <row r="42" spans="1:27" s="576" customFormat="1">
      <c r="A42" s="598" t="s">
        <v>287</v>
      </c>
      <c r="B42" s="599"/>
      <c r="C42" s="599"/>
      <c r="D42" s="599"/>
      <c r="E42" s="599"/>
      <c r="F42" s="599"/>
      <c r="G42" s="599"/>
      <c r="H42" s="599"/>
      <c r="I42" s="599"/>
      <c r="J42" s="599"/>
      <c r="K42" s="599"/>
      <c r="L42" s="600"/>
      <c r="M42" s="600">
        <f>SUMIF($Z$39:$Z$40,"tertiair",M39:M40)</f>
        <v>298</v>
      </c>
      <c r="N42" s="600">
        <f>SUMIF($Z$39:$Z$40,"tertiair",N39:N40)</f>
        <v>1341</v>
      </c>
      <c r="O42" s="600">
        <f>SUMIF($Z$39:$Z$40,"tertiair",O39:O40)</f>
        <v>0</v>
      </c>
      <c r="P42" s="600">
        <f>SUMIF($Z$39:$Z$40,"tertiair",P39:P40)</f>
        <v>0</v>
      </c>
      <c r="Q42" s="600">
        <f>SUMIF($Z$39:$Z$40,"tertiair",Q39:Q40)</f>
        <v>3831.4285714285716</v>
      </c>
      <c r="R42" s="600">
        <f>SUMIF($Z$39:$Z$40,"tertiair",R39:R40)</f>
        <v>0</v>
      </c>
      <c r="S42" s="600">
        <f>SUMIF($Z$39:$Z$40,"tertiair",S39:S40)</f>
        <v>0</v>
      </c>
      <c r="T42" s="600">
        <f>SUMIF($Z$39:$Z$40,"tertiair",T39:T40)</f>
        <v>0</v>
      </c>
      <c r="U42" s="600">
        <f>SUMIF($Z$39:$Z$40,"tertiair",U39:U40)</f>
        <v>0</v>
      </c>
      <c r="V42" s="600">
        <f>SUMIF($Z$39:$Z$40,"tertiair",V39:V40)</f>
        <v>0</v>
      </c>
      <c r="W42" s="600">
        <f>SUMIF($Z$39:$Z$40,"tertiair",W39:W40)</f>
        <v>0</v>
      </c>
      <c r="X42" s="601"/>
      <c r="Y42" s="601"/>
      <c r="Z42" s="602"/>
    </row>
    <row r="43" spans="1:27" s="576" customFormat="1" ht="15.75" thickBot="1">
      <c r="A43" s="603" t="s">
        <v>288</v>
      </c>
      <c r="B43" s="604"/>
      <c r="C43" s="604"/>
      <c r="D43" s="604"/>
      <c r="E43" s="604"/>
      <c r="F43" s="604"/>
      <c r="G43" s="604"/>
      <c r="H43" s="604"/>
      <c r="I43" s="604"/>
      <c r="J43" s="604"/>
      <c r="K43" s="604"/>
      <c r="L43" s="605"/>
      <c r="M43" s="605">
        <f>SUMIF($Z$39:$Z$41,"landbouw",M39:M41)</f>
        <v>0</v>
      </c>
      <c r="N43" s="605">
        <f>SUMIF($Z$39:$Z$41,"landbouw",N39:N41)</f>
        <v>0</v>
      </c>
      <c r="O43" s="605">
        <f>SUMIF($Z$39:$Z$41,"landbouw",O39:O41)</f>
        <v>0</v>
      </c>
      <c r="P43" s="605">
        <f>SUMIF($Z$39:$Z$41,"landbouw",P39:P41)</f>
        <v>0</v>
      </c>
      <c r="Q43" s="605">
        <f>SUMIF($Z$39:$Z$41,"landbouw",Q39:Q41)</f>
        <v>0</v>
      </c>
      <c r="R43" s="605">
        <f>SUMIF($Z$39:$Z$41,"landbouw",R39:R41)</f>
        <v>0</v>
      </c>
      <c r="S43" s="605">
        <f>SUMIF($Z$39:$Z$41,"landbouw",S39:S41)</f>
        <v>0</v>
      </c>
      <c r="T43" s="605">
        <f>SUMIF($Z$39:$Z$41,"landbouw",T39:T41)</f>
        <v>0</v>
      </c>
      <c r="U43" s="605">
        <f>SUMIF($Z$39:$Z$41,"landbouw",U39:U41)</f>
        <v>0</v>
      </c>
      <c r="V43" s="605">
        <f>SUMIF($Z$39:$Z$41,"landbouw",V39:V41)</f>
        <v>0</v>
      </c>
      <c r="W43" s="605">
        <f>SUMIF($Z$39:$Z$41,"landbouw",W39:W41)</f>
        <v>0</v>
      </c>
      <c r="X43" s="606"/>
      <c r="Y43" s="606"/>
      <c r="Z43" s="607"/>
    </row>
    <row r="44" spans="1:27" s="612" customForma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row>
    <row r="45" spans="1:27" s="612" customFormat="1" ht="15.75" thickBot="1">
      <c r="A45" s="608"/>
      <c r="B45" s="592"/>
      <c r="C45" s="592"/>
      <c r="D45" s="592"/>
      <c r="E45" s="592"/>
      <c r="F45" s="592"/>
      <c r="G45" s="592"/>
      <c r="H45" s="592"/>
      <c r="I45" s="592"/>
      <c r="J45" s="592"/>
      <c r="K45" s="592"/>
      <c r="L45" s="592"/>
      <c r="M45" s="592"/>
      <c r="N45" s="592"/>
      <c r="O45" s="592"/>
      <c r="P45" s="592"/>
      <c r="Q45" s="592"/>
      <c r="R45" s="592"/>
      <c r="S45" s="592"/>
      <c r="T45" s="592"/>
      <c r="U45" s="592"/>
      <c r="V45" s="592"/>
      <c r="W45" s="592"/>
      <c r="X45" s="592"/>
      <c r="Y45" s="592"/>
      <c r="Z45" s="592"/>
      <c r="AA45" s="592"/>
    </row>
    <row r="46" spans="1:27">
      <c r="A46" s="613" t="s">
        <v>281</v>
      </c>
      <c r="B46" s="614"/>
      <c r="C46" s="614"/>
      <c r="D46" s="614"/>
      <c r="E46" s="614"/>
      <c r="F46" s="614"/>
      <c r="G46" s="614"/>
      <c r="H46" s="614"/>
      <c r="I46" s="615"/>
      <c r="J46" s="616"/>
      <c r="K46" s="616"/>
      <c r="L46" s="617"/>
      <c r="M46" s="617"/>
      <c r="N46" s="617"/>
      <c r="O46" s="617"/>
      <c r="P46" s="617"/>
    </row>
    <row r="47" spans="1:27">
      <c r="A47" s="619"/>
      <c r="B47" s="609"/>
      <c r="C47" s="609"/>
      <c r="D47" s="609"/>
      <c r="E47" s="609"/>
      <c r="F47" s="609"/>
      <c r="G47" s="609"/>
      <c r="H47" s="609"/>
      <c r="I47" s="620"/>
      <c r="J47" s="609"/>
      <c r="K47" s="609"/>
      <c r="L47" s="617"/>
      <c r="M47" s="617"/>
      <c r="N47" s="617"/>
      <c r="O47" s="617"/>
      <c r="P47" s="617"/>
    </row>
    <row r="48" spans="1:27">
      <c r="A48" s="621"/>
      <c r="B48" s="622" t="s">
        <v>282</v>
      </c>
      <c r="C48" s="622" t="s">
        <v>283</v>
      </c>
      <c r="D48" s="622"/>
      <c r="E48" s="622"/>
      <c r="F48" s="622"/>
      <c r="G48" s="622"/>
      <c r="H48" s="622"/>
      <c r="I48" s="623"/>
      <c r="J48" s="622"/>
      <c r="K48" s="622"/>
      <c r="L48" s="622"/>
      <c r="M48" s="622"/>
      <c r="N48" s="622"/>
      <c r="O48" s="622"/>
      <c r="P48" s="617"/>
    </row>
    <row r="49" spans="1:16">
      <c r="A49" s="619" t="s">
        <v>279</v>
      </c>
      <c r="B49" s="624">
        <f>IF(ISERROR(O33/(O33+N33)),0,O33/(O33+N33))</f>
        <v>0.58823529411764708</v>
      </c>
      <c r="C49" s="625">
        <f>IF(ISERROR(N33/(O33+N33)),0,N33/(N33+O33))</f>
        <v>0.41176470588235298</v>
      </c>
      <c r="D49" s="592"/>
      <c r="E49" s="592"/>
      <c r="F49" s="592"/>
      <c r="G49" s="592"/>
      <c r="H49" s="592"/>
      <c r="I49" s="626"/>
      <c r="J49" s="592"/>
      <c r="K49" s="592"/>
      <c r="L49" s="627"/>
      <c r="M49" s="627"/>
      <c r="N49" s="627"/>
      <c r="O49" s="627"/>
      <c r="P49" s="617"/>
    </row>
    <row r="50" spans="1:16">
      <c r="A50" s="619"/>
      <c r="B50" s="628"/>
      <c r="C50" s="628"/>
      <c r="D50" s="628"/>
      <c r="E50" s="628"/>
      <c r="F50" s="628"/>
      <c r="G50" s="628"/>
      <c r="H50" s="628"/>
      <c r="I50" s="629"/>
      <c r="J50" s="628"/>
      <c r="K50" s="628"/>
      <c r="L50" s="630"/>
      <c r="M50" s="630"/>
      <c r="N50" s="630"/>
      <c r="O50" s="630"/>
      <c r="P50" s="617"/>
    </row>
    <row r="51" spans="1:16" ht="30">
      <c r="A51" s="631"/>
      <c r="B51" s="632" t="s">
        <v>525</v>
      </c>
      <c r="C51" s="632" t="s">
        <v>102</v>
      </c>
      <c r="D51" s="632" t="s">
        <v>103</v>
      </c>
      <c r="E51" s="632" t="s">
        <v>104</v>
      </c>
      <c r="F51" s="632" t="s">
        <v>105</v>
      </c>
      <c r="G51" s="632" t="s">
        <v>106</v>
      </c>
      <c r="H51" s="632" t="s">
        <v>107</v>
      </c>
      <c r="I51" s="633" t="s">
        <v>108</v>
      </c>
      <c r="J51" s="622"/>
      <c r="K51" s="622"/>
      <c r="L51" s="630"/>
      <c r="M51" s="630"/>
      <c r="N51" s="630"/>
      <c r="O51" s="617"/>
      <c r="P51" s="617"/>
    </row>
    <row r="52" spans="1:16">
      <c r="A52" s="621" t="s">
        <v>284</v>
      </c>
      <c r="B52" s="634">
        <f t="shared" ref="B52:I52" si="2">$C$49*P33</f>
        <v>8640.0000000000018</v>
      </c>
      <c r="C52" s="634">
        <f t="shared" si="2"/>
        <v>19565.470588235297</v>
      </c>
      <c r="D52" s="634">
        <f t="shared" si="2"/>
        <v>0</v>
      </c>
      <c r="E52" s="634">
        <f t="shared" si="2"/>
        <v>0</v>
      </c>
      <c r="F52" s="634">
        <f t="shared" si="2"/>
        <v>0</v>
      </c>
      <c r="G52" s="634">
        <f t="shared" si="2"/>
        <v>0</v>
      </c>
      <c r="H52" s="634">
        <f t="shared" si="2"/>
        <v>0</v>
      </c>
      <c r="I52" s="635">
        <f t="shared" si="2"/>
        <v>0</v>
      </c>
      <c r="J52" s="592"/>
      <c r="K52" s="592"/>
      <c r="L52" s="630"/>
      <c r="M52" s="630"/>
      <c r="N52" s="630"/>
      <c r="O52" s="617"/>
      <c r="P52" s="617"/>
    </row>
    <row r="53" spans="1:16" ht="15.75" thickBot="1">
      <c r="A53" s="636" t="s">
        <v>285</v>
      </c>
      <c r="B53" s="637">
        <f t="shared" ref="B53:I53" si="3">$B$49*P33</f>
        <v>12342.857142857145</v>
      </c>
      <c r="C53" s="637">
        <f t="shared" si="3"/>
        <v>27950.672268907569</v>
      </c>
      <c r="D53" s="637">
        <f t="shared" si="3"/>
        <v>0</v>
      </c>
      <c r="E53" s="637">
        <f t="shared" si="3"/>
        <v>0</v>
      </c>
      <c r="F53" s="637">
        <f t="shared" si="3"/>
        <v>0</v>
      </c>
      <c r="G53" s="637">
        <f t="shared" si="3"/>
        <v>0</v>
      </c>
      <c r="H53" s="637">
        <f t="shared" si="3"/>
        <v>0</v>
      </c>
      <c r="I53" s="638">
        <f t="shared" si="3"/>
        <v>0</v>
      </c>
      <c r="J53" s="592"/>
      <c r="K53" s="592"/>
      <c r="L53" s="630"/>
      <c r="M53" s="630"/>
      <c r="N53" s="630"/>
      <c r="O53" s="617"/>
      <c r="P53" s="617"/>
    </row>
    <row r="54" spans="1:16">
      <c r="J54" s="572"/>
      <c r="K54" s="572"/>
      <c r="L54" s="572"/>
      <c r="M54" s="572"/>
      <c r="N54" s="572"/>
    </row>
    <row r="55" spans="1:16">
      <c r="J55" s="572"/>
      <c r="K55" s="572"/>
      <c r="L55" s="572"/>
      <c r="M55" s="572"/>
      <c r="N55"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25919.983631353141</v>
      </c>
      <c r="C4" s="455">
        <f>huishoudens!C8</f>
        <v>0</v>
      </c>
      <c r="D4" s="455">
        <f>huishoudens!D8</f>
        <v>32769.33570787809</v>
      </c>
      <c r="E4" s="455">
        <f>huishoudens!E8</f>
        <v>15197.755132190039</v>
      </c>
      <c r="F4" s="455">
        <f>huishoudens!F8</f>
        <v>46443.337129506312</v>
      </c>
      <c r="G4" s="455">
        <f>huishoudens!G8</f>
        <v>0</v>
      </c>
      <c r="H4" s="455">
        <f>huishoudens!H8</f>
        <v>0</v>
      </c>
      <c r="I4" s="455">
        <f>huishoudens!I8</f>
        <v>0</v>
      </c>
      <c r="J4" s="455">
        <f>huishoudens!J8</f>
        <v>346.87650121048716</v>
      </c>
      <c r="K4" s="455">
        <f>huishoudens!K8</f>
        <v>0</v>
      </c>
      <c r="L4" s="455">
        <f>huishoudens!L8</f>
        <v>0</v>
      </c>
      <c r="M4" s="455">
        <f>huishoudens!M8</f>
        <v>0</v>
      </c>
      <c r="N4" s="455">
        <f>huishoudens!N8</f>
        <v>24487.898084013766</v>
      </c>
      <c r="O4" s="455">
        <f>huishoudens!O8</f>
        <v>365.04831236721384</v>
      </c>
      <c r="P4" s="456">
        <f>huishoudens!P8</f>
        <v>979.65821561470705</v>
      </c>
      <c r="Q4" s="457">
        <f>SUM(B4:P4)</f>
        <v>146509.89271413375</v>
      </c>
    </row>
    <row r="5" spans="1:17">
      <c r="A5" s="454" t="s">
        <v>155</v>
      </c>
      <c r="B5" s="455">
        <f ca="1">tertiair!B16</f>
        <v>11335.336166454796</v>
      </c>
      <c r="C5" s="455">
        <f ca="1">tertiair!C16</f>
        <v>450.00000000000011</v>
      </c>
      <c r="D5" s="455">
        <f ca="1">tertiair!D16</f>
        <v>8948.7908996412152</v>
      </c>
      <c r="E5" s="455">
        <f>tertiair!E16</f>
        <v>30.40842727696889</v>
      </c>
      <c r="F5" s="455">
        <f ca="1">tertiair!F16</f>
        <v>1470.2231136280679</v>
      </c>
      <c r="G5" s="455">
        <f>tertiair!G16</f>
        <v>0</v>
      </c>
      <c r="H5" s="455">
        <f>tertiair!H16</f>
        <v>0</v>
      </c>
      <c r="I5" s="455">
        <f>tertiair!I16</f>
        <v>0</v>
      </c>
      <c r="J5" s="455">
        <f>tertiair!J16</f>
        <v>1.1060688322208693E-2</v>
      </c>
      <c r="K5" s="455">
        <f>tertiair!K16</f>
        <v>0</v>
      </c>
      <c r="L5" s="455">
        <f ca="1">tertiair!L16</f>
        <v>0</v>
      </c>
      <c r="M5" s="455">
        <f>tertiair!M16</f>
        <v>0</v>
      </c>
      <c r="N5" s="455">
        <f ca="1">tertiair!N16</f>
        <v>0</v>
      </c>
      <c r="O5" s="455">
        <f>tertiair!O16</f>
        <v>4.8972607658411542</v>
      </c>
      <c r="P5" s="456">
        <f>tertiair!P16</f>
        <v>52.539138306495019</v>
      </c>
      <c r="Q5" s="454">
        <f t="shared" ref="Q5:Q14" ca="1" si="0">SUM(B5:P5)</f>
        <v>22292.206066761704</v>
      </c>
    </row>
    <row r="6" spans="1:17">
      <c r="A6" s="454" t="s">
        <v>193</v>
      </c>
      <c r="B6" s="455">
        <f>'openbare verlichting'!B8</f>
        <v>692.178</v>
      </c>
      <c r="C6" s="455"/>
      <c r="D6" s="455"/>
      <c r="E6" s="455"/>
      <c r="F6" s="455"/>
      <c r="G6" s="455"/>
      <c r="H6" s="455"/>
      <c r="I6" s="455"/>
      <c r="J6" s="455"/>
      <c r="K6" s="455"/>
      <c r="L6" s="455"/>
      <c r="M6" s="455"/>
      <c r="N6" s="455"/>
      <c r="O6" s="455"/>
      <c r="P6" s="456"/>
      <c r="Q6" s="454">
        <f t="shared" si="0"/>
        <v>692.178</v>
      </c>
    </row>
    <row r="7" spans="1:17">
      <c r="A7" s="454" t="s">
        <v>111</v>
      </c>
      <c r="B7" s="455">
        <f>landbouw!B8</f>
        <v>1251.9577730114599</v>
      </c>
      <c r="C7" s="455">
        <f>landbouw!C8</f>
        <v>33799.5</v>
      </c>
      <c r="D7" s="455">
        <f>landbouw!D8</f>
        <v>3431.4737343935994</v>
      </c>
      <c r="E7" s="455">
        <f>landbouw!E8</f>
        <v>46.689334821247073</v>
      </c>
      <c r="F7" s="455">
        <f>landbouw!F8</f>
        <v>4061.834791175555</v>
      </c>
      <c r="G7" s="455">
        <f>landbouw!G8</f>
        <v>0</v>
      </c>
      <c r="H7" s="455">
        <f>landbouw!H8</f>
        <v>0</v>
      </c>
      <c r="I7" s="455">
        <f>landbouw!I8</f>
        <v>0</v>
      </c>
      <c r="J7" s="455">
        <f>landbouw!J8</f>
        <v>328.64509621476878</v>
      </c>
      <c r="K7" s="455">
        <f>landbouw!K8</f>
        <v>0</v>
      </c>
      <c r="L7" s="455">
        <f>landbouw!L8</f>
        <v>0</v>
      </c>
      <c r="M7" s="455">
        <f>landbouw!M8</f>
        <v>0</v>
      </c>
      <c r="N7" s="455">
        <f>landbouw!N8</f>
        <v>0</v>
      </c>
      <c r="O7" s="455">
        <f>landbouw!O8</f>
        <v>0</v>
      </c>
      <c r="P7" s="456">
        <f>landbouw!P8</f>
        <v>0</v>
      </c>
      <c r="Q7" s="454">
        <f t="shared" si="0"/>
        <v>42920.100729616635</v>
      </c>
    </row>
    <row r="8" spans="1:17">
      <c r="A8" s="454" t="s">
        <v>626</v>
      </c>
      <c r="B8" s="455">
        <f>industrie!B18</f>
        <v>4459.4000146254721</v>
      </c>
      <c r="C8" s="455">
        <f>industrie!C18</f>
        <v>0</v>
      </c>
      <c r="D8" s="455">
        <f>industrie!D18</f>
        <v>5626.5094356321142</v>
      </c>
      <c r="E8" s="455">
        <f>industrie!E18</f>
        <v>9.9937463324314475</v>
      </c>
      <c r="F8" s="455">
        <f>industrie!F18</f>
        <v>700.10055435842935</v>
      </c>
      <c r="G8" s="455">
        <f>industrie!G18</f>
        <v>0</v>
      </c>
      <c r="H8" s="455">
        <f>industrie!H18</f>
        <v>0</v>
      </c>
      <c r="I8" s="455">
        <f>industrie!I18</f>
        <v>0</v>
      </c>
      <c r="J8" s="455">
        <f>industrie!J18</f>
        <v>0.24201331886460631</v>
      </c>
      <c r="K8" s="455">
        <f>industrie!K18</f>
        <v>0</v>
      </c>
      <c r="L8" s="455">
        <f>industrie!L18</f>
        <v>0</v>
      </c>
      <c r="M8" s="455">
        <f>industrie!M18</f>
        <v>0</v>
      </c>
      <c r="N8" s="455">
        <f>industrie!N18</f>
        <v>146.69553198553425</v>
      </c>
      <c r="O8" s="455">
        <f>industrie!O18</f>
        <v>0</v>
      </c>
      <c r="P8" s="456">
        <f>industrie!P18</f>
        <v>0</v>
      </c>
      <c r="Q8" s="454">
        <f t="shared" si="0"/>
        <v>10942.941296252846</v>
      </c>
    </row>
    <row r="9" spans="1:17" s="460" customFormat="1">
      <c r="A9" s="458" t="s">
        <v>552</v>
      </c>
      <c r="B9" s="459">
        <f>transport!B14</f>
        <v>74.835914389977845</v>
      </c>
      <c r="C9" s="459">
        <f>transport!C14</f>
        <v>0</v>
      </c>
      <c r="D9" s="459">
        <f>transport!D14</f>
        <v>283.18961315804938</v>
      </c>
      <c r="E9" s="459">
        <f>transport!E14</f>
        <v>153.05564683431504</v>
      </c>
      <c r="F9" s="459">
        <f>transport!F14</f>
        <v>0</v>
      </c>
      <c r="G9" s="459">
        <f>transport!G14</f>
        <v>61256.802727919669</v>
      </c>
      <c r="H9" s="459">
        <f>transport!H14</f>
        <v>18095.695022727101</v>
      </c>
      <c r="I9" s="459">
        <f>transport!I14</f>
        <v>0</v>
      </c>
      <c r="J9" s="459">
        <f>transport!J14</f>
        <v>0</v>
      </c>
      <c r="K9" s="459">
        <f>transport!K14</f>
        <v>0</v>
      </c>
      <c r="L9" s="459">
        <f>transport!L14</f>
        <v>0</v>
      </c>
      <c r="M9" s="459">
        <f>transport!M14</f>
        <v>4706.798604573798</v>
      </c>
      <c r="N9" s="459">
        <f>transport!N14</f>
        <v>0</v>
      </c>
      <c r="O9" s="459">
        <f>transport!O14</f>
        <v>0</v>
      </c>
      <c r="P9" s="459">
        <f>transport!P14</f>
        <v>0</v>
      </c>
      <c r="Q9" s="458">
        <f>SUM(B9:P9)</f>
        <v>84570.377529602905</v>
      </c>
    </row>
    <row r="10" spans="1:17">
      <c r="A10" s="454" t="s">
        <v>542</v>
      </c>
      <c r="B10" s="455">
        <f>transport!B54</f>
        <v>0</v>
      </c>
      <c r="C10" s="455">
        <f>transport!C54</f>
        <v>0</v>
      </c>
      <c r="D10" s="455">
        <f>transport!D54</f>
        <v>0</v>
      </c>
      <c r="E10" s="455">
        <f>transport!E54</f>
        <v>0</v>
      </c>
      <c r="F10" s="455">
        <f>transport!F54</f>
        <v>0</v>
      </c>
      <c r="G10" s="455">
        <f>transport!G54</f>
        <v>1081.5964988687763</v>
      </c>
      <c r="H10" s="455">
        <f>transport!H54</f>
        <v>0</v>
      </c>
      <c r="I10" s="455">
        <f>transport!I54</f>
        <v>0</v>
      </c>
      <c r="J10" s="455">
        <f>transport!J54</f>
        <v>0</v>
      </c>
      <c r="K10" s="455">
        <f>transport!K54</f>
        <v>0</v>
      </c>
      <c r="L10" s="455">
        <f>transport!L54</f>
        <v>0</v>
      </c>
      <c r="M10" s="455">
        <f>transport!M54</f>
        <v>58.693586357038676</v>
      </c>
      <c r="N10" s="455">
        <f>transport!N54</f>
        <v>0</v>
      </c>
      <c r="O10" s="455">
        <f>transport!O54</f>
        <v>0</v>
      </c>
      <c r="P10" s="456">
        <f>transport!P54</f>
        <v>0</v>
      </c>
      <c r="Q10" s="454">
        <f t="shared" si="0"/>
        <v>1140.2900852258149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768.78529346785001</v>
      </c>
      <c r="C14" s="462"/>
      <c r="D14" s="462">
        <f>'SEAP template'!E25</f>
        <v>1139.3417854323</v>
      </c>
      <c r="E14" s="462"/>
      <c r="F14" s="462"/>
      <c r="G14" s="462"/>
      <c r="H14" s="462"/>
      <c r="I14" s="462"/>
      <c r="J14" s="462"/>
      <c r="K14" s="462"/>
      <c r="L14" s="462"/>
      <c r="M14" s="462"/>
      <c r="N14" s="462"/>
      <c r="O14" s="462"/>
      <c r="P14" s="463"/>
      <c r="Q14" s="454">
        <f t="shared" si="0"/>
        <v>1908.1270789001501</v>
      </c>
    </row>
    <row r="15" spans="1:17" s="466" customFormat="1">
      <c r="A15" s="464" t="s">
        <v>546</v>
      </c>
      <c r="B15" s="465">
        <f ca="1">SUM(B4:B14)</f>
        <v>44502.476793302703</v>
      </c>
      <c r="C15" s="465">
        <f t="shared" ref="C15:Q15" ca="1" si="1">SUM(C4:C14)</f>
        <v>34249.5</v>
      </c>
      <c r="D15" s="465">
        <f t="shared" ca="1" si="1"/>
        <v>52198.641176135367</v>
      </c>
      <c r="E15" s="465">
        <f t="shared" si="1"/>
        <v>15437.902287455001</v>
      </c>
      <c r="F15" s="465">
        <f t="shared" ca="1" si="1"/>
        <v>52675.495588668367</v>
      </c>
      <c r="G15" s="465">
        <f t="shared" si="1"/>
        <v>62338.399226788446</v>
      </c>
      <c r="H15" s="465">
        <f t="shared" si="1"/>
        <v>18095.695022727101</v>
      </c>
      <c r="I15" s="465">
        <f t="shared" si="1"/>
        <v>0</v>
      </c>
      <c r="J15" s="465">
        <f t="shared" si="1"/>
        <v>675.7746714324428</v>
      </c>
      <c r="K15" s="465">
        <f t="shared" si="1"/>
        <v>0</v>
      </c>
      <c r="L15" s="465">
        <f t="shared" ca="1" si="1"/>
        <v>0</v>
      </c>
      <c r="M15" s="465">
        <f t="shared" si="1"/>
        <v>4765.4921909308368</v>
      </c>
      <c r="N15" s="465">
        <f t="shared" ca="1" si="1"/>
        <v>24634.5936159993</v>
      </c>
      <c r="O15" s="465">
        <f t="shared" si="1"/>
        <v>369.94557313305501</v>
      </c>
      <c r="P15" s="465">
        <f t="shared" si="1"/>
        <v>1032.197353921202</v>
      </c>
      <c r="Q15" s="465">
        <f t="shared" ca="1" si="1"/>
        <v>310976.11350049387</v>
      </c>
    </row>
    <row r="17" spans="1:17">
      <c r="A17" s="467" t="s">
        <v>547</v>
      </c>
      <c r="B17" s="784">
        <f ca="1">huishoudens!B10</f>
        <v>0.10077397217385363</v>
      </c>
      <c r="C17" s="784">
        <f ca="1">huishoudens!C10</f>
        <v>7.2796891716875978E-2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2612.0597092127232</v>
      </c>
      <c r="C22" s="455">
        <f t="shared" ref="C22:C32" ca="1" si="3">C4*$C$17</f>
        <v>0</v>
      </c>
      <c r="D22" s="455">
        <f t="shared" ref="D22:D32" si="4">D4*$D$17</f>
        <v>6619.4058129913747</v>
      </c>
      <c r="E22" s="455">
        <f t="shared" ref="E22:E32" si="5">E4*$E$17</f>
        <v>3449.8904150071389</v>
      </c>
      <c r="F22" s="455">
        <f t="shared" ref="F22:F32" si="6">F4*$F$17</f>
        <v>12400.371013578186</v>
      </c>
      <c r="G22" s="455">
        <f t="shared" ref="G22:G32" si="7">G4*$G$17</f>
        <v>0</v>
      </c>
      <c r="H22" s="455">
        <f t="shared" ref="H22:H32" si="8">H4*$H$17</f>
        <v>0</v>
      </c>
      <c r="I22" s="455">
        <f t="shared" ref="I22:I32" si="9">I4*$I$17</f>
        <v>0</v>
      </c>
      <c r="J22" s="455">
        <f t="shared" ref="J22:J32" si="10">J4*$J$17</f>
        <v>122.79428142851245</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25204.521232217936</v>
      </c>
    </row>
    <row r="23" spans="1:17">
      <c r="A23" s="454" t="s">
        <v>155</v>
      </c>
      <c r="B23" s="455">
        <f t="shared" ca="1" si="2"/>
        <v>1142.3068514195922</v>
      </c>
      <c r="C23" s="455">
        <f t="shared" ca="1" si="3"/>
        <v>32.758601272594198</v>
      </c>
      <c r="D23" s="455">
        <f t="shared" ca="1" si="4"/>
        <v>1807.6557617275255</v>
      </c>
      <c r="E23" s="455">
        <f t="shared" si="5"/>
        <v>6.9027129918719385</v>
      </c>
      <c r="F23" s="455">
        <f t="shared" ca="1" si="6"/>
        <v>392.54957133869419</v>
      </c>
      <c r="G23" s="455">
        <f t="shared" si="7"/>
        <v>0</v>
      </c>
      <c r="H23" s="455">
        <f t="shared" si="8"/>
        <v>0</v>
      </c>
      <c r="I23" s="455">
        <f t="shared" si="9"/>
        <v>0</v>
      </c>
      <c r="J23" s="455">
        <f t="shared" si="10"/>
        <v>3.9154836660618766E-3</v>
      </c>
      <c r="K23" s="455">
        <f t="shared" si="11"/>
        <v>0</v>
      </c>
      <c r="L23" s="455">
        <f t="shared" ca="1" si="12"/>
        <v>0</v>
      </c>
      <c r="M23" s="455">
        <f t="shared" si="13"/>
        <v>0</v>
      </c>
      <c r="N23" s="455">
        <f t="shared" ca="1" si="14"/>
        <v>0</v>
      </c>
      <c r="O23" s="455">
        <f t="shared" si="15"/>
        <v>0</v>
      </c>
      <c r="P23" s="456">
        <f t="shared" si="16"/>
        <v>0</v>
      </c>
      <c r="Q23" s="454">
        <f t="shared" ref="Q23:Q31" ca="1" si="17">SUM(B23:P23)</f>
        <v>3382.1774142339436</v>
      </c>
    </row>
    <row r="24" spans="1:17">
      <c r="A24" s="454" t="s">
        <v>193</v>
      </c>
      <c r="B24" s="455">
        <f t="shared" ca="1" si="2"/>
        <v>69.753526511353655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69.753526511353655</v>
      </c>
    </row>
    <row r="25" spans="1:17">
      <c r="A25" s="454" t="s">
        <v>111</v>
      </c>
      <c r="B25" s="455">
        <f t="shared" ca="1" si="2"/>
        <v>126.16475778029663</v>
      </c>
      <c r="C25" s="455">
        <f t="shared" ca="1" si="3"/>
        <v>2460.4985415845495</v>
      </c>
      <c r="D25" s="455">
        <f t="shared" si="4"/>
        <v>693.15769434750712</v>
      </c>
      <c r="E25" s="455">
        <f t="shared" si="5"/>
        <v>10.598479004423085</v>
      </c>
      <c r="F25" s="455">
        <f t="shared" si="6"/>
        <v>1084.5098892438732</v>
      </c>
      <c r="G25" s="455">
        <f t="shared" si="7"/>
        <v>0</v>
      </c>
      <c r="H25" s="455">
        <f t="shared" si="8"/>
        <v>0</v>
      </c>
      <c r="I25" s="455">
        <f t="shared" si="9"/>
        <v>0</v>
      </c>
      <c r="J25" s="455">
        <f t="shared" si="10"/>
        <v>116.34036406002815</v>
      </c>
      <c r="K25" s="455">
        <f t="shared" si="11"/>
        <v>0</v>
      </c>
      <c r="L25" s="455">
        <f t="shared" si="12"/>
        <v>0</v>
      </c>
      <c r="M25" s="455">
        <f t="shared" si="13"/>
        <v>0</v>
      </c>
      <c r="N25" s="455">
        <f t="shared" si="14"/>
        <v>0</v>
      </c>
      <c r="O25" s="455">
        <f t="shared" si="15"/>
        <v>0</v>
      </c>
      <c r="P25" s="456">
        <f t="shared" si="16"/>
        <v>0</v>
      </c>
      <c r="Q25" s="454">
        <f t="shared" ca="1" si="17"/>
        <v>4491.2697260206769</v>
      </c>
    </row>
    <row r="26" spans="1:17">
      <c r="A26" s="454" t="s">
        <v>626</v>
      </c>
      <c r="B26" s="455">
        <f t="shared" ca="1" si="2"/>
        <v>449.3914529859498</v>
      </c>
      <c r="C26" s="455">
        <f t="shared" ca="1" si="3"/>
        <v>0</v>
      </c>
      <c r="D26" s="455">
        <f t="shared" si="4"/>
        <v>1136.5549059976872</v>
      </c>
      <c r="E26" s="455">
        <f t="shared" si="5"/>
        <v>2.2685804174619388</v>
      </c>
      <c r="F26" s="455">
        <f t="shared" si="6"/>
        <v>186.92684801370063</v>
      </c>
      <c r="G26" s="455">
        <f t="shared" si="7"/>
        <v>0</v>
      </c>
      <c r="H26" s="455">
        <f t="shared" si="8"/>
        <v>0</v>
      </c>
      <c r="I26" s="455">
        <f t="shared" si="9"/>
        <v>0</v>
      </c>
      <c r="J26" s="455">
        <f t="shared" si="10"/>
        <v>8.5672714878070627E-2</v>
      </c>
      <c r="K26" s="455">
        <f t="shared" si="11"/>
        <v>0</v>
      </c>
      <c r="L26" s="455">
        <f t="shared" si="12"/>
        <v>0</v>
      </c>
      <c r="M26" s="455">
        <f t="shared" si="13"/>
        <v>0</v>
      </c>
      <c r="N26" s="455">
        <f t="shared" si="14"/>
        <v>0</v>
      </c>
      <c r="O26" s="455">
        <f t="shared" si="15"/>
        <v>0</v>
      </c>
      <c r="P26" s="456">
        <f t="shared" si="16"/>
        <v>0</v>
      </c>
      <c r="Q26" s="454">
        <f t="shared" ca="1" si="17"/>
        <v>1775.2274601296776</v>
      </c>
    </row>
    <row r="27" spans="1:17" s="460" customFormat="1">
      <c r="A27" s="458" t="s">
        <v>552</v>
      </c>
      <c r="B27" s="778">
        <f t="shared" ca="1" si="2"/>
        <v>7.5415123543405196</v>
      </c>
      <c r="C27" s="459">
        <f t="shared" ca="1" si="3"/>
        <v>0</v>
      </c>
      <c r="D27" s="459">
        <f t="shared" si="4"/>
        <v>57.204301857925977</v>
      </c>
      <c r="E27" s="459">
        <f t="shared" si="5"/>
        <v>34.743631831389514</v>
      </c>
      <c r="F27" s="459">
        <f t="shared" si="6"/>
        <v>0</v>
      </c>
      <c r="G27" s="459">
        <f t="shared" si="7"/>
        <v>16355.566328354553</v>
      </c>
      <c r="H27" s="459">
        <f t="shared" si="8"/>
        <v>4505.8280606590479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20960.883835057259</v>
      </c>
    </row>
    <row r="28" spans="1:17" ht="16.5" customHeight="1">
      <c r="A28" s="454" t="s">
        <v>542</v>
      </c>
      <c r="B28" s="455">
        <f t="shared" ca="1" si="2"/>
        <v>0</v>
      </c>
      <c r="C28" s="455">
        <f t="shared" ca="1" si="3"/>
        <v>0</v>
      </c>
      <c r="D28" s="455">
        <f t="shared" si="4"/>
        <v>0</v>
      </c>
      <c r="E28" s="455">
        <f t="shared" si="5"/>
        <v>0</v>
      </c>
      <c r="F28" s="455">
        <f t="shared" si="6"/>
        <v>0</v>
      </c>
      <c r="G28" s="455">
        <f t="shared" si="7"/>
        <v>288.7862651979633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288.7862651979633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77.473547771597012</v>
      </c>
      <c r="C32" s="455">
        <f t="shared" ca="1" si="3"/>
        <v>0</v>
      </c>
      <c r="D32" s="455">
        <f t="shared" si="4"/>
        <v>230.1470406573246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307.62058842892162</v>
      </c>
    </row>
    <row r="33" spans="1:17" s="466" customFormat="1">
      <c r="A33" s="464" t="s">
        <v>546</v>
      </c>
      <c r="B33" s="465">
        <f ca="1">SUM(B22:B32)</f>
        <v>4484.6913580358532</v>
      </c>
      <c r="C33" s="465">
        <f t="shared" ref="C33:Q33" ca="1" si="19">SUM(C22:C32)</f>
        <v>2493.2571428571437</v>
      </c>
      <c r="D33" s="465">
        <f t="shared" ca="1" si="19"/>
        <v>10544.125517579345</v>
      </c>
      <c r="E33" s="465">
        <f t="shared" si="19"/>
        <v>3504.4038192522853</v>
      </c>
      <c r="F33" s="465">
        <f t="shared" ca="1" si="19"/>
        <v>14064.357322174452</v>
      </c>
      <c r="G33" s="465">
        <f t="shared" si="19"/>
        <v>16644.352593552518</v>
      </c>
      <c r="H33" s="465">
        <f t="shared" si="19"/>
        <v>4505.8280606590479</v>
      </c>
      <c r="I33" s="465">
        <f t="shared" si="19"/>
        <v>0</v>
      </c>
      <c r="J33" s="465">
        <f t="shared" si="19"/>
        <v>239.22423368708473</v>
      </c>
      <c r="K33" s="465">
        <f t="shared" si="19"/>
        <v>0</v>
      </c>
      <c r="L33" s="465">
        <f t="shared" ca="1" si="19"/>
        <v>0</v>
      </c>
      <c r="M33" s="465">
        <f t="shared" si="19"/>
        <v>0</v>
      </c>
      <c r="N33" s="465">
        <f t="shared" ca="1" si="19"/>
        <v>0</v>
      </c>
      <c r="O33" s="465">
        <f t="shared" si="19"/>
        <v>0</v>
      </c>
      <c r="P33" s="465">
        <f t="shared" si="19"/>
        <v>0</v>
      </c>
      <c r="Q33" s="465">
        <f t="shared" ca="1" si="19"/>
        <v>56480.240047797735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6791.3002863531392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16630.650000000001</v>
      </c>
      <c r="C8" s="1026">
        <f>'SEAP template'!C76</f>
        <v>7344</v>
      </c>
      <c r="D8" s="1026">
        <f>'SEAP template'!D76</f>
        <v>8640.0000000000018</v>
      </c>
      <c r="E8" s="1026">
        <f>'SEAP template'!E76</f>
        <v>0</v>
      </c>
      <c r="F8" s="1026">
        <f>'SEAP template'!F76</f>
        <v>0</v>
      </c>
      <c r="G8" s="1026">
        <f>'SEAP template'!G76</f>
        <v>0</v>
      </c>
      <c r="H8" s="1026">
        <f>'SEAP template'!H76</f>
        <v>0</v>
      </c>
      <c r="I8" s="1026">
        <f>'SEAP template'!I76</f>
        <v>0</v>
      </c>
      <c r="J8" s="1026">
        <f>'SEAP template'!J76</f>
        <v>19565.470588235297</v>
      </c>
      <c r="K8" s="1026">
        <f>'SEAP template'!K76</f>
        <v>0</v>
      </c>
      <c r="L8" s="1026">
        <f>'SEAP template'!L76</f>
        <v>0</v>
      </c>
      <c r="M8" s="1026">
        <f>'SEAP template'!M76</f>
        <v>0</v>
      </c>
      <c r="N8" s="1026">
        <f>'SEAP template'!N76</f>
        <v>0</v>
      </c>
      <c r="O8" s="1026">
        <f>'SEAP template'!O76</f>
        <v>0</v>
      </c>
      <c r="P8" s="1027">
        <f>'SEAP template'!Q76</f>
        <v>1745.2800000000004</v>
      </c>
    </row>
    <row r="9" spans="1:16">
      <c r="A9" s="1032" t="s">
        <v>761</v>
      </c>
      <c r="B9" s="1026">
        <f>'SEAP template'!B77</f>
        <v>1341</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3831.4285714285716</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24762.950286353142</v>
      </c>
      <c r="C10" s="1028">
        <f>SUM(C4:C9)</f>
        <v>7344</v>
      </c>
      <c r="D10" s="1028">
        <f t="shared" ref="D10:H10" si="0">SUM(D8:D9)</f>
        <v>8640.0000000000018</v>
      </c>
      <c r="E10" s="1028">
        <f t="shared" si="0"/>
        <v>0</v>
      </c>
      <c r="F10" s="1028">
        <f t="shared" si="0"/>
        <v>0</v>
      </c>
      <c r="G10" s="1028">
        <f t="shared" si="0"/>
        <v>0</v>
      </c>
      <c r="H10" s="1028">
        <f t="shared" si="0"/>
        <v>0</v>
      </c>
      <c r="I10" s="1028">
        <f>SUM(I8:I9)</f>
        <v>0</v>
      </c>
      <c r="J10" s="1028">
        <f>SUM(J8:J9)</f>
        <v>23396.89915966387</v>
      </c>
      <c r="K10" s="1028">
        <f t="shared" ref="K10:L10" si="1">SUM(K8:K9)</f>
        <v>0</v>
      </c>
      <c r="L10" s="1028">
        <f t="shared" si="1"/>
        <v>0</v>
      </c>
      <c r="M10" s="1028">
        <f>SUM(M8:M9)</f>
        <v>0</v>
      </c>
      <c r="N10" s="1028">
        <f>SUM(N8:N9)</f>
        <v>0</v>
      </c>
      <c r="O10" s="1028">
        <f>SUM(O8:O9)</f>
        <v>0</v>
      </c>
      <c r="P10" s="1028">
        <f>SUM(P8:P9)</f>
        <v>1745.2800000000004</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0.10077397217385363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23758.071428571428</v>
      </c>
      <c r="C17" s="1029">
        <f>'SEAP template'!C87</f>
        <v>10491.428571428571</v>
      </c>
      <c r="D17" s="1027">
        <f>'SEAP template'!D87</f>
        <v>12342.857142857145</v>
      </c>
      <c r="E17" s="1027">
        <f>'SEAP template'!E87</f>
        <v>0</v>
      </c>
      <c r="F17" s="1027">
        <f>'SEAP template'!F87</f>
        <v>0</v>
      </c>
      <c r="G17" s="1027">
        <f>'SEAP template'!G87</f>
        <v>0</v>
      </c>
      <c r="H17" s="1027">
        <f>'SEAP template'!H87</f>
        <v>0</v>
      </c>
      <c r="I17" s="1027">
        <f>'SEAP template'!I87</f>
        <v>0</v>
      </c>
      <c r="J17" s="1027">
        <f>'SEAP template'!J87</f>
        <v>27950.672268907569</v>
      </c>
      <c r="K17" s="1027">
        <f>'SEAP template'!K87</f>
        <v>0</v>
      </c>
      <c r="L17" s="1027">
        <f>'SEAP template'!L87</f>
        <v>0</v>
      </c>
      <c r="M17" s="1027">
        <f>'SEAP template'!M87</f>
        <v>0</v>
      </c>
      <c r="N17" s="1027">
        <f>'SEAP template'!N87</f>
        <v>0</v>
      </c>
      <c r="O17" s="1027">
        <f>'SEAP template'!O87</f>
        <v>0</v>
      </c>
      <c r="P17" s="1027">
        <f>'SEAP template'!Q87</f>
        <v>2493.2571428571437</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23758.071428571428</v>
      </c>
      <c r="C20" s="1028">
        <f>SUM(C17:C19)</f>
        <v>10491.428571428571</v>
      </c>
      <c r="D20" s="1028">
        <f t="shared" ref="D20:H20" si="2">SUM(D17:D19)</f>
        <v>12342.857142857145</v>
      </c>
      <c r="E20" s="1028">
        <f t="shared" si="2"/>
        <v>0</v>
      </c>
      <c r="F20" s="1028">
        <f t="shared" si="2"/>
        <v>0</v>
      </c>
      <c r="G20" s="1028">
        <f t="shared" si="2"/>
        <v>0</v>
      </c>
      <c r="H20" s="1028">
        <f t="shared" si="2"/>
        <v>0</v>
      </c>
      <c r="I20" s="1028">
        <f>SUM(I17:I19)</f>
        <v>0</v>
      </c>
      <c r="J20" s="1028">
        <f>SUM(J17:J19)</f>
        <v>27950.672268907569</v>
      </c>
      <c r="K20" s="1028">
        <f t="shared" ref="K20:L20" si="3">SUM(K17:K19)</f>
        <v>0</v>
      </c>
      <c r="L20" s="1028">
        <f t="shared" si="3"/>
        <v>0</v>
      </c>
      <c r="M20" s="1028">
        <f>SUM(M17:M19)</f>
        <v>0</v>
      </c>
      <c r="N20" s="1028">
        <f>SUM(N17:N19)</f>
        <v>0</v>
      </c>
      <c r="O20" s="1028">
        <f>SUM(O17:O19)</f>
        <v>0</v>
      </c>
      <c r="P20" s="1028">
        <f>SUM(P17:P19)</f>
        <v>2493.2571428571437</v>
      </c>
    </row>
    <row r="21" spans="1:16">
      <c r="B21" s="890"/>
    </row>
    <row r="22" spans="1:16">
      <c r="A22" s="467" t="s">
        <v>773</v>
      </c>
      <c r="B22" s="784" t="s">
        <v>771</v>
      </c>
      <c r="C22" s="784">
        <f ca="1">'EF ele_warmte'!B22</f>
        <v>7.2796891716875978E-2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0.10077397217385363</v>
      </c>
      <c r="C17" s="504">
        <f ca="1">'EF ele_warmte'!B22</f>
        <v>7.2796891716875978E-2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2020-06-20T15:18:34Z</dcterms:modified>
</cp:coreProperties>
</file>